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1.xml" ContentType="application/vnd.openxmlformats-officedocument.spreadsheetml.chart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xr:revisionPtr revIDLastSave="0" documentId="13_ncr:1_{6650B041-3B0F-4345-91A9-DDD0712A19EA}" xr6:coauthVersionLast="31" xr6:coauthVersionMax="31" xr10:uidLastSave="{00000000-0000-0000-0000-000000000000}"/>
  <bookViews>
    <workbookView xWindow="0" yWindow="60" windowWidth="20730" windowHeight="11760" tabRatio="892" xr2:uid="{00000000-000D-0000-FFFF-FFFF00000000}"/>
  </bookViews>
  <sheets>
    <sheet name="Instructions" sheetId="2" r:id="rId1"/>
    <sheet name="Notes" sheetId="3" r:id="rId2"/>
    <sheet name="Summary" sheetId="8" r:id="rId3"/>
    <sheet name="Geometric Fund Returns" sheetId="15" r:id="rId4"/>
    <sheet name="Non-Rebalanced Portfolio" sheetId="1" r:id="rId5"/>
    <sheet name="Rebalanced Portfolio" sheetId="4" r:id="rId6"/>
    <sheet name="Panic Portfolio" sheetId="7" r:id="rId7"/>
    <sheet name="60-40 Portfolio" sheetId="27" r:id="rId8"/>
    <sheet name="SP500 Only" sheetId="16" r:id="rId9"/>
    <sheet name="4.5% Withdrawals-No Rebalancing" sheetId="19" r:id="rId10"/>
    <sheet name="4.5% Withdrawals-Rebalanced" sheetId="20" r:id="rId11"/>
    <sheet name="4.5% Withdrawals-Panic" sheetId="21" r:id="rId12"/>
    <sheet name="4.5% 60-40 Portfolio" sheetId="37" r:id="rId13"/>
    <sheet name="4.5% Withdrawals-SP500 Only" sheetId="22" r:id="rId14"/>
    <sheet name="4% Withdrawals-No Rebalancing" sheetId="9" r:id="rId15"/>
    <sheet name="4% Withdrawals-Rebalanced" sheetId="10" r:id="rId16"/>
    <sheet name="4% Withdrawals-Panic" sheetId="12" r:id="rId17"/>
    <sheet name="4% Withdrawals-SP500 Only" sheetId="17" r:id="rId18"/>
    <sheet name="Staying Invested Chart" sheetId="14" r:id="rId19"/>
    <sheet name="Chart Data" sheetId="13" r:id="rId20"/>
  </sheets>
  <calcPr calcId="179017"/>
  <extLst>
    <ext xmlns:mx="http://schemas.microsoft.com/office/mac/excel/2008/main" uri="http://schemas.microsoft.com/office/mac/excel/2008/main">
      <mx:ArchID Flags="2"/>
    </ext>
  </extLst>
</workbook>
</file>

<file path=xl/calcChain.xml><?xml version="1.0" encoding="utf-8"?>
<calcChain xmlns="http://schemas.openxmlformats.org/spreadsheetml/2006/main">
  <c r="AG44" i="22" l="1"/>
  <c r="AH44" i="22"/>
  <c r="AO44" i="22"/>
  <c r="AQ44" i="22" s="1"/>
  <c r="AP44" i="22"/>
  <c r="AG45" i="22"/>
  <c r="AH45" i="22"/>
  <c r="AP45" i="22" s="1"/>
  <c r="AO45" i="22"/>
  <c r="Z45" i="22"/>
  <c r="AA45" i="22" s="1"/>
  <c r="AB45" i="22" s="1"/>
  <c r="AC45" i="22" s="1"/>
  <c r="AD45" i="22"/>
  <c r="Z44" i="22"/>
  <c r="AA44" i="22" s="1"/>
  <c r="AB44" i="22" s="1"/>
  <c r="AC44" i="22" s="1"/>
  <c r="AD44" i="22"/>
  <c r="R27" i="16"/>
  <c r="S27" i="16"/>
  <c r="T27" i="16"/>
  <c r="U27" i="16"/>
  <c r="V27" i="16"/>
  <c r="BD29" i="37"/>
  <c r="BJ29" i="37"/>
  <c r="BJ28" i="37"/>
  <c r="BD28" i="37"/>
  <c r="AZ28" i="37"/>
  <c r="AT28" i="37"/>
  <c r="Y28" i="37"/>
  <c r="S28" i="37"/>
  <c r="A45" i="37"/>
  <c r="R45" i="37" s="1"/>
  <c r="AG44" i="37"/>
  <c r="AS44" i="37" s="1"/>
  <c r="BC44" i="37" s="1"/>
  <c r="A43" i="37"/>
  <c r="R43" i="37" s="1"/>
  <c r="R42" i="37"/>
  <c r="A42" i="37"/>
  <c r="AG41" i="37"/>
  <c r="AS41" i="37" s="1"/>
  <c r="BC41" i="37" s="1"/>
  <c r="AG40" i="37"/>
  <c r="AS40" i="37" s="1"/>
  <c r="BC40" i="37" s="1"/>
  <c r="N40" i="37"/>
  <c r="R39" i="37"/>
  <c r="BC37" i="37"/>
  <c r="AG37" i="37"/>
  <c r="AS37" i="37" s="1"/>
  <c r="N37" i="37"/>
  <c r="A37" i="37"/>
  <c r="R37" i="37" s="1"/>
  <c r="A36" i="37"/>
  <c r="A35" i="37"/>
  <c r="AG34" i="37"/>
  <c r="AS34" i="37" s="1"/>
  <c r="BC34" i="37" s="1"/>
  <c r="A33" i="37"/>
  <c r="N33" i="37" s="1"/>
  <c r="R32" i="37"/>
  <c r="A32" i="37"/>
  <c r="A31" i="37"/>
  <c r="AS30" i="37"/>
  <c r="BC30" i="37" s="1"/>
  <c r="AG30" i="37"/>
  <c r="R30" i="37"/>
  <c r="A30" i="37"/>
  <c r="N30" i="37" s="1"/>
  <c r="AG29" i="37"/>
  <c r="AS29" i="37" s="1"/>
  <c r="BC29" i="37" s="1"/>
  <c r="N28" i="37"/>
  <c r="H28" i="37"/>
  <c r="BC27" i="37"/>
  <c r="AS27" i="37"/>
  <c r="Y27" i="37"/>
  <c r="R27" i="37"/>
  <c r="S27" i="37"/>
  <c r="BA26" i="37"/>
  <c r="BK26" i="37" s="1"/>
  <c r="AZ26" i="37"/>
  <c r="BJ26" i="37" s="1"/>
  <c r="AS26" i="37"/>
  <c r="AN26" i="37"/>
  <c r="AM26" i="37"/>
  <c r="AY26" i="37" s="1"/>
  <c r="BI26" i="37" s="1"/>
  <c r="Z26" i="37"/>
  <c r="S26" i="37"/>
  <c r="R26" i="37"/>
  <c r="H26" i="37"/>
  <c r="Y26" i="37" s="1"/>
  <c r="G26" i="37"/>
  <c r="X26" i="37" s="1"/>
  <c r="B26" i="37"/>
  <c r="AH26" i="37" s="1"/>
  <c r="AT26" i="37" s="1"/>
  <c r="BD26" i="37" s="1"/>
  <c r="Y25" i="37"/>
  <c r="X25" i="37"/>
  <c r="W25" i="37"/>
  <c r="O25" i="37"/>
  <c r="H25" i="37"/>
  <c r="AN25" i="37" s="1"/>
  <c r="AZ25" i="37" s="1"/>
  <c r="BJ25" i="37" s="1"/>
  <c r="G25" i="37"/>
  <c r="AM25" i="37" s="1"/>
  <c r="AY25" i="37" s="1"/>
  <c r="BI25" i="37" s="1"/>
  <c r="F25" i="37"/>
  <c r="AL25" i="37" s="1"/>
  <c r="AX25" i="37" s="1"/>
  <c r="BH25" i="37" s="1"/>
  <c r="E25" i="37"/>
  <c r="V25" i="37" s="1"/>
  <c r="O21" i="37"/>
  <c r="N21" i="37"/>
  <c r="H21" i="37"/>
  <c r="G21" i="37"/>
  <c r="E21" i="37"/>
  <c r="D21" i="37"/>
  <c r="B21" i="37"/>
  <c r="A21" i="37"/>
  <c r="O20" i="37"/>
  <c r="N20" i="37"/>
  <c r="H20" i="37"/>
  <c r="G20" i="37"/>
  <c r="E20" i="37"/>
  <c r="D20" i="37"/>
  <c r="B20" i="37"/>
  <c r="A20" i="37"/>
  <c r="A44" i="37" s="1"/>
  <c r="R44" i="37" s="1"/>
  <c r="O19" i="37"/>
  <c r="N19" i="37"/>
  <c r="H19" i="37"/>
  <c r="G19" i="37"/>
  <c r="E19" i="37"/>
  <c r="D19" i="37"/>
  <c r="B19" i="37"/>
  <c r="A19" i="37"/>
  <c r="O18" i="37"/>
  <c r="N18" i="37"/>
  <c r="H18" i="37"/>
  <c r="G18" i="37"/>
  <c r="E18" i="37"/>
  <c r="D18" i="37"/>
  <c r="B18" i="37"/>
  <c r="A18" i="37"/>
  <c r="O17" i="37"/>
  <c r="N17" i="37"/>
  <c r="H17" i="37"/>
  <c r="G17" i="37"/>
  <c r="E17" i="37"/>
  <c r="D17" i="37"/>
  <c r="B17" i="37"/>
  <c r="A17" i="37"/>
  <c r="A41" i="37" s="1"/>
  <c r="O16" i="37"/>
  <c r="N16" i="37"/>
  <c r="H16" i="37"/>
  <c r="G16" i="37"/>
  <c r="E16" i="37"/>
  <c r="D16" i="37"/>
  <c r="B16" i="37"/>
  <c r="A16" i="37"/>
  <c r="A40" i="37" s="1"/>
  <c r="R40" i="37" s="1"/>
  <c r="O15" i="37"/>
  <c r="N15" i="37"/>
  <c r="H15" i="37"/>
  <c r="G15" i="37"/>
  <c r="E15" i="37"/>
  <c r="D15" i="37"/>
  <c r="B15" i="37"/>
  <c r="A15" i="37"/>
  <c r="A39" i="37" s="1"/>
  <c r="O14" i="37"/>
  <c r="N14" i="37"/>
  <c r="H14" i="37"/>
  <c r="G14" i="37"/>
  <c r="E14" i="37"/>
  <c r="D14" i="37"/>
  <c r="B14" i="37"/>
  <c r="A14" i="37"/>
  <c r="A38" i="37" s="1"/>
  <c r="O13" i="37"/>
  <c r="N13" i="37"/>
  <c r="H13" i="37"/>
  <c r="G13" i="37"/>
  <c r="E13" i="37"/>
  <c r="D13" i="37"/>
  <c r="B13" i="37"/>
  <c r="A13" i="37"/>
  <c r="O12" i="37"/>
  <c r="N12" i="37"/>
  <c r="H12" i="37"/>
  <c r="G12" i="37"/>
  <c r="E12" i="37"/>
  <c r="D12" i="37"/>
  <c r="B12" i="37"/>
  <c r="A12" i="37"/>
  <c r="O11" i="37"/>
  <c r="N11" i="37"/>
  <c r="H11" i="37"/>
  <c r="G11" i="37"/>
  <c r="E11" i="37"/>
  <c r="D11" i="37"/>
  <c r="B11" i="37"/>
  <c r="A11" i="37"/>
  <c r="O10" i="37"/>
  <c r="N10" i="37"/>
  <c r="H10" i="37"/>
  <c r="G10" i="37"/>
  <c r="E10" i="37"/>
  <c r="D10" i="37"/>
  <c r="B10" i="37"/>
  <c r="A10" i="37"/>
  <c r="A34" i="37" s="1"/>
  <c r="N34" i="37" s="1"/>
  <c r="O9" i="37"/>
  <c r="N9" i="37"/>
  <c r="H9" i="37"/>
  <c r="G9" i="37"/>
  <c r="E9" i="37"/>
  <c r="D9" i="37"/>
  <c r="B9" i="37"/>
  <c r="A9" i="37"/>
  <c r="O8" i="37"/>
  <c r="N8" i="37"/>
  <c r="H8" i="37"/>
  <c r="G8" i="37"/>
  <c r="E8" i="37"/>
  <c r="D8" i="37"/>
  <c r="B8" i="37"/>
  <c r="A8" i="37"/>
  <c r="O7" i="37"/>
  <c r="N7" i="37"/>
  <c r="H7" i="37"/>
  <c r="G7" i="37"/>
  <c r="E7" i="37"/>
  <c r="D7" i="37"/>
  <c r="B7" i="37"/>
  <c r="A7" i="37"/>
  <c r="O6" i="37"/>
  <c r="N6" i="37"/>
  <c r="H6" i="37"/>
  <c r="G6" i="37"/>
  <c r="E6" i="37"/>
  <c r="D6" i="37"/>
  <c r="B6" i="37"/>
  <c r="A6" i="37"/>
  <c r="O5" i="37"/>
  <c r="N5" i="37"/>
  <c r="H5" i="37"/>
  <c r="G5" i="37"/>
  <c r="E5" i="37"/>
  <c r="D5" i="37"/>
  <c r="B5" i="37"/>
  <c r="A5" i="37"/>
  <c r="A29" i="37" s="1"/>
  <c r="O4" i="37"/>
  <c r="N4" i="37"/>
  <c r="H4" i="37"/>
  <c r="G4" i="37"/>
  <c r="E4" i="37"/>
  <c r="D4" i="37"/>
  <c r="B4" i="37"/>
  <c r="A4" i="37"/>
  <c r="A28" i="37" s="1"/>
  <c r="AG28" i="37" s="1"/>
  <c r="AS28" i="37" s="1"/>
  <c r="BC28" i="37" s="1"/>
  <c r="H3" i="37"/>
  <c r="G3" i="37"/>
  <c r="F3" i="37"/>
  <c r="F26" i="37" s="1"/>
  <c r="E3" i="37"/>
  <c r="E26" i="37" s="1"/>
  <c r="D3" i="37"/>
  <c r="D26" i="37" s="1"/>
  <c r="C3" i="37"/>
  <c r="C26" i="37" s="1"/>
  <c r="B3" i="37"/>
  <c r="A3" i="37"/>
  <c r="H2" i="37"/>
  <c r="G2" i="37"/>
  <c r="F2" i="37"/>
  <c r="E2" i="37"/>
  <c r="D2" i="37"/>
  <c r="D25" i="37" s="1"/>
  <c r="C2" i="37"/>
  <c r="C25" i="37" s="1"/>
  <c r="B2" i="37"/>
  <c r="B25" i="37" s="1"/>
  <c r="AQ45" i="22" l="1"/>
  <c r="AI25" i="37"/>
  <c r="AU25" i="37" s="1"/>
  <c r="BE25" i="37" s="1"/>
  <c r="T25" i="37"/>
  <c r="AI26" i="37"/>
  <c r="AU26" i="37" s="1"/>
  <c r="BE26" i="37" s="1"/>
  <c r="T26" i="37"/>
  <c r="U25" i="37"/>
  <c r="AJ25" i="37"/>
  <c r="AV25" i="37" s="1"/>
  <c r="BF25" i="37" s="1"/>
  <c r="U26" i="37"/>
  <c r="AJ26" i="37"/>
  <c r="AV26" i="37" s="1"/>
  <c r="BF26" i="37" s="1"/>
  <c r="AG33" i="37"/>
  <c r="AS33" i="37" s="1"/>
  <c r="BC33" i="37" s="1"/>
  <c r="AK26" i="37"/>
  <c r="AW26" i="37" s="1"/>
  <c r="BG26" i="37" s="1"/>
  <c r="V26" i="37"/>
  <c r="R35" i="37"/>
  <c r="AG35" i="37"/>
  <c r="AS35" i="37" s="1"/>
  <c r="BC35" i="37" s="1"/>
  <c r="N35" i="37"/>
  <c r="R36" i="37"/>
  <c r="AG36" i="37"/>
  <c r="AS36" i="37" s="1"/>
  <c r="BC36" i="37" s="1"/>
  <c r="N43" i="37"/>
  <c r="AK25" i="37"/>
  <c r="AW25" i="37" s="1"/>
  <c r="BG25" i="37" s="1"/>
  <c r="R33" i="37"/>
  <c r="N44" i="37"/>
  <c r="AG45" i="37"/>
  <c r="AS45" i="37" s="1"/>
  <c r="BC45" i="37" s="1"/>
  <c r="N45" i="37"/>
  <c r="AG31" i="37"/>
  <c r="AS31" i="37" s="1"/>
  <c r="BC31" i="37" s="1"/>
  <c r="R31" i="37"/>
  <c r="AG32" i="37"/>
  <c r="AS32" i="37" s="1"/>
  <c r="BC32" i="37" s="1"/>
  <c r="N32" i="37"/>
  <c r="I27" i="37"/>
  <c r="Z27" i="37" s="1"/>
  <c r="AH27" i="37" s="1"/>
  <c r="AT27" i="37" s="1"/>
  <c r="BD27" i="37" s="1"/>
  <c r="R29" i="37"/>
  <c r="N29" i="37"/>
  <c r="B28" i="37"/>
  <c r="R34" i="37"/>
  <c r="N36" i="37"/>
  <c r="AL26" i="37"/>
  <c r="AX26" i="37" s="1"/>
  <c r="BH26" i="37" s="1"/>
  <c r="W26" i="37"/>
  <c r="S25" i="37"/>
  <c r="AH25" i="37"/>
  <c r="AT25" i="37" s="1"/>
  <c r="BD25" i="37" s="1"/>
  <c r="R28" i="37"/>
  <c r="N31" i="37"/>
  <c r="N42" i="37"/>
  <c r="AG42" i="37"/>
  <c r="AS42" i="37" s="1"/>
  <c r="BC42" i="37" s="1"/>
  <c r="AG43" i="37"/>
  <c r="AS43" i="37" s="1"/>
  <c r="BC43" i="37" s="1"/>
  <c r="AG38" i="37"/>
  <c r="AS38" i="37" s="1"/>
  <c r="BC38" i="37" s="1"/>
  <c r="N38" i="37"/>
  <c r="AG39" i="37"/>
  <c r="AS39" i="37" s="1"/>
  <c r="BC39" i="37" s="1"/>
  <c r="N39" i="37"/>
  <c r="N41" i="37"/>
  <c r="R41" i="37"/>
  <c r="R38" i="37"/>
  <c r="C45" i="27"/>
  <c r="C44" i="27"/>
  <c r="O43" i="27"/>
  <c r="AA43" i="27" s="1"/>
  <c r="C43" i="27"/>
  <c r="C42" i="27"/>
  <c r="C41" i="27"/>
  <c r="C40" i="27"/>
  <c r="A40" i="27"/>
  <c r="AK39" i="27"/>
  <c r="O39" i="27"/>
  <c r="AA39" i="27" s="1"/>
  <c r="C39" i="27"/>
  <c r="A33" i="27"/>
  <c r="AK32" i="27"/>
  <c r="O32" i="27"/>
  <c r="AA32" i="27" s="1"/>
  <c r="A29" i="27"/>
  <c r="O29" i="27" s="1"/>
  <c r="AA29" i="27" s="1"/>
  <c r="A28" i="27"/>
  <c r="O28" i="27" s="1"/>
  <c r="AA28" i="27" s="1"/>
  <c r="AF27" i="27"/>
  <c r="AP27" i="27" s="1"/>
  <c r="AE27" i="27"/>
  <c r="AO27" i="27" s="1"/>
  <c r="AC27" i="27"/>
  <c r="AM27" i="27" s="1"/>
  <c r="AA27" i="27"/>
  <c r="AK27" i="27" s="1"/>
  <c r="AG27" i="27"/>
  <c r="AQ27" i="27" s="1"/>
  <c r="AD27" i="27"/>
  <c r="AN27" i="27" s="1"/>
  <c r="E28" i="27"/>
  <c r="AO28" i="27" s="1"/>
  <c r="E29" i="27" s="1"/>
  <c r="C27" i="27"/>
  <c r="AI26" i="27"/>
  <c r="AS26" i="27" s="1"/>
  <c r="AA26" i="27"/>
  <c r="V26" i="27"/>
  <c r="AH26" i="27" s="1"/>
  <c r="AR26" i="27" s="1"/>
  <c r="B26" i="27"/>
  <c r="P26" i="27" s="1"/>
  <c r="AB26" i="27" s="1"/>
  <c r="AL26" i="27" s="1"/>
  <c r="AE25" i="27"/>
  <c r="AO25" i="27" s="1"/>
  <c r="H21" i="27"/>
  <c r="G21" i="27"/>
  <c r="F21" i="27"/>
  <c r="E21" i="27"/>
  <c r="D21" i="27"/>
  <c r="B21" i="27"/>
  <c r="A21" i="27"/>
  <c r="A45" i="27" s="1"/>
  <c r="H20" i="27"/>
  <c r="G20" i="27"/>
  <c r="F20" i="27"/>
  <c r="E20" i="27"/>
  <c r="D20" i="27"/>
  <c r="B20" i="27"/>
  <c r="A20" i="27"/>
  <c r="A44" i="27" s="1"/>
  <c r="H19" i="27"/>
  <c r="G19" i="27"/>
  <c r="F19" i="27"/>
  <c r="E19" i="27"/>
  <c r="D19" i="27"/>
  <c r="B19" i="27"/>
  <c r="A19" i="27"/>
  <c r="A43" i="27" s="1"/>
  <c r="H18" i="27"/>
  <c r="G18" i="27"/>
  <c r="F18" i="27"/>
  <c r="E18" i="27"/>
  <c r="D18" i="27"/>
  <c r="B18" i="27"/>
  <c r="A18" i="27"/>
  <c r="A42" i="27" s="1"/>
  <c r="H17" i="27"/>
  <c r="G17" i="27"/>
  <c r="F17" i="27"/>
  <c r="E17" i="27"/>
  <c r="D17" i="27"/>
  <c r="B17" i="27"/>
  <c r="A17" i="27"/>
  <c r="A41" i="27" s="1"/>
  <c r="H16" i="27"/>
  <c r="G16" i="27"/>
  <c r="F16" i="27"/>
  <c r="E16" i="27"/>
  <c r="D16" i="27"/>
  <c r="B16" i="27"/>
  <c r="A16" i="27"/>
  <c r="H15" i="27"/>
  <c r="G15" i="27"/>
  <c r="F15" i="27"/>
  <c r="E15" i="27"/>
  <c r="D15" i="27"/>
  <c r="B15" i="27"/>
  <c r="A15" i="27"/>
  <c r="A39" i="27" s="1"/>
  <c r="H14" i="27"/>
  <c r="G14" i="27"/>
  <c r="F14" i="27"/>
  <c r="E14" i="27"/>
  <c r="D14" i="27"/>
  <c r="C14" i="27"/>
  <c r="C38" i="27" s="1"/>
  <c r="B14" i="27"/>
  <c r="A14" i="27"/>
  <c r="A38" i="27" s="1"/>
  <c r="H13" i="27"/>
  <c r="G13" i="27"/>
  <c r="F13" i="27"/>
  <c r="E13" i="27"/>
  <c r="D13" i="27"/>
  <c r="C13" i="27"/>
  <c r="C37" i="27" s="1"/>
  <c r="B13" i="27"/>
  <c r="A13" i="27"/>
  <c r="A37" i="27" s="1"/>
  <c r="H12" i="27"/>
  <c r="G12" i="27"/>
  <c r="F12" i="27"/>
  <c r="E12" i="27"/>
  <c r="D12" i="27"/>
  <c r="C12" i="27"/>
  <c r="C36" i="27" s="1"/>
  <c r="B12" i="27"/>
  <c r="A12" i="27"/>
  <c r="A36" i="27" s="1"/>
  <c r="AK36" i="27" s="1"/>
  <c r="H11" i="27"/>
  <c r="G11" i="27"/>
  <c r="F11" i="27"/>
  <c r="E11" i="27"/>
  <c r="D11" i="27"/>
  <c r="C11" i="27"/>
  <c r="C35" i="27" s="1"/>
  <c r="B11" i="27"/>
  <c r="A11" i="27"/>
  <c r="A35" i="27" s="1"/>
  <c r="H10" i="27"/>
  <c r="G10" i="27"/>
  <c r="F10" i="27"/>
  <c r="E10" i="27"/>
  <c r="D10" i="27"/>
  <c r="C10" i="27"/>
  <c r="C34" i="27" s="1"/>
  <c r="B10" i="27"/>
  <c r="A10" i="27"/>
  <c r="A34" i="27" s="1"/>
  <c r="H9" i="27"/>
  <c r="G9" i="27"/>
  <c r="F9" i="27"/>
  <c r="E9" i="27"/>
  <c r="D9" i="27"/>
  <c r="C9" i="27"/>
  <c r="C33" i="27" s="1"/>
  <c r="B9" i="27"/>
  <c r="A9" i="27"/>
  <c r="H8" i="27"/>
  <c r="G8" i="27"/>
  <c r="F8" i="27"/>
  <c r="E8" i="27"/>
  <c r="D8" i="27"/>
  <c r="C8" i="27"/>
  <c r="C32" i="27" s="1"/>
  <c r="B8" i="27"/>
  <c r="A8" i="27"/>
  <c r="A32" i="27" s="1"/>
  <c r="H7" i="27"/>
  <c r="G7" i="27"/>
  <c r="F7" i="27"/>
  <c r="E7" i="27"/>
  <c r="D7" i="27"/>
  <c r="C7" i="27"/>
  <c r="C31" i="27" s="1"/>
  <c r="B7" i="27"/>
  <c r="A7" i="27"/>
  <c r="A31" i="27" s="1"/>
  <c r="H6" i="27"/>
  <c r="G6" i="27"/>
  <c r="F6" i="27"/>
  <c r="E6" i="27"/>
  <c r="D6" i="27"/>
  <c r="C6" i="27"/>
  <c r="C30" i="27" s="1"/>
  <c r="B6" i="27"/>
  <c r="A6" i="27"/>
  <c r="A30" i="27" s="1"/>
  <c r="H5" i="27"/>
  <c r="G5" i="27"/>
  <c r="F5" i="27"/>
  <c r="E5" i="27"/>
  <c r="D5" i="27"/>
  <c r="C5" i="27"/>
  <c r="C29" i="27" s="1"/>
  <c r="B5" i="27"/>
  <c r="A5" i="27"/>
  <c r="H4" i="27"/>
  <c r="G4" i="27"/>
  <c r="F4" i="27"/>
  <c r="E4" i="27"/>
  <c r="D4" i="27"/>
  <c r="D28" i="27" s="1"/>
  <c r="C4" i="27"/>
  <c r="B4" i="27"/>
  <c r="A4" i="27"/>
  <c r="H3" i="27"/>
  <c r="H26" i="27" s="1"/>
  <c r="G3" i="27"/>
  <c r="G26" i="27" s="1"/>
  <c r="U26" i="27" s="1"/>
  <c r="AG26" i="27" s="1"/>
  <c r="AQ26" i="27" s="1"/>
  <c r="F3" i="27"/>
  <c r="F26" i="27" s="1"/>
  <c r="T26" i="27" s="1"/>
  <c r="AF26" i="27" s="1"/>
  <c r="AP26" i="27" s="1"/>
  <c r="E3" i="27"/>
  <c r="E26" i="27" s="1"/>
  <c r="S26" i="27" s="1"/>
  <c r="AE26" i="27" s="1"/>
  <c r="AO26" i="27" s="1"/>
  <c r="D3" i="27"/>
  <c r="D26" i="27" s="1"/>
  <c r="R26" i="27" s="1"/>
  <c r="AD26" i="27" s="1"/>
  <c r="AN26" i="27" s="1"/>
  <c r="C3" i="27"/>
  <c r="C26" i="27" s="1"/>
  <c r="Q26" i="27" s="1"/>
  <c r="AC26" i="27" s="1"/>
  <c r="AM26" i="27" s="1"/>
  <c r="B3" i="27"/>
  <c r="A3" i="27"/>
  <c r="H2" i="27"/>
  <c r="H25" i="27" s="1"/>
  <c r="V25" i="27" s="1"/>
  <c r="AH25" i="27" s="1"/>
  <c r="AR25" i="27" s="1"/>
  <c r="G2" i="27"/>
  <c r="G25" i="27" s="1"/>
  <c r="U25" i="27" s="1"/>
  <c r="AG25" i="27" s="1"/>
  <c r="AQ25" i="27" s="1"/>
  <c r="F2" i="27"/>
  <c r="F25" i="27" s="1"/>
  <c r="T25" i="27" s="1"/>
  <c r="AF25" i="27" s="1"/>
  <c r="AP25" i="27" s="1"/>
  <c r="E2" i="27"/>
  <c r="E25" i="27" s="1"/>
  <c r="S25" i="27" s="1"/>
  <c r="D2" i="27"/>
  <c r="D25" i="27" s="1"/>
  <c r="R25" i="27" s="1"/>
  <c r="AD25" i="27" s="1"/>
  <c r="AN25" i="27" s="1"/>
  <c r="C2" i="27"/>
  <c r="C25" i="27" s="1"/>
  <c r="Q25" i="27" s="1"/>
  <c r="AC25" i="27" s="1"/>
  <c r="AM25" i="27" s="1"/>
  <c r="B2" i="27"/>
  <c r="B25" i="27" s="1"/>
  <c r="P25" i="27" s="1"/>
  <c r="AB25" i="27" s="1"/>
  <c r="AL25" i="27" s="1"/>
  <c r="AN27" i="37" l="1"/>
  <c r="AZ27" i="37" s="1"/>
  <c r="BJ27" i="37" s="1"/>
  <c r="I28" i="37"/>
  <c r="AO27" i="37"/>
  <c r="BA27" i="37" s="1"/>
  <c r="BK27" i="37" s="1"/>
  <c r="O30" i="27"/>
  <c r="AA30" i="27" s="1"/>
  <c r="AK30" i="27"/>
  <c r="AK28" i="27"/>
  <c r="AK43" i="27"/>
  <c r="C28" i="27"/>
  <c r="AK29" i="27"/>
  <c r="O36" i="27"/>
  <c r="AA36" i="27" s="1"/>
  <c r="AN28" i="27"/>
  <c r="D29" i="27" s="1"/>
  <c r="AK45" i="27"/>
  <c r="O45" i="27"/>
  <c r="AA45" i="27" s="1"/>
  <c r="AK40" i="27"/>
  <c r="O40" i="27"/>
  <c r="AA40" i="27" s="1"/>
  <c r="AK31" i="27"/>
  <c r="O31" i="27"/>
  <c r="AA31" i="27" s="1"/>
  <c r="AK41" i="27"/>
  <c r="O41" i="27"/>
  <c r="AA41" i="27" s="1"/>
  <c r="AK44" i="27"/>
  <c r="O44" i="27"/>
  <c r="AA44" i="27" s="1"/>
  <c r="I27" i="27"/>
  <c r="AK42" i="27"/>
  <c r="O42" i="27"/>
  <c r="AA42" i="27" s="1"/>
  <c r="B28" i="27"/>
  <c r="G28" i="27"/>
  <c r="H28" i="27"/>
  <c r="AK33" i="27"/>
  <c r="O33" i="27"/>
  <c r="AA33" i="27" s="1"/>
  <c r="AK34" i="27"/>
  <c r="O34" i="27"/>
  <c r="AA34" i="27" s="1"/>
  <c r="AK35" i="27"/>
  <c r="O35" i="27"/>
  <c r="AA35" i="27" s="1"/>
  <c r="AK37" i="27"/>
  <c r="O37" i="27"/>
  <c r="AA37" i="27" s="1"/>
  <c r="AK38" i="27"/>
  <c r="O38" i="27"/>
  <c r="AA38" i="27" s="1"/>
  <c r="O25" i="20"/>
  <c r="A45" i="22"/>
  <c r="N45" i="22" s="1"/>
  <c r="AG42" i="22"/>
  <c r="A36" i="22"/>
  <c r="A32" i="22"/>
  <c r="Z27" i="22"/>
  <c r="AN27" i="22"/>
  <c r="S27" i="22"/>
  <c r="R27" i="22"/>
  <c r="I27" i="22"/>
  <c r="Z26" i="22"/>
  <c r="W26" i="22"/>
  <c r="R26" i="22"/>
  <c r="B26" i="22"/>
  <c r="AH26" i="22" s="1"/>
  <c r="AN25" i="22"/>
  <c r="Y25" i="22"/>
  <c r="F25" i="22"/>
  <c r="O21" i="22"/>
  <c r="N21" i="22"/>
  <c r="H21" i="22"/>
  <c r="G21" i="22"/>
  <c r="F21" i="22"/>
  <c r="E21" i="22"/>
  <c r="D21" i="22"/>
  <c r="B21" i="22"/>
  <c r="A21" i="22"/>
  <c r="O20" i="22"/>
  <c r="N20" i="22"/>
  <c r="H20" i="22"/>
  <c r="G20" i="22"/>
  <c r="F20" i="22"/>
  <c r="E20" i="22"/>
  <c r="D20" i="22"/>
  <c r="B20" i="22"/>
  <c r="A20" i="22"/>
  <c r="A44" i="22" s="1"/>
  <c r="O19" i="22"/>
  <c r="N19" i="22"/>
  <c r="H19" i="22"/>
  <c r="G19" i="22"/>
  <c r="F19" i="22"/>
  <c r="E19" i="22"/>
  <c r="D19" i="22"/>
  <c r="B19" i="22"/>
  <c r="A19" i="22"/>
  <c r="A43" i="22" s="1"/>
  <c r="O18" i="22"/>
  <c r="N18" i="22"/>
  <c r="H18" i="22"/>
  <c r="G18" i="22"/>
  <c r="F18" i="22"/>
  <c r="E18" i="22"/>
  <c r="D18" i="22"/>
  <c r="C18" i="22"/>
  <c r="B18" i="22"/>
  <c r="A18" i="22"/>
  <c r="A42" i="22" s="1"/>
  <c r="N42" i="22" s="1"/>
  <c r="O17" i="22"/>
  <c r="N17" i="22"/>
  <c r="H17" i="22"/>
  <c r="G17" i="22"/>
  <c r="F17" i="22"/>
  <c r="E17" i="22"/>
  <c r="D17" i="22"/>
  <c r="C17" i="22"/>
  <c r="B17" i="22"/>
  <c r="A17" i="22"/>
  <c r="A41" i="22" s="1"/>
  <c r="O16" i="22"/>
  <c r="N16" i="22"/>
  <c r="H16" i="22"/>
  <c r="G16" i="22"/>
  <c r="F16" i="22"/>
  <c r="E16" i="22"/>
  <c r="D16" i="22"/>
  <c r="C16" i="22"/>
  <c r="B16" i="22"/>
  <c r="A16" i="22"/>
  <c r="A40" i="22" s="1"/>
  <c r="O15" i="22"/>
  <c r="N15" i="22"/>
  <c r="H15" i="22"/>
  <c r="G15" i="22"/>
  <c r="F15" i="22"/>
  <c r="E15" i="22"/>
  <c r="D15" i="22"/>
  <c r="C15" i="22"/>
  <c r="B15" i="22"/>
  <c r="A15" i="22"/>
  <c r="A39" i="22" s="1"/>
  <c r="AG39" i="22" s="1"/>
  <c r="O14" i="22"/>
  <c r="N14" i="22"/>
  <c r="H14" i="22"/>
  <c r="G14" i="22"/>
  <c r="F14" i="22"/>
  <c r="E14" i="22"/>
  <c r="D14" i="22"/>
  <c r="C14" i="22"/>
  <c r="B14" i="22"/>
  <c r="A14" i="22"/>
  <c r="A38" i="22" s="1"/>
  <c r="O13" i="22"/>
  <c r="N13" i="22"/>
  <c r="H13" i="22"/>
  <c r="G13" i="22"/>
  <c r="F13" i="22"/>
  <c r="E13" i="22"/>
  <c r="D13" i="22"/>
  <c r="C13" i="22"/>
  <c r="B13" i="22"/>
  <c r="A13" i="22"/>
  <c r="A37" i="22" s="1"/>
  <c r="O12" i="22"/>
  <c r="N12" i="22"/>
  <c r="H12" i="22"/>
  <c r="G12" i="22"/>
  <c r="F12" i="22"/>
  <c r="E12" i="22"/>
  <c r="D12" i="22"/>
  <c r="C12" i="22"/>
  <c r="B12" i="22"/>
  <c r="A12" i="22"/>
  <c r="O11" i="22"/>
  <c r="N11" i="22"/>
  <c r="H11" i="22"/>
  <c r="G11" i="22"/>
  <c r="F11" i="22"/>
  <c r="E11" i="22"/>
  <c r="D11" i="22"/>
  <c r="C11" i="22"/>
  <c r="B11" i="22"/>
  <c r="A11" i="22"/>
  <c r="A35" i="22" s="1"/>
  <c r="O10" i="22"/>
  <c r="N10" i="22"/>
  <c r="H10" i="22"/>
  <c r="G10" i="22"/>
  <c r="F10" i="22"/>
  <c r="E10" i="22"/>
  <c r="D10" i="22"/>
  <c r="C10" i="22"/>
  <c r="B10" i="22"/>
  <c r="A10" i="22"/>
  <c r="A34" i="22" s="1"/>
  <c r="AG34" i="22" s="1"/>
  <c r="O9" i="22"/>
  <c r="N9" i="22"/>
  <c r="H9" i="22"/>
  <c r="G9" i="22"/>
  <c r="F9" i="22"/>
  <c r="E9" i="22"/>
  <c r="D9" i="22"/>
  <c r="C9" i="22"/>
  <c r="B9" i="22"/>
  <c r="A9" i="22"/>
  <c r="A33" i="22" s="1"/>
  <c r="O8" i="22"/>
  <c r="N8" i="22"/>
  <c r="H8" i="22"/>
  <c r="G8" i="22"/>
  <c r="F8" i="22"/>
  <c r="E8" i="22"/>
  <c r="D8" i="22"/>
  <c r="C8" i="22"/>
  <c r="B8" i="22"/>
  <c r="A8" i="22"/>
  <c r="O7" i="22"/>
  <c r="N7" i="22"/>
  <c r="H7" i="22"/>
  <c r="G7" i="22"/>
  <c r="F7" i="22"/>
  <c r="E7" i="22"/>
  <c r="D7" i="22"/>
  <c r="C7" i="22"/>
  <c r="B7" i="22"/>
  <c r="A7" i="22"/>
  <c r="A31" i="22" s="1"/>
  <c r="O6" i="22"/>
  <c r="N6" i="22"/>
  <c r="H6" i="22"/>
  <c r="G6" i="22"/>
  <c r="F6" i="22"/>
  <c r="E6" i="22"/>
  <c r="D6" i="22"/>
  <c r="C6" i="22"/>
  <c r="B6" i="22"/>
  <c r="A6" i="22"/>
  <c r="A30" i="22" s="1"/>
  <c r="N30" i="22" s="1"/>
  <c r="O5" i="22"/>
  <c r="N5" i="22"/>
  <c r="H5" i="22"/>
  <c r="G5" i="22"/>
  <c r="F5" i="22"/>
  <c r="E5" i="22"/>
  <c r="D5" i="22"/>
  <c r="C5" i="22"/>
  <c r="B5" i="22"/>
  <c r="A5" i="22"/>
  <c r="A29" i="22" s="1"/>
  <c r="R29" i="22" s="1"/>
  <c r="O4" i="22"/>
  <c r="N4" i="22"/>
  <c r="H4" i="22"/>
  <c r="G4" i="22"/>
  <c r="F4" i="22"/>
  <c r="E4" i="22"/>
  <c r="D4" i="22"/>
  <c r="C4" i="22"/>
  <c r="B4" i="22"/>
  <c r="B28" i="22" s="1"/>
  <c r="A4" i="22"/>
  <c r="A28" i="22" s="1"/>
  <c r="N28" i="22" s="1"/>
  <c r="H3" i="22"/>
  <c r="H26" i="22" s="1"/>
  <c r="Y26" i="22" s="1"/>
  <c r="G3" i="22"/>
  <c r="G26" i="22" s="1"/>
  <c r="AM26" i="22" s="1"/>
  <c r="F3" i="22"/>
  <c r="F26" i="22" s="1"/>
  <c r="AL26" i="22" s="1"/>
  <c r="E3" i="22"/>
  <c r="E26" i="22" s="1"/>
  <c r="D3" i="22"/>
  <c r="D26" i="22" s="1"/>
  <c r="C3" i="22"/>
  <c r="C26" i="22" s="1"/>
  <c r="B3" i="22"/>
  <c r="A3" i="22"/>
  <c r="H2" i="22"/>
  <c r="H25" i="22" s="1"/>
  <c r="G2" i="22"/>
  <c r="G25" i="22" s="1"/>
  <c r="X25" i="22" s="1"/>
  <c r="F2" i="22"/>
  <c r="E2" i="22"/>
  <c r="E25" i="22" s="1"/>
  <c r="D2" i="22"/>
  <c r="D25" i="22" s="1"/>
  <c r="C2" i="22"/>
  <c r="C25" i="22" s="1"/>
  <c r="B2" i="22"/>
  <c r="B25" i="22" s="1"/>
  <c r="N35" i="21"/>
  <c r="N34" i="21"/>
  <c r="D31" i="21"/>
  <c r="A31" i="21"/>
  <c r="BS27" i="21"/>
  <c r="BP27" i="21"/>
  <c r="BN27" i="21"/>
  <c r="AS27" i="21"/>
  <c r="W27" i="21"/>
  <c r="T27" i="21"/>
  <c r="S27" i="21"/>
  <c r="R27" i="21"/>
  <c r="H27" i="21"/>
  <c r="H28" i="21" s="1"/>
  <c r="G27" i="21"/>
  <c r="G28" i="21" s="1"/>
  <c r="E27" i="21"/>
  <c r="D27" i="21"/>
  <c r="U27" i="21" s="1"/>
  <c r="B27" i="21"/>
  <c r="I27" i="21" s="1"/>
  <c r="Z27" i="21" s="1"/>
  <c r="BV26" i="21"/>
  <c r="BN26" i="21"/>
  <c r="BA26" i="21"/>
  <c r="Z26" i="21"/>
  <c r="R26" i="21"/>
  <c r="F26" i="21"/>
  <c r="W26" i="21" s="1"/>
  <c r="E26" i="21"/>
  <c r="BA25" i="21"/>
  <c r="AL25" i="21"/>
  <c r="O21" i="21"/>
  <c r="N21" i="21"/>
  <c r="H21" i="21"/>
  <c r="G21" i="21"/>
  <c r="E21" i="21"/>
  <c r="D21" i="21"/>
  <c r="B21" i="21"/>
  <c r="A21" i="21"/>
  <c r="A45" i="21" s="1"/>
  <c r="O20" i="21"/>
  <c r="N20" i="21"/>
  <c r="H20" i="21"/>
  <c r="G20" i="21"/>
  <c r="E20" i="21"/>
  <c r="D20" i="21"/>
  <c r="B20" i="21"/>
  <c r="A20" i="21"/>
  <c r="A44" i="21" s="1"/>
  <c r="O19" i="21"/>
  <c r="N19" i="21"/>
  <c r="H19" i="21"/>
  <c r="G19" i="21"/>
  <c r="E19" i="21"/>
  <c r="D19" i="21"/>
  <c r="B19" i="21"/>
  <c r="A19" i="21"/>
  <c r="A43" i="21" s="1"/>
  <c r="O18" i="21"/>
  <c r="N18" i="21"/>
  <c r="H18" i="21"/>
  <c r="G18" i="21"/>
  <c r="E18" i="21"/>
  <c r="D18" i="21"/>
  <c r="B18" i="21"/>
  <c r="A18" i="21"/>
  <c r="A42" i="21" s="1"/>
  <c r="O17" i="21"/>
  <c r="N17" i="21"/>
  <c r="H17" i="21"/>
  <c r="G17" i="21"/>
  <c r="E17" i="21"/>
  <c r="D17" i="21"/>
  <c r="B17" i="21"/>
  <c r="A17" i="21"/>
  <c r="A41" i="21" s="1"/>
  <c r="O16" i="21"/>
  <c r="N16" i="21"/>
  <c r="H16" i="21"/>
  <c r="G16" i="21"/>
  <c r="E16" i="21"/>
  <c r="D16" i="21"/>
  <c r="B16" i="21"/>
  <c r="A16" i="21"/>
  <c r="A40" i="21" s="1"/>
  <c r="O15" i="21"/>
  <c r="N15" i="21"/>
  <c r="H15" i="21"/>
  <c r="G15" i="21"/>
  <c r="E15" i="21"/>
  <c r="D15" i="21"/>
  <c r="B15" i="21"/>
  <c r="A15" i="21"/>
  <c r="A39" i="21" s="1"/>
  <c r="O14" i="21"/>
  <c r="N14" i="21"/>
  <c r="H14" i="21"/>
  <c r="G14" i="21"/>
  <c r="E14" i="21"/>
  <c r="D14" i="21"/>
  <c r="B14" i="21"/>
  <c r="A14" i="21"/>
  <c r="A38" i="21" s="1"/>
  <c r="O13" i="21"/>
  <c r="N13" i="21"/>
  <c r="H13" i="21"/>
  <c r="G13" i="21"/>
  <c r="G37" i="21" s="1"/>
  <c r="E13" i="21"/>
  <c r="E37" i="21" s="1"/>
  <c r="D13" i="21"/>
  <c r="D37" i="21" s="1"/>
  <c r="B13" i="21"/>
  <c r="B37" i="21" s="1"/>
  <c r="A13" i="21"/>
  <c r="A37" i="21" s="1"/>
  <c r="AS37" i="21" s="1"/>
  <c r="O12" i="21"/>
  <c r="N12" i="21"/>
  <c r="H12" i="21"/>
  <c r="G12" i="21"/>
  <c r="E12" i="21"/>
  <c r="D12" i="21"/>
  <c r="B12" i="21"/>
  <c r="A12" i="21"/>
  <c r="A36" i="21" s="1"/>
  <c r="O11" i="21"/>
  <c r="N11" i="21"/>
  <c r="H11" i="21"/>
  <c r="G11" i="21"/>
  <c r="E11" i="21"/>
  <c r="D11" i="21"/>
  <c r="B11" i="21"/>
  <c r="A11" i="21"/>
  <c r="A35" i="21" s="1"/>
  <c r="O10" i="21"/>
  <c r="N10" i="21"/>
  <c r="H10" i="21"/>
  <c r="G10" i="21"/>
  <c r="E10" i="21"/>
  <c r="D10" i="21"/>
  <c r="B10" i="21"/>
  <c r="A10" i="21"/>
  <c r="A34" i="21" s="1"/>
  <c r="O9" i="21"/>
  <c r="N9" i="21"/>
  <c r="H9" i="21"/>
  <c r="G9" i="21"/>
  <c r="E9" i="21"/>
  <c r="D9" i="21"/>
  <c r="B9" i="21"/>
  <c r="A9" i="21"/>
  <c r="A33" i="21" s="1"/>
  <c r="O8" i="21"/>
  <c r="N8" i="21"/>
  <c r="H8" i="21"/>
  <c r="G8" i="21"/>
  <c r="E8" i="21"/>
  <c r="D8" i="21"/>
  <c r="B8" i="21"/>
  <c r="A8" i="21"/>
  <c r="A32" i="21" s="1"/>
  <c r="N32" i="21" s="1"/>
  <c r="O7" i="21"/>
  <c r="N7" i="21"/>
  <c r="H7" i="21"/>
  <c r="G7" i="21"/>
  <c r="G31" i="21" s="1"/>
  <c r="E7" i="21"/>
  <c r="E31" i="21" s="1"/>
  <c r="D7" i="21"/>
  <c r="B7" i="21"/>
  <c r="B31" i="21" s="1"/>
  <c r="A7" i="21"/>
  <c r="O6" i="21"/>
  <c r="N6" i="21"/>
  <c r="H6" i="21"/>
  <c r="G6" i="21"/>
  <c r="E6" i="21"/>
  <c r="D6" i="21"/>
  <c r="B6" i="21"/>
  <c r="A6" i="21"/>
  <c r="A30" i="21" s="1"/>
  <c r="O5" i="21"/>
  <c r="N5" i="21"/>
  <c r="H5" i="21"/>
  <c r="G5" i="21"/>
  <c r="E5" i="21"/>
  <c r="D5" i="21"/>
  <c r="B5" i="21"/>
  <c r="A5" i="21"/>
  <c r="A29" i="21" s="1"/>
  <c r="N29" i="21" s="1"/>
  <c r="O4" i="21"/>
  <c r="N4" i="21"/>
  <c r="H4" i="21"/>
  <c r="G4" i="21"/>
  <c r="E4" i="21"/>
  <c r="D4" i="21"/>
  <c r="D28" i="21" s="1"/>
  <c r="B4" i="21"/>
  <c r="B28" i="21" s="1"/>
  <c r="A4" i="21"/>
  <c r="A28" i="21" s="1"/>
  <c r="AG28" i="21" s="1"/>
  <c r="BN28" i="21" s="1"/>
  <c r="H3" i="21"/>
  <c r="H26" i="21" s="1"/>
  <c r="G3" i="21"/>
  <c r="G26" i="21" s="1"/>
  <c r="AM26" i="21" s="1"/>
  <c r="F3" i="21"/>
  <c r="E3" i="21"/>
  <c r="D3" i="21"/>
  <c r="D26" i="21" s="1"/>
  <c r="C3" i="21"/>
  <c r="C26" i="21" s="1"/>
  <c r="B3" i="21"/>
  <c r="B26" i="21" s="1"/>
  <c r="A3" i="21"/>
  <c r="H2" i="21"/>
  <c r="H25" i="21" s="1"/>
  <c r="G2" i="21"/>
  <c r="G25" i="21" s="1"/>
  <c r="X25" i="21" s="1"/>
  <c r="F2" i="21"/>
  <c r="F25" i="21" s="1"/>
  <c r="W25" i="21" s="1"/>
  <c r="E2" i="21"/>
  <c r="E25" i="21" s="1"/>
  <c r="D2" i="21"/>
  <c r="D25" i="21" s="1"/>
  <c r="U25" i="21" s="1"/>
  <c r="C2" i="21"/>
  <c r="C25" i="21" s="1"/>
  <c r="B2" i="21"/>
  <c r="B25" i="21" s="1"/>
  <c r="AH25" i="21" s="1"/>
  <c r="AG45" i="20"/>
  <c r="AS45" i="20" s="1"/>
  <c r="BC45" i="20" s="1"/>
  <c r="A44" i="20"/>
  <c r="A40" i="20"/>
  <c r="A39" i="20"/>
  <c r="N39" i="20" s="1"/>
  <c r="A37" i="20"/>
  <c r="N30" i="20"/>
  <c r="R29" i="20"/>
  <c r="A28" i="20"/>
  <c r="BC27" i="20"/>
  <c r="AU27" i="20"/>
  <c r="AS27" i="20"/>
  <c r="W27" i="20"/>
  <c r="T27" i="20"/>
  <c r="R27" i="20"/>
  <c r="H27" i="20"/>
  <c r="G27" i="20"/>
  <c r="G28" i="20" s="1"/>
  <c r="E27" i="20"/>
  <c r="V27" i="20" s="1"/>
  <c r="D27" i="20"/>
  <c r="U27" i="20" s="1"/>
  <c r="B27" i="20"/>
  <c r="S27" i="20" s="1"/>
  <c r="BA26" i="20"/>
  <c r="BK26" i="20" s="1"/>
  <c r="AS26" i="20"/>
  <c r="Z26" i="20"/>
  <c r="R26" i="20"/>
  <c r="E25" i="20"/>
  <c r="AK25" i="20" s="1"/>
  <c r="AW25" i="20" s="1"/>
  <c r="BG25" i="20" s="1"/>
  <c r="O21" i="20"/>
  <c r="N21" i="20"/>
  <c r="H21" i="20"/>
  <c r="G21" i="20"/>
  <c r="E21" i="20"/>
  <c r="D21" i="20"/>
  <c r="B21" i="20"/>
  <c r="A21" i="20"/>
  <c r="A45" i="20" s="1"/>
  <c r="O20" i="20"/>
  <c r="N20" i="20"/>
  <c r="H20" i="20"/>
  <c r="G20" i="20"/>
  <c r="E20" i="20"/>
  <c r="D20" i="20"/>
  <c r="B20" i="20"/>
  <c r="A20" i="20"/>
  <c r="O19" i="20"/>
  <c r="N19" i="20"/>
  <c r="H19" i="20"/>
  <c r="G19" i="20"/>
  <c r="E19" i="20"/>
  <c r="D19" i="20"/>
  <c r="B19" i="20"/>
  <c r="A19" i="20"/>
  <c r="A43" i="20" s="1"/>
  <c r="O18" i="20"/>
  <c r="N18" i="20"/>
  <c r="H18" i="20"/>
  <c r="G18" i="20"/>
  <c r="E18" i="20"/>
  <c r="D18" i="20"/>
  <c r="B18" i="20"/>
  <c r="A18" i="20"/>
  <c r="A42" i="20" s="1"/>
  <c r="O17" i="20"/>
  <c r="N17" i="20"/>
  <c r="H17" i="20"/>
  <c r="G17" i="20"/>
  <c r="E17" i="20"/>
  <c r="D17" i="20"/>
  <c r="B17" i="20"/>
  <c r="A17" i="20"/>
  <c r="A41" i="20" s="1"/>
  <c r="O16" i="20"/>
  <c r="N16" i="20"/>
  <c r="H16" i="20"/>
  <c r="G16" i="20"/>
  <c r="E16" i="20"/>
  <c r="D16" i="20"/>
  <c r="B16" i="20"/>
  <c r="A16" i="20"/>
  <c r="O15" i="20"/>
  <c r="N15" i="20"/>
  <c r="H15" i="20"/>
  <c r="G15" i="20"/>
  <c r="E15" i="20"/>
  <c r="D15" i="20"/>
  <c r="B15" i="20"/>
  <c r="A15" i="20"/>
  <c r="O14" i="20"/>
  <c r="N14" i="20"/>
  <c r="H14" i="20"/>
  <c r="G14" i="20"/>
  <c r="E14" i="20"/>
  <c r="D14" i="20"/>
  <c r="B14" i="20"/>
  <c r="A14" i="20"/>
  <c r="A38" i="20" s="1"/>
  <c r="O13" i="20"/>
  <c r="N13" i="20"/>
  <c r="H13" i="20"/>
  <c r="G13" i="20"/>
  <c r="E13" i="20"/>
  <c r="D13" i="20"/>
  <c r="B13" i="20"/>
  <c r="A13" i="20"/>
  <c r="O12" i="20"/>
  <c r="N12" i="20"/>
  <c r="H12" i="20"/>
  <c r="G12" i="20"/>
  <c r="E12" i="20"/>
  <c r="D12" i="20"/>
  <c r="B12" i="20"/>
  <c r="A12" i="20"/>
  <c r="A36" i="20" s="1"/>
  <c r="O11" i="20"/>
  <c r="N11" i="20"/>
  <c r="H11" i="20"/>
  <c r="G11" i="20"/>
  <c r="E11" i="20"/>
  <c r="D11" i="20"/>
  <c r="B11" i="20"/>
  <c r="A11" i="20"/>
  <c r="A35" i="20" s="1"/>
  <c r="O10" i="20"/>
  <c r="N10" i="20"/>
  <c r="H10" i="20"/>
  <c r="G10" i="20"/>
  <c r="E10" i="20"/>
  <c r="D10" i="20"/>
  <c r="B10" i="20"/>
  <c r="A10" i="20"/>
  <c r="A34" i="20" s="1"/>
  <c r="O9" i="20"/>
  <c r="N9" i="20"/>
  <c r="H9" i="20"/>
  <c r="G9" i="20"/>
  <c r="E9" i="20"/>
  <c r="D9" i="20"/>
  <c r="B9" i="20"/>
  <c r="A9" i="20"/>
  <c r="A33" i="20" s="1"/>
  <c r="O8" i="20"/>
  <c r="N8" i="20"/>
  <c r="H8" i="20"/>
  <c r="G8" i="20"/>
  <c r="E8" i="20"/>
  <c r="D8" i="20"/>
  <c r="B8" i="20"/>
  <c r="A8" i="20"/>
  <c r="A32" i="20" s="1"/>
  <c r="AG32" i="20" s="1"/>
  <c r="AS32" i="20" s="1"/>
  <c r="BC32" i="20" s="1"/>
  <c r="O7" i="20"/>
  <c r="N7" i="20"/>
  <c r="H7" i="20"/>
  <c r="G7" i="20"/>
  <c r="E7" i="20"/>
  <c r="D7" i="20"/>
  <c r="B7" i="20"/>
  <c r="A7" i="20"/>
  <c r="A31" i="20" s="1"/>
  <c r="N31" i="20" s="1"/>
  <c r="O6" i="20"/>
  <c r="N6" i="20"/>
  <c r="H6" i="20"/>
  <c r="G6" i="20"/>
  <c r="E6" i="20"/>
  <c r="D6" i="20"/>
  <c r="B6" i="20"/>
  <c r="A6" i="20"/>
  <c r="A30" i="20" s="1"/>
  <c r="O5" i="20"/>
  <c r="N5" i="20"/>
  <c r="H5" i="20"/>
  <c r="G5" i="20"/>
  <c r="E5" i="20"/>
  <c r="D5" i="20"/>
  <c r="B5" i="20"/>
  <c r="A5" i="20"/>
  <c r="A29" i="20" s="1"/>
  <c r="O4" i="20"/>
  <c r="N4" i="20"/>
  <c r="H4" i="20"/>
  <c r="G4" i="20"/>
  <c r="E4" i="20"/>
  <c r="E28" i="20" s="1"/>
  <c r="D4" i="20"/>
  <c r="D28" i="20" s="1"/>
  <c r="B4" i="20"/>
  <c r="A4" i="20"/>
  <c r="H3" i="20"/>
  <c r="H26" i="20" s="1"/>
  <c r="G3" i="20"/>
  <c r="G26" i="20" s="1"/>
  <c r="F3" i="20"/>
  <c r="F26" i="20" s="1"/>
  <c r="E3" i="20"/>
  <c r="E26" i="20" s="1"/>
  <c r="D3" i="20"/>
  <c r="D26" i="20" s="1"/>
  <c r="C3" i="20"/>
  <c r="C26" i="20" s="1"/>
  <c r="B3" i="20"/>
  <c r="B26" i="20" s="1"/>
  <c r="A3" i="20"/>
  <c r="H2" i="20"/>
  <c r="H25" i="20" s="1"/>
  <c r="G2" i="20"/>
  <c r="G25" i="20" s="1"/>
  <c r="X25" i="20" s="1"/>
  <c r="F2" i="20"/>
  <c r="F25" i="20" s="1"/>
  <c r="AL25" i="20" s="1"/>
  <c r="AX25" i="20" s="1"/>
  <c r="BH25" i="20" s="1"/>
  <c r="E2" i="20"/>
  <c r="D2" i="20"/>
  <c r="D25" i="20" s="1"/>
  <c r="U25" i="20" s="1"/>
  <c r="C2" i="20"/>
  <c r="C25" i="20" s="1"/>
  <c r="T25" i="20" s="1"/>
  <c r="B2" i="20"/>
  <c r="B25" i="20" s="1"/>
  <c r="A37" i="19"/>
  <c r="AG37" i="19" s="1"/>
  <c r="A35" i="19"/>
  <c r="AG35" i="19" s="1"/>
  <c r="A29" i="19"/>
  <c r="AG29" i="19" s="1"/>
  <c r="B28" i="19"/>
  <c r="S27" i="19"/>
  <c r="R27" i="19"/>
  <c r="H27" i="19"/>
  <c r="Y27" i="19" s="1"/>
  <c r="G27" i="19"/>
  <c r="X27" i="19" s="1"/>
  <c r="E27" i="19"/>
  <c r="V27" i="19" s="1"/>
  <c r="D27" i="19"/>
  <c r="U27" i="19" s="1"/>
  <c r="B27" i="19"/>
  <c r="Z26" i="19"/>
  <c r="R26" i="19"/>
  <c r="F26" i="19"/>
  <c r="W26" i="19" s="1"/>
  <c r="AL25" i="19"/>
  <c r="D25" i="19"/>
  <c r="AJ25" i="19" s="1"/>
  <c r="C25" i="19"/>
  <c r="T25" i="19" s="1"/>
  <c r="H21" i="19"/>
  <c r="G21" i="19"/>
  <c r="F21" i="19"/>
  <c r="E21" i="19"/>
  <c r="D21" i="19"/>
  <c r="B21" i="19"/>
  <c r="A21" i="19"/>
  <c r="A45" i="19" s="1"/>
  <c r="H20" i="19"/>
  <c r="G20" i="19"/>
  <c r="F20" i="19"/>
  <c r="E20" i="19"/>
  <c r="D20" i="19"/>
  <c r="B20" i="19"/>
  <c r="A20" i="19"/>
  <c r="A44" i="19" s="1"/>
  <c r="H19" i="19"/>
  <c r="G19" i="19"/>
  <c r="F19" i="19"/>
  <c r="E19" i="19"/>
  <c r="D19" i="19"/>
  <c r="B19" i="19"/>
  <c r="A19" i="19"/>
  <c r="A43" i="19" s="1"/>
  <c r="H18" i="19"/>
  <c r="G18" i="19"/>
  <c r="F18" i="19"/>
  <c r="E18" i="19"/>
  <c r="D18" i="19"/>
  <c r="C18" i="19"/>
  <c r="B18" i="19"/>
  <c r="A18" i="19"/>
  <c r="A42" i="19" s="1"/>
  <c r="H17" i="19"/>
  <c r="G17" i="19"/>
  <c r="F17" i="19"/>
  <c r="E17" i="19"/>
  <c r="D17" i="19"/>
  <c r="C17" i="19"/>
  <c r="B17" i="19"/>
  <c r="A17" i="19"/>
  <c r="A41" i="19" s="1"/>
  <c r="N41" i="19" s="1"/>
  <c r="H16" i="19"/>
  <c r="G16" i="19"/>
  <c r="F16" i="19"/>
  <c r="E16" i="19"/>
  <c r="D16" i="19"/>
  <c r="C16" i="19"/>
  <c r="B16" i="19"/>
  <c r="A16" i="19"/>
  <c r="A40" i="19" s="1"/>
  <c r="H15" i="19"/>
  <c r="G15" i="19"/>
  <c r="F15" i="19"/>
  <c r="E15" i="19"/>
  <c r="D15" i="19"/>
  <c r="C15" i="19"/>
  <c r="B15" i="19"/>
  <c r="A15" i="19"/>
  <c r="A39" i="19" s="1"/>
  <c r="N39" i="19" s="1"/>
  <c r="H14" i="19"/>
  <c r="G14" i="19"/>
  <c r="F14" i="19"/>
  <c r="E14" i="19"/>
  <c r="D14" i="19"/>
  <c r="C14" i="19"/>
  <c r="B14" i="19"/>
  <c r="A14" i="19"/>
  <c r="A38" i="19" s="1"/>
  <c r="H13" i="19"/>
  <c r="G13" i="19"/>
  <c r="F13" i="19"/>
  <c r="E13" i="19"/>
  <c r="D13" i="19"/>
  <c r="C13" i="19"/>
  <c r="B13" i="19"/>
  <c r="A13" i="19"/>
  <c r="H12" i="19"/>
  <c r="G12" i="19"/>
  <c r="F12" i="19"/>
  <c r="E12" i="19"/>
  <c r="D12" i="19"/>
  <c r="C12" i="19"/>
  <c r="B12" i="19"/>
  <c r="A12" i="19"/>
  <c r="A36" i="19" s="1"/>
  <c r="H11" i="19"/>
  <c r="G11" i="19"/>
  <c r="F11" i="19"/>
  <c r="E11" i="19"/>
  <c r="D11" i="19"/>
  <c r="C11" i="19"/>
  <c r="B11" i="19"/>
  <c r="A11" i="19"/>
  <c r="H10" i="19"/>
  <c r="G10" i="19"/>
  <c r="F10" i="19"/>
  <c r="E10" i="19"/>
  <c r="D10" i="19"/>
  <c r="C10" i="19"/>
  <c r="B10" i="19"/>
  <c r="A10" i="19"/>
  <c r="A34" i="19" s="1"/>
  <c r="H9" i="19"/>
  <c r="G9" i="19"/>
  <c r="F9" i="19"/>
  <c r="E9" i="19"/>
  <c r="D9" i="19"/>
  <c r="C9" i="19"/>
  <c r="B9" i="19"/>
  <c r="A9" i="19"/>
  <c r="A33" i="19" s="1"/>
  <c r="H8" i="19"/>
  <c r="G8" i="19"/>
  <c r="F8" i="19"/>
  <c r="E8" i="19"/>
  <c r="D8" i="19"/>
  <c r="C8" i="19"/>
  <c r="B8" i="19"/>
  <c r="A8" i="19"/>
  <c r="A32" i="19" s="1"/>
  <c r="H7" i="19"/>
  <c r="G7" i="19"/>
  <c r="F7" i="19"/>
  <c r="E7" i="19"/>
  <c r="D7" i="19"/>
  <c r="C7" i="19"/>
  <c r="B7" i="19"/>
  <c r="A7" i="19"/>
  <c r="A31" i="19" s="1"/>
  <c r="H6" i="19"/>
  <c r="G6" i="19"/>
  <c r="F6" i="19"/>
  <c r="E6" i="19"/>
  <c r="D6" i="19"/>
  <c r="C6" i="19"/>
  <c r="B6" i="19"/>
  <c r="A6" i="19"/>
  <c r="A30" i="19" s="1"/>
  <c r="H5" i="19"/>
  <c r="G5" i="19"/>
  <c r="F5" i="19"/>
  <c r="E5" i="19"/>
  <c r="D5" i="19"/>
  <c r="C5" i="19"/>
  <c r="B5" i="19"/>
  <c r="A5" i="19"/>
  <c r="H4" i="19"/>
  <c r="G4" i="19"/>
  <c r="G28" i="19" s="1"/>
  <c r="F4" i="19"/>
  <c r="E4" i="19"/>
  <c r="D4" i="19"/>
  <c r="C4" i="19"/>
  <c r="B4" i="19"/>
  <c r="A4" i="19"/>
  <c r="A28" i="19" s="1"/>
  <c r="H3" i="19"/>
  <c r="H26" i="19" s="1"/>
  <c r="G3" i="19"/>
  <c r="G26" i="19" s="1"/>
  <c r="F3" i="19"/>
  <c r="E3" i="19"/>
  <c r="E26" i="19" s="1"/>
  <c r="D3" i="19"/>
  <c r="D26" i="19" s="1"/>
  <c r="C3" i="19"/>
  <c r="C26" i="19" s="1"/>
  <c r="B3" i="19"/>
  <c r="B26" i="19" s="1"/>
  <c r="AH26" i="19" s="1"/>
  <c r="A3" i="19"/>
  <c r="H2" i="19"/>
  <c r="H25" i="19" s="1"/>
  <c r="G2" i="19"/>
  <c r="G25" i="19" s="1"/>
  <c r="X25" i="19" s="1"/>
  <c r="F2" i="19"/>
  <c r="F25" i="19" s="1"/>
  <c r="W25" i="19" s="1"/>
  <c r="E2" i="19"/>
  <c r="E25" i="19" s="1"/>
  <c r="V25" i="19" s="1"/>
  <c r="D2" i="19"/>
  <c r="C2" i="19"/>
  <c r="B2" i="19"/>
  <c r="B25" i="19" s="1"/>
  <c r="O21" i="17"/>
  <c r="N21" i="17"/>
  <c r="O20" i="17"/>
  <c r="N20" i="17"/>
  <c r="O19" i="17"/>
  <c r="N19" i="17"/>
  <c r="O18" i="17"/>
  <c r="N18" i="17"/>
  <c r="O17" i="17"/>
  <c r="N17" i="17"/>
  <c r="O16" i="17"/>
  <c r="N16" i="17"/>
  <c r="O15" i="17"/>
  <c r="N15" i="17"/>
  <c r="O14" i="17"/>
  <c r="N14" i="17"/>
  <c r="O13" i="17"/>
  <c r="N13" i="17"/>
  <c r="O12" i="17"/>
  <c r="N12" i="17"/>
  <c r="O11" i="17"/>
  <c r="N11" i="17"/>
  <c r="O10" i="17"/>
  <c r="N10" i="17"/>
  <c r="O9" i="17"/>
  <c r="N9" i="17"/>
  <c r="O8" i="17"/>
  <c r="N8" i="17"/>
  <c r="O7" i="17"/>
  <c r="N7" i="17"/>
  <c r="O6" i="17"/>
  <c r="N6" i="17"/>
  <c r="O5" i="17"/>
  <c r="N5" i="17"/>
  <c r="O4" i="17"/>
  <c r="N4" i="17"/>
  <c r="A20" i="17"/>
  <c r="B20" i="17"/>
  <c r="D20" i="17"/>
  <c r="E20" i="17"/>
  <c r="F20" i="17"/>
  <c r="G20" i="17"/>
  <c r="H20" i="17"/>
  <c r="A21" i="17"/>
  <c r="B21" i="17"/>
  <c r="D21" i="17"/>
  <c r="E21" i="17"/>
  <c r="F21" i="17"/>
  <c r="G21" i="17"/>
  <c r="H21" i="17"/>
  <c r="A44" i="12"/>
  <c r="N44" i="12" s="1"/>
  <c r="A45" i="12"/>
  <c r="AG45" i="12" s="1"/>
  <c r="N45" i="12"/>
  <c r="R45" i="12"/>
  <c r="A20" i="12"/>
  <c r="B20" i="12"/>
  <c r="D20" i="12"/>
  <c r="E20" i="12"/>
  <c r="G20" i="12"/>
  <c r="H20" i="12"/>
  <c r="N20" i="12"/>
  <c r="O20" i="12"/>
  <c r="A21" i="12"/>
  <c r="B21" i="12"/>
  <c r="D21" i="12"/>
  <c r="E21" i="12"/>
  <c r="G21" i="12"/>
  <c r="H21" i="12"/>
  <c r="N21" i="12"/>
  <c r="O21" i="12"/>
  <c r="A20" i="10"/>
  <c r="A44" i="10" s="1"/>
  <c r="B20" i="10"/>
  <c r="D20" i="10"/>
  <c r="E20" i="10"/>
  <c r="G20" i="10"/>
  <c r="H20" i="10"/>
  <c r="N20" i="10"/>
  <c r="O20" i="10"/>
  <c r="A21" i="10"/>
  <c r="A45" i="10" s="1"/>
  <c r="N45" i="10" s="1"/>
  <c r="B21" i="10"/>
  <c r="D21" i="10"/>
  <c r="E21" i="10"/>
  <c r="G21" i="10"/>
  <c r="H21" i="10"/>
  <c r="N21" i="10"/>
  <c r="O21" i="10"/>
  <c r="A45" i="9"/>
  <c r="R45" i="9" s="1"/>
  <c r="N45" i="9"/>
  <c r="A20" i="9"/>
  <c r="A44" i="9" s="1"/>
  <c r="B20" i="9"/>
  <c r="D20" i="9"/>
  <c r="E20" i="9"/>
  <c r="F20" i="9"/>
  <c r="G20" i="9"/>
  <c r="H20" i="9"/>
  <c r="A21" i="9"/>
  <c r="B21" i="9"/>
  <c r="D21" i="9"/>
  <c r="E21" i="9"/>
  <c r="F21" i="9"/>
  <c r="G21" i="9"/>
  <c r="H21" i="9"/>
  <c r="H21" i="16"/>
  <c r="G21" i="16"/>
  <c r="F21" i="16"/>
  <c r="E21" i="16"/>
  <c r="D21" i="16"/>
  <c r="B21" i="16"/>
  <c r="A21" i="16"/>
  <c r="H20" i="16"/>
  <c r="G20" i="16"/>
  <c r="F20" i="16"/>
  <c r="E20" i="16"/>
  <c r="D20" i="16"/>
  <c r="B20" i="16"/>
  <c r="A20" i="16"/>
  <c r="H19" i="16"/>
  <c r="G19" i="16"/>
  <c r="F19" i="16"/>
  <c r="E19" i="16"/>
  <c r="D19" i="16"/>
  <c r="B19" i="16"/>
  <c r="A19" i="16"/>
  <c r="H18" i="16"/>
  <c r="G18" i="16"/>
  <c r="F18" i="16"/>
  <c r="E18" i="16"/>
  <c r="D18" i="16"/>
  <c r="C18" i="16"/>
  <c r="B18" i="16"/>
  <c r="A18" i="16"/>
  <c r="H17" i="16"/>
  <c r="G17" i="16"/>
  <c r="F17" i="16"/>
  <c r="E17" i="16"/>
  <c r="D17" i="16"/>
  <c r="C17" i="16"/>
  <c r="B17" i="16"/>
  <c r="A17" i="16"/>
  <c r="H16" i="16"/>
  <c r="G16" i="16"/>
  <c r="F16" i="16"/>
  <c r="E16" i="16"/>
  <c r="D16" i="16"/>
  <c r="C16" i="16"/>
  <c r="B16" i="16"/>
  <c r="A16" i="16"/>
  <c r="H15" i="16"/>
  <c r="G15" i="16"/>
  <c r="F15" i="16"/>
  <c r="E15" i="16"/>
  <c r="D15" i="16"/>
  <c r="C15" i="16"/>
  <c r="B15" i="16"/>
  <c r="A15" i="16"/>
  <c r="H14" i="16"/>
  <c r="G14" i="16"/>
  <c r="F14" i="16"/>
  <c r="E14" i="16"/>
  <c r="D14" i="16"/>
  <c r="C14" i="16"/>
  <c r="B14" i="16"/>
  <c r="A14" i="16"/>
  <c r="H13" i="16"/>
  <c r="G13" i="16"/>
  <c r="F13" i="16"/>
  <c r="E13" i="16"/>
  <c r="D13" i="16"/>
  <c r="C13" i="16"/>
  <c r="B13" i="16"/>
  <c r="A13" i="16"/>
  <c r="H12" i="16"/>
  <c r="G12" i="16"/>
  <c r="F12" i="16"/>
  <c r="E12" i="16"/>
  <c r="D12" i="16"/>
  <c r="C12" i="16"/>
  <c r="B12" i="16"/>
  <c r="A12" i="16"/>
  <c r="H11" i="16"/>
  <c r="G11" i="16"/>
  <c r="F11" i="16"/>
  <c r="E11" i="16"/>
  <c r="D11" i="16"/>
  <c r="C11" i="16"/>
  <c r="B11" i="16"/>
  <c r="A11" i="16"/>
  <c r="H10" i="16"/>
  <c r="G10" i="16"/>
  <c r="F10" i="16"/>
  <c r="E10" i="16"/>
  <c r="D10" i="16"/>
  <c r="C10" i="16"/>
  <c r="B10" i="16"/>
  <c r="A10" i="16"/>
  <c r="H9" i="16"/>
  <c r="G9" i="16"/>
  <c r="F9" i="16"/>
  <c r="E9" i="16"/>
  <c r="D9" i="16"/>
  <c r="C9" i="16"/>
  <c r="B9" i="16"/>
  <c r="A9" i="16"/>
  <c r="H8" i="16"/>
  <c r="G8" i="16"/>
  <c r="F8" i="16"/>
  <c r="E8" i="16"/>
  <c r="D8" i="16"/>
  <c r="C8" i="16"/>
  <c r="B8" i="16"/>
  <c r="A8" i="16"/>
  <c r="H7" i="16"/>
  <c r="G7" i="16"/>
  <c r="F7" i="16"/>
  <c r="E7" i="16"/>
  <c r="D7" i="16"/>
  <c r="C7" i="16"/>
  <c r="B7" i="16"/>
  <c r="A7" i="16"/>
  <c r="H6" i="16"/>
  <c r="G6" i="16"/>
  <c r="F6" i="16"/>
  <c r="E6" i="16"/>
  <c r="D6" i="16"/>
  <c r="C6" i="16"/>
  <c r="B6" i="16"/>
  <c r="A6" i="16"/>
  <c r="H5" i="16"/>
  <c r="G5" i="16"/>
  <c r="F5" i="16"/>
  <c r="E5" i="16"/>
  <c r="D5" i="16"/>
  <c r="C5" i="16"/>
  <c r="B5" i="16"/>
  <c r="A5" i="16"/>
  <c r="H4" i="16"/>
  <c r="G4" i="16"/>
  <c r="F4" i="16"/>
  <c r="E4" i="16"/>
  <c r="D4" i="16"/>
  <c r="C4" i="16"/>
  <c r="B4" i="16"/>
  <c r="A4" i="16"/>
  <c r="H3" i="16"/>
  <c r="G3" i="16"/>
  <c r="F3" i="16"/>
  <c r="E3" i="16"/>
  <c r="D3" i="16"/>
  <c r="C3" i="16"/>
  <c r="B3" i="16"/>
  <c r="A3" i="16"/>
  <c r="H2" i="16"/>
  <c r="G2" i="16"/>
  <c r="F2" i="16"/>
  <c r="E2" i="16"/>
  <c r="D2" i="16"/>
  <c r="C2" i="16"/>
  <c r="B2" i="16"/>
  <c r="A20" i="7"/>
  <c r="A44" i="7" s="1"/>
  <c r="O44" i="7" s="1"/>
  <c r="AA44" i="7" s="1"/>
  <c r="B20" i="7"/>
  <c r="D20" i="7"/>
  <c r="E20" i="7"/>
  <c r="F20" i="7"/>
  <c r="G20" i="7"/>
  <c r="H20" i="7"/>
  <c r="A21" i="7"/>
  <c r="A45" i="7" s="1"/>
  <c r="O45" i="7" s="1"/>
  <c r="AA45" i="7" s="1"/>
  <c r="B21" i="7"/>
  <c r="D21" i="7"/>
  <c r="E21" i="7"/>
  <c r="F21" i="7"/>
  <c r="G21" i="7"/>
  <c r="H21" i="7"/>
  <c r="C44" i="4"/>
  <c r="C45" i="4"/>
  <c r="A20" i="4"/>
  <c r="A44" i="4" s="1"/>
  <c r="B20" i="4"/>
  <c r="D20" i="4"/>
  <c r="E20" i="4"/>
  <c r="F20" i="4"/>
  <c r="G20" i="4"/>
  <c r="H20" i="4"/>
  <c r="A21" i="4"/>
  <c r="A45" i="4" s="1"/>
  <c r="B21" i="4"/>
  <c r="D21" i="4"/>
  <c r="E21" i="4"/>
  <c r="F21" i="4"/>
  <c r="G21" i="4"/>
  <c r="H21" i="4"/>
  <c r="A44" i="1"/>
  <c r="O44" i="1"/>
  <c r="A45" i="1"/>
  <c r="O45" i="1"/>
  <c r="AJ27" i="22" l="1"/>
  <c r="J28" i="37"/>
  <c r="K28" i="37" s="1"/>
  <c r="L28" i="37" s="1"/>
  <c r="O28" i="37"/>
  <c r="AN26" i="20"/>
  <c r="AZ26" i="20" s="1"/>
  <c r="BJ26" i="20" s="1"/>
  <c r="Y26" i="20"/>
  <c r="O44" i="4"/>
  <c r="AA44" i="4" s="1"/>
  <c r="A19" i="13"/>
  <c r="O45" i="4"/>
  <c r="AA45" i="4" s="1"/>
  <c r="A20" i="13"/>
  <c r="AK45" i="4"/>
  <c r="R44" i="9"/>
  <c r="N44" i="9"/>
  <c r="AG31" i="19"/>
  <c r="N31" i="19"/>
  <c r="AG33" i="19"/>
  <c r="N33" i="19"/>
  <c r="V25" i="21"/>
  <c r="AK25" i="21"/>
  <c r="AW25" i="21" s="1"/>
  <c r="AH25" i="19"/>
  <c r="S25" i="19"/>
  <c r="W26" i="20"/>
  <c r="AL26" i="20"/>
  <c r="AX26" i="20" s="1"/>
  <c r="BH26" i="20" s="1"/>
  <c r="BT26" i="21"/>
  <c r="AY26" i="21"/>
  <c r="AK26" i="19"/>
  <c r="V26" i="19"/>
  <c r="V25" i="22"/>
  <c r="AK25" i="22"/>
  <c r="R44" i="10"/>
  <c r="AG44" i="10"/>
  <c r="AS44" i="10" s="1"/>
  <c r="BC44" i="10" s="1"/>
  <c r="N44" i="10"/>
  <c r="AJ26" i="19"/>
  <c r="U26" i="19"/>
  <c r="D28" i="19"/>
  <c r="V25" i="20"/>
  <c r="X26" i="22"/>
  <c r="E28" i="19"/>
  <c r="N35" i="19"/>
  <c r="AM25" i="20"/>
  <c r="AY25" i="20" s="1"/>
  <c r="BI25" i="20" s="1"/>
  <c r="X27" i="20"/>
  <c r="AM27" i="22"/>
  <c r="AS44" i="12"/>
  <c r="N37" i="19"/>
  <c r="AH27" i="21"/>
  <c r="AT27" i="21" s="1"/>
  <c r="R44" i="12"/>
  <c r="R41" i="19"/>
  <c r="I27" i="20"/>
  <c r="Z27" i="20" s="1"/>
  <c r="R31" i="20"/>
  <c r="V27" i="27"/>
  <c r="AH27" i="27" s="1"/>
  <c r="AR27" i="27" s="1"/>
  <c r="AG44" i="12"/>
  <c r="N29" i="19"/>
  <c r="H28" i="20"/>
  <c r="I28" i="20" s="1"/>
  <c r="O28" i="20" s="1"/>
  <c r="AS45" i="12"/>
  <c r="AG41" i="19"/>
  <c r="AG31" i="20"/>
  <c r="AS31" i="20" s="1"/>
  <c r="BC31" i="20" s="1"/>
  <c r="AJ27" i="21"/>
  <c r="R30" i="22"/>
  <c r="B28" i="20"/>
  <c r="X27" i="21"/>
  <c r="AM27" i="21" s="1"/>
  <c r="BT27" i="21" s="1"/>
  <c r="S26" i="22"/>
  <c r="AG30" i="22"/>
  <c r="AQ28" i="27"/>
  <c r="G29" i="27" s="1"/>
  <c r="I28" i="27"/>
  <c r="W27" i="27"/>
  <c r="AI27" i="27" s="1"/>
  <c r="AS27" i="27" s="1"/>
  <c r="P27" i="27"/>
  <c r="AB27" i="27" s="1"/>
  <c r="AL27" i="27" s="1"/>
  <c r="AG28" i="19"/>
  <c r="N28" i="19"/>
  <c r="R28" i="19"/>
  <c r="AG30" i="19"/>
  <c r="R30" i="19"/>
  <c r="N30" i="19"/>
  <c r="AG34" i="19"/>
  <c r="N34" i="19"/>
  <c r="R34" i="19"/>
  <c r="AG38" i="19"/>
  <c r="R38" i="19"/>
  <c r="N38" i="19"/>
  <c r="S26" i="20"/>
  <c r="AH26" i="20"/>
  <c r="AT26" i="20" s="1"/>
  <c r="BD26" i="20" s="1"/>
  <c r="X26" i="19"/>
  <c r="AM26" i="19"/>
  <c r="AG32" i="19"/>
  <c r="R32" i="19"/>
  <c r="N32" i="19"/>
  <c r="AG36" i="19"/>
  <c r="R36" i="19"/>
  <c r="N36" i="19"/>
  <c r="AG40" i="19"/>
  <c r="N40" i="19"/>
  <c r="R40" i="19"/>
  <c r="R42" i="19"/>
  <c r="N42" i="19"/>
  <c r="AG42" i="19"/>
  <c r="R33" i="20"/>
  <c r="N33" i="20"/>
  <c r="AG33" i="20"/>
  <c r="AS33" i="20" s="1"/>
  <c r="BC33" i="20" s="1"/>
  <c r="AH25" i="20"/>
  <c r="AT25" i="20" s="1"/>
  <c r="BD25" i="20" s="1"/>
  <c r="S25" i="20"/>
  <c r="G29" i="19"/>
  <c r="AN26" i="19"/>
  <c r="Y26" i="19"/>
  <c r="AG36" i="22"/>
  <c r="R36" i="22"/>
  <c r="N36" i="22"/>
  <c r="AG32" i="21"/>
  <c r="BN32" i="21" s="1"/>
  <c r="BR25" i="21"/>
  <c r="R45" i="19"/>
  <c r="AG45" i="19"/>
  <c r="N45" i="19"/>
  <c r="R37" i="21"/>
  <c r="AG37" i="21"/>
  <c r="BN37" i="21" s="1"/>
  <c r="N37" i="21"/>
  <c r="R44" i="19"/>
  <c r="N44" i="19"/>
  <c r="AG44" i="19"/>
  <c r="AI26" i="20"/>
  <c r="AU26" i="20" s="1"/>
  <c r="BE26" i="20" s="1"/>
  <c r="T26" i="20"/>
  <c r="BO25" i="21"/>
  <c r="AT25" i="21"/>
  <c r="AG39" i="21"/>
  <c r="BN39" i="21" s="1"/>
  <c r="R39" i="21"/>
  <c r="N39" i="21"/>
  <c r="AS39" i="21"/>
  <c r="AK25" i="19"/>
  <c r="AM27" i="19"/>
  <c r="R29" i="19"/>
  <c r="R35" i="19"/>
  <c r="R37" i="19"/>
  <c r="N44" i="20"/>
  <c r="AG44" i="20"/>
  <c r="AS44" i="20" s="1"/>
  <c r="BC44" i="20" s="1"/>
  <c r="R44" i="20"/>
  <c r="AJ26" i="22"/>
  <c r="U26" i="22"/>
  <c r="AJ26" i="21"/>
  <c r="U26" i="21"/>
  <c r="AL26" i="19"/>
  <c r="U25" i="19"/>
  <c r="AG39" i="19"/>
  <c r="AI25" i="20"/>
  <c r="AU25" i="20" s="1"/>
  <c r="BE25" i="20" s="1"/>
  <c r="R39" i="20"/>
  <c r="AG39" i="20"/>
  <c r="AS39" i="20" s="1"/>
  <c r="BC39" i="20" s="1"/>
  <c r="R39" i="19"/>
  <c r="AJ25" i="20"/>
  <c r="AV25" i="20" s="1"/>
  <c r="BF25" i="20" s="1"/>
  <c r="AI25" i="19"/>
  <c r="R32" i="21"/>
  <c r="AS32" i="21"/>
  <c r="AS36" i="21"/>
  <c r="N36" i="21"/>
  <c r="R36" i="21"/>
  <c r="AG36" i="21"/>
  <c r="BN36" i="21" s="1"/>
  <c r="AN25" i="19"/>
  <c r="Y25" i="19"/>
  <c r="V26" i="21"/>
  <c r="AK26" i="21"/>
  <c r="AG31" i="21"/>
  <c r="BN31" i="21" s="1"/>
  <c r="N31" i="21"/>
  <c r="AS31" i="21"/>
  <c r="R31" i="21"/>
  <c r="R43" i="19"/>
  <c r="N43" i="19"/>
  <c r="AG43" i="19"/>
  <c r="R31" i="19"/>
  <c r="R33" i="19"/>
  <c r="N37" i="20"/>
  <c r="R37" i="20"/>
  <c r="AG37" i="20"/>
  <c r="AS37" i="20" s="1"/>
  <c r="BC37" i="20" s="1"/>
  <c r="S25" i="21"/>
  <c r="AJ25" i="22"/>
  <c r="U25" i="22"/>
  <c r="H28" i="19"/>
  <c r="AG28" i="20"/>
  <c r="AS28" i="20" s="1"/>
  <c r="BC28" i="20" s="1"/>
  <c r="N28" i="20"/>
  <c r="R28" i="20"/>
  <c r="AI26" i="19"/>
  <c r="T26" i="19"/>
  <c r="AM25" i="19"/>
  <c r="I27" i="19"/>
  <c r="Z27" i="19" s="1"/>
  <c r="AG40" i="20"/>
  <c r="AS40" i="20" s="1"/>
  <c r="BC40" i="20" s="1"/>
  <c r="N40" i="20"/>
  <c r="R40" i="20"/>
  <c r="AJ25" i="21"/>
  <c r="AM26" i="20"/>
  <c r="AY26" i="20" s="1"/>
  <c r="BI26" i="20" s="1"/>
  <c r="X26" i="20"/>
  <c r="AG29" i="20"/>
  <c r="AS29" i="20" s="1"/>
  <c r="BC29" i="20" s="1"/>
  <c r="N29" i="20"/>
  <c r="AG30" i="20"/>
  <c r="AS30" i="20" s="1"/>
  <c r="BC30" i="20" s="1"/>
  <c r="R30" i="20"/>
  <c r="N32" i="20"/>
  <c r="R32" i="20"/>
  <c r="R34" i="20"/>
  <c r="AG34" i="20"/>
  <c r="AS34" i="20" s="1"/>
  <c r="BC34" i="20" s="1"/>
  <c r="N34" i="20"/>
  <c r="N35" i="20"/>
  <c r="AG35" i="20"/>
  <c r="AS35" i="20" s="1"/>
  <c r="BC35" i="20" s="1"/>
  <c r="R35" i="20"/>
  <c r="N36" i="20"/>
  <c r="R36" i="20"/>
  <c r="AG36" i="20"/>
  <c r="AS36" i="20" s="1"/>
  <c r="BC36" i="20" s="1"/>
  <c r="R38" i="20"/>
  <c r="N38" i="20"/>
  <c r="AG38" i="20"/>
  <c r="AS38" i="20" s="1"/>
  <c r="BC38" i="20" s="1"/>
  <c r="AG41" i="20"/>
  <c r="AS41" i="20" s="1"/>
  <c r="BC41" i="20" s="1"/>
  <c r="N41" i="20"/>
  <c r="R41" i="20"/>
  <c r="AG42" i="20"/>
  <c r="AS42" i="20" s="1"/>
  <c r="BC42" i="20" s="1"/>
  <c r="N42" i="20"/>
  <c r="R42" i="20"/>
  <c r="N43" i="20"/>
  <c r="R43" i="20"/>
  <c r="AG43" i="20"/>
  <c r="AS43" i="20" s="1"/>
  <c r="BC43" i="20" s="1"/>
  <c r="N45" i="20"/>
  <c r="R45" i="20"/>
  <c r="AL26" i="21"/>
  <c r="E28" i="21"/>
  <c r="AY27" i="21"/>
  <c r="S26" i="19"/>
  <c r="Y25" i="20"/>
  <c r="AN25" i="20"/>
  <c r="AZ25" i="20" s="1"/>
  <c r="BJ25" i="20" s="1"/>
  <c r="W25" i="20"/>
  <c r="W25" i="22"/>
  <c r="AL25" i="22"/>
  <c r="BS25" i="21"/>
  <c r="AX25" i="21"/>
  <c r="AN26" i="21"/>
  <c r="Y26" i="21"/>
  <c r="AG29" i="21"/>
  <c r="BN29" i="21" s="1"/>
  <c r="AS29" i="21"/>
  <c r="R29" i="21"/>
  <c r="R28" i="21"/>
  <c r="AS28" i="21"/>
  <c r="AS30" i="21"/>
  <c r="AG30" i="21"/>
  <c r="BN30" i="21" s="1"/>
  <c r="R30" i="21"/>
  <c r="N30" i="21"/>
  <c r="R33" i="21"/>
  <c r="N33" i="21"/>
  <c r="AS33" i="21"/>
  <c r="AG34" i="21"/>
  <c r="BN34" i="21" s="1"/>
  <c r="AS34" i="21"/>
  <c r="R34" i="21"/>
  <c r="AS35" i="21"/>
  <c r="AG35" i="21"/>
  <c r="BN35" i="21" s="1"/>
  <c r="R35" i="21"/>
  <c r="R38" i="21"/>
  <c r="AG38" i="21"/>
  <c r="BN38" i="21" s="1"/>
  <c r="N38" i="21"/>
  <c r="AG40" i="21"/>
  <c r="BN40" i="21" s="1"/>
  <c r="AS40" i="21"/>
  <c r="N40" i="21"/>
  <c r="R40" i="21"/>
  <c r="AS41" i="21"/>
  <c r="AG41" i="21"/>
  <c r="N41" i="21"/>
  <c r="R41" i="21"/>
  <c r="AS42" i="21"/>
  <c r="AG42" i="21"/>
  <c r="BN42" i="21" s="1"/>
  <c r="R42" i="21"/>
  <c r="N42" i="21"/>
  <c r="AS43" i="21"/>
  <c r="N43" i="21"/>
  <c r="AG43" i="21"/>
  <c r="R43" i="21"/>
  <c r="AS44" i="21"/>
  <c r="N44" i="21"/>
  <c r="AG44" i="21"/>
  <c r="R44" i="21"/>
  <c r="AG45" i="21"/>
  <c r="AS45" i="21"/>
  <c r="N45" i="21"/>
  <c r="R45" i="21"/>
  <c r="N28" i="21"/>
  <c r="AH26" i="21"/>
  <c r="S26" i="21"/>
  <c r="T25" i="21"/>
  <c r="AI25" i="21"/>
  <c r="BO27" i="21"/>
  <c r="AG33" i="21"/>
  <c r="BN33" i="21" s="1"/>
  <c r="AS38" i="21"/>
  <c r="AG32" i="22"/>
  <c r="R32" i="22"/>
  <c r="N32" i="22"/>
  <c r="AI26" i="21"/>
  <c r="T26" i="21"/>
  <c r="AJ26" i="20"/>
  <c r="AV26" i="20" s="1"/>
  <c r="BF26" i="20" s="1"/>
  <c r="U26" i="20"/>
  <c r="Y27" i="20"/>
  <c r="X26" i="21"/>
  <c r="AK26" i="20"/>
  <c r="AW26" i="20" s="1"/>
  <c r="BG26" i="20" s="1"/>
  <c r="V26" i="20"/>
  <c r="R44" i="22"/>
  <c r="N44" i="22"/>
  <c r="Y25" i="21"/>
  <c r="AN25" i="21"/>
  <c r="AI25" i="22"/>
  <c r="T25" i="22"/>
  <c r="AI26" i="22"/>
  <c r="T26" i="22"/>
  <c r="AG29" i="22"/>
  <c r="N29" i="22"/>
  <c r="AG33" i="22"/>
  <c r="N33" i="22"/>
  <c r="R33" i="22"/>
  <c r="AG37" i="22"/>
  <c r="N37" i="22"/>
  <c r="R37" i="22"/>
  <c r="AG41" i="22"/>
  <c r="N41" i="22"/>
  <c r="AM25" i="21"/>
  <c r="Y27" i="21"/>
  <c r="AN27" i="21" s="1"/>
  <c r="R41" i="22"/>
  <c r="R45" i="22"/>
  <c r="V27" i="21"/>
  <c r="AK27" i="21" s="1"/>
  <c r="N35" i="22"/>
  <c r="R35" i="22"/>
  <c r="AG35" i="22"/>
  <c r="N43" i="22"/>
  <c r="R43" i="22"/>
  <c r="AG43" i="22"/>
  <c r="AM25" i="22"/>
  <c r="N31" i="22"/>
  <c r="R31" i="22"/>
  <c r="N39" i="22"/>
  <c r="R39" i="22"/>
  <c r="AG31" i="22"/>
  <c r="R42" i="22"/>
  <c r="AK26" i="22"/>
  <c r="V26" i="22"/>
  <c r="N34" i="22"/>
  <c r="R34" i="22"/>
  <c r="N38" i="22"/>
  <c r="AG38" i="22"/>
  <c r="AN26" i="22"/>
  <c r="AK27" i="22"/>
  <c r="AO27" i="22"/>
  <c r="R38" i="22"/>
  <c r="AH27" i="22"/>
  <c r="S25" i="22"/>
  <c r="AH25" i="22"/>
  <c r="I28" i="22"/>
  <c r="O28" i="22" s="1"/>
  <c r="AG40" i="22"/>
  <c r="R40" i="22"/>
  <c r="AG28" i="22"/>
  <c r="R28" i="22"/>
  <c r="N40" i="22"/>
  <c r="AG45" i="10"/>
  <c r="AS45" i="10" s="1"/>
  <c r="BC45" i="10" s="1"/>
  <c r="R45" i="10"/>
  <c r="AG45" i="9"/>
  <c r="AG44" i="9"/>
  <c r="AK44" i="4"/>
  <c r="O29" i="37" l="1"/>
  <c r="O30" i="37" s="1"/>
  <c r="O31" i="37" s="1"/>
  <c r="O32" i="37" s="1"/>
  <c r="O33" i="37" s="1"/>
  <c r="O34" i="37" s="1"/>
  <c r="O35" i="37" s="1"/>
  <c r="O36" i="37" s="1"/>
  <c r="O37" i="37" s="1"/>
  <c r="O38" i="37" s="1"/>
  <c r="O39" i="37" s="1"/>
  <c r="O40" i="37" s="1"/>
  <c r="O41" i="37" s="1"/>
  <c r="O42" i="37" s="1"/>
  <c r="AO27" i="20"/>
  <c r="BA27" i="20" s="1"/>
  <c r="BK27" i="20" s="1"/>
  <c r="AJ27" i="20"/>
  <c r="AV27" i="20" s="1"/>
  <c r="BF27" i="20" s="1"/>
  <c r="AN27" i="20"/>
  <c r="AZ27" i="20" s="1"/>
  <c r="BJ27" i="20" s="1"/>
  <c r="AK27" i="20"/>
  <c r="AW27" i="20" s="1"/>
  <c r="BG27" i="20" s="1"/>
  <c r="AB28" i="27"/>
  <c r="AH27" i="20"/>
  <c r="AT27" i="20" s="1"/>
  <c r="BD27" i="20" s="1"/>
  <c r="AM27" i="20"/>
  <c r="AY27" i="20" s="1"/>
  <c r="BI27" i="20" s="1"/>
  <c r="BQ27" i="21"/>
  <c r="AV27" i="21"/>
  <c r="AH28" i="27"/>
  <c r="AS28" i="27"/>
  <c r="J28" i="27"/>
  <c r="K28" i="27" s="1"/>
  <c r="L28" i="27" s="1"/>
  <c r="AI28" i="27"/>
  <c r="AE28" i="27"/>
  <c r="R28" i="27"/>
  <c r="S28" i="27"/>
  <c r="AD28" i="27"/>
  <c r="U28" i="27"/>
  <c r="P28" i="27"/>
  <c r="V28" i="27"/>
  <c r="AG28" i="27"/>
  <c r="AZ27" i="21"/>
  <c r="BU27" i="21"/>
  <c r="J28" i="22"/>
  <c r="K28" i="22" s="1"/>
  <c r="L28" i="22" s="1"/>
  <c r="BT25" i="21"/>
  <c r="AY25" i="21"/>
  <c r="AO27" i="21"/>
  <c r="G30" i="19"/>
  <c r="BP26" i="21"/>
  <c r="AU26" i="21"/>
  <c r="J28" i="20"/>
  <c r="K28" i="20" s="1"/>
  <c r="L28" i="20" s="1"/>
  <c r="AO27" i="19"/>
  <c r="AH27" i="19"/>
  <c r="AK27" i="19"/>
  <c r="AV26" i="21"/>
  <c r="BQ26" i="21"/>
  <c r="AN27" i="19"/>
  <c r="AZ25" i="21"/>
  <c r="BU25" i="21"/>
  <c r="BS26" i="21"/>
  <c r="AX26" i="21"/>
  <c r="AV25" i="21"/>
  <c r="BQ25" i="21"/>
  <c r="BO26" i="21"/>
  <c r="AT26" i="21"/>
  <c r="BR27" i="21"/>
  <c r="AW27" i="21"/>
  <c r="BP25" i="21"/>
  <c r="AU25" i="21"/>
  <c r="BU26" i="21"/>
  <c r="AZ26" i="21"/>
  <c r="AW26" i="21"/>
  <c r="BR26" i="21"/>
  <c r="I28" i="19"/>
  <c r="O28" i="19" s="1"/>
  <c r="I28" i="21"/>
  <c r="O28" i="21" s="1"/>
  <c r="AJ27" i="19"/>
  <c r="D45" i="17"/>
  <c r="E45" i="17"/>
  <c r="A45" i="17"/>
  <c r="R27" i="17"/>
  <c r="Y27" i="17"/>
  <c r="X27" i="17"/>
  <c r="S27" i="17"/>
  <c r="Z26" i="17"/>
  <c r="R26" i="17"/>
  <c r="A44" i="17"/>
  <c r="H19" i="17"/>
  <c r="G19" i="17"/>
  <c r="F19" i="17"/>
  <c r="E19" i="17"/>
  <c r="D19" i="17"/>
  <c r="B19" i="17"/>
  <c r="A19" i="17"/>
  <c r="A43" i="17" s="1"/>
  <c r="H18" i="17"/>
  <c r="G18" i="17"/>
  <c r="F18" i="17"/>
  <c r="E18" i="17"/>
  <c r="D18" i="17"/>
  <c r="C18" i="17"/>
  <c r="B18" i="17"/>
  <c r="A18" i="17"/>
  <c r="A42" i="17" s="1"/>
  <c r="H17" i="17"/>
  <c r="G17" i="17"/>
  <c r="F17" i="17"/>
  <c r="E17" i="17"/>
  <c r="D17" i="17"/>
  <c r="C17" i="17"/>
  <c r="B17" i="17"/>
  <c r="A17" i="17"/>
  <c r="A41" i="17" s="1"/>
  <c r="H16" i="17"/>
  <c r="G16" i="17"/>
  <c r="F16" i="17"/>
  <c r="E16" i="17"/>
  <c r="D16" i="17"/>
  <c r="C16" i="17"/>
  <c r="B16" i="17"/>
  <c r="A16" i="17"/>
  <c r="A40" i="17" s="1"/>
  <c r="H15" i="17"/>
  <c r="G15" i="17"/>
  <c r="F15" i="17"/>
  <c r="E15" i="17"/>
  <c r="D15" i="17"/>
  <c r="C15" i="17"/>
  <c r="B15" i="17"/>
  <c r="A15" i="17"/>
  <c r="A39" i="17" s="1"/>
  <c r="H14" i="17"/>
  <c r="G14" i="17"/>
  <c r="F14" i="17"/>
  <c r="E14" i="17"/>
  <c r="D14" i="17"/>
  <c r="C14" i="17"/>
  <c r="B14" i="17"/>
  <c r="A14" i="17"/>
  <c r="A38" i="17" s="1"/>
  <c r="H13" i="17"/>
  <c r="G13" i="17"/>
  <c r="F13" i="17"/>
  <c r="E13" i="17"/>
  <c r="D13" i="17"/>
  <c r="C13" i="17"/>
  <c r="B13" i="17"/>
  <c r="A13" i="17"/>
  <c r="A37" i="17" s="1"/>
  <c r="H12" i="17"/>
  <c r="G12" i="17"/>
  <c r="F12" i="17"/>
  <c r="E12" i="17"/>
  <c r="D12" i="17"/>
  <c r="C12" i="17"/>
  <c r="B12" i="17"/>
  <c r="A12" i="17"/>
  <c r="A36" i="17" s="1"/>
  <c r="H11" i="17"/>
  <c r="G11" i="17"/>
  <c r="F11" i="17"/>
  <c r="E11" i="17"/>
  <c r="D11" i="17"/>
  <c r="C11" i="17"/>
  <c r="B11" i="17"/>
  <c r="A11" i="17"/>
  <c r="A35" i="17" s="1"/>
  <c r="H10" i="17"/>
  <c r="G10" i="17"/>
  <c r="F10" i="17"/>
  <c r="E10" i="17"/>
  <c r="D10" i="17"/>
  <c r="C10" i="17"/>
  <c r="B10" i="17"/>
  <c r="A10" i="17"/>
  <c r="A34" i="17" s="1"/>
  <c r="H9" i="17"/>
  <c r="G9" i="17"/>
  <c r="F9" i="17"/>
  <c r="E9" i="17"/>
  <c r="D9" i="17"/>
  <c r="C9" i="17"/>
  <c r="B9" i="17"/>
  <c r="A9" i="17"/>
  <c r="A33" i="17" s="1"/>
  <c r="H8" i="17"/>
  <c r="G8" i="17"/>
  <c r="F8" i="17"/>
  <c r="E8" i="17"/>
  <c r="D8" i="17"/>
  <c r="C8" i="17"/>
  <c r="B8" i="17"/>
  <c r="A8" i="17"/>
  <c r="A32" i="17" s="1"/>
  <c r="H7" i="17"/>
  <c r="G7" i="17"/>
  <c r="F7" i="17"/>
  <c r="E7" i="17"/>
  <c r="D7" i="17"/>
  <c r="C7" i="17"/>
  <c r="B7" i="17"/>
  <c r="A7" i="17"/>
  <c r="A31" i="17" s="1"/>
  <c r="H6" i="17"/>
  <c r="G6" i="17"/>
  <c r="F6" i="17"/>
  <c r="E6" i="17"/>
  <c r="D6" i="17"/>
  <c r="C6" i="17"/>
  <c r="B6" i="17"/>
  <c r="A6" i="17"/>
  <c r="A30" i="17" s="1"/>
  <c r="H5" i="17"/>
  <c r="G5" i="17"/>
  <c r="F5" i="17"/>
  <c r="E5" i="17"/>
  <c r="D5" i="17"/>
  <c r="C5" i="17"/>
  <c r="B5" i="17"/>
  <c r="A5" i="17"/>
  <c r="A29" i="17" s="1"/>
  <c r="H4" i="17"/>
  <c r="G4" i="17"/>
  <c r="G28" i="17" s="1"/>
  <c r="X28" i="17" s="1"/>
  <c r="F4" i="17"/>
  <c r="E4" i="17"/>
  <c r="D4" i="17"/>
  <c r="C4" i="17"/>
  <c r="B4" i="17"/>
  <c r="A4" i="17"/>
  <c r="A28" i="17" s="1"/>
  <c r="H3" i="17"/>
  <c r="H26" i="17" s="1"/>
  <c r="G3" i="17"/>
  <c r="G26" i="17" s="1"/>
  <c r="AM26" i="17" s="1"/>
  <c r="F3" i="17"/>
  <c r="F26" i="17" s="1"/>
  <c r="E3" i="17"/>
  <c r="E26" i="17" s="1"/>
  <c r="D3" i="17"/>
  <c r="D26" i="17" s="1"/>
  <c r="C3" i="17"/>
  <c r="C26" i="17" s="1"/>
  <c r="AI26" i="17" s="1"/>
  <c r="B3" i="17"/>
  <c r="B26" i="17" s="1"/>
  <c r="A3" i="17"/>
  <c r="H2" i="17"/>
  <c r="H25" i="17" s="1"/>
  <c r="Y25" i="17" s="1"/>
  <c r="G2" i="17"/>
  <c r="G25" i="17" s="1"/>
  <c r="F2" i="17"/>
  <c r="F25" i="17" s="1"/>
  <c r="E2" i="17"/>
  <c r="E25" i="17" s="1"/>
  <c r="D2" i="17"/>
  <c r="D25" i="17" s="1"/>
  <c r="U25" i="17" s="1"/>
  <c r="C2" i="17"/>
  <c r="C25" i="17" s="1"/>
  <c r="B2" i="17"/>
  <c r="B25" i="17" s="1"/>
  <c r="A44" i="16"/>
  <c r="A45" i="16"/>
  <c r="A43" i="16"/>
  <c r="A42" i="16"/>
  <c r="A41" i="16"/>
  <c r="AA40" i="16" s="1"/>
  <c r="A40" i="16"/>
  <c r="A39" i="16"/>
  <c r="A38" i="16"/>
  <c r="A37" i="16"/>
  <c r="A36" i="16"/>
  <c r="A35" i="16"/>
  <c r="A34" i="16"/>
  <c r="A33" i="16"/>
  <c r="A32" i="16"/>
  <c r="A31" i="16"/>
  <c r="A30" i="16"/>
  <c r="A29" i="16"/>
  <c r="B28" i="16"/>
  <c r="A28" i="16"/>
  <c r="I27" i="16"/>
  <c r="H26" i="16"/>
  <c r="V26" i="16" s="1"/>
  <c r="G26" i="16"/>
  <c r="U26" i="16" s="1"/>
  <c r="F26" i="16"/>
  <c r="T26" i="16" s="1"/>
  <c r="E26" i="16"/>
  <c r="S26" i="16" s="1"/>
  <c r="D26" i="16"/>
  <c r="R26" i="16" s="1"/>
  <c r="C26" i="16"/>
  <c r="Q26" i="16" s="1"/>
  <c r="B26" i="16"/>
  <c r="P26" i="16" s="1"/>
  <c r="H25" i="16"/>
  <c r="V25" i="16" s="1"/>
  <c r="G25" i="16"/>
  <c r="U25" i="16" s="1"/>
  <c r="F25" i="16"/>
  <c r="T25" i="16" s="1"/>
  <c r="E25" i="16"/>
  <c r="S25" i="16" s="1"/>
  <c r="D25" i="16"/>
  <c r="R25" i="16" s="1"/>
  <c r="C25" i="16"/>
  <c r="Q25" i="16" s="1"/>
  <c r="B25" i="16"/>
  <c r="P25" i="16" s="1"/>
  <c r="H29" i="37" l="1"/>
  <c r="Y29" i="37" s="1"/>
  <c r="O46" i="37"/>
  <c r="O43" i="37"/>
  <c r="O44" i="37" s="1"/>
  <c r="O45" i="37" s="1"/>
  <c r="O47" i="37" s="1"/>
  <c r="B29" i="37"/>
  <c r="S29" i="37" s="1"/>
  <c r="Z28" i="37"/>
  <c r="AH28" i="37" s="1"/>
  <c r="AT28" i="27"/>
  <c r="AR28" i="27"/>
  <c r="H29" i="27" s="1"/>
  <c r="Q27" i="16"/>
  <c r="AB26" i="16"/>
  <c r="AL28" i="27"/>
  <c r="B29" i="27" s="1"/>
  <c r="I29" i="27" s="1"/>
  <c r="AE29" i="27" s="1"/>
  <c r="P29" i="27"/>
  <c r="AI29" i="27"/>
  <c r="AS29" i="27"/>
  <c r="J29" i="27"/>
  <c r="K29" i="27" s="1"/>
  <c r="L29" i="27" s="1"/>
  <c r="S29" i="27"/>
  <c r="V29" i="27"/>
  <c r="W28" i="27"/>
  <c r="X28" i="27"/>
  <c r="AB29" i="27"/>
  <c r="O29" i="20"/>
  <c r="O30" i="20" s="1"/>
  <c r="O31" i="20" s="1"/>
  <c r="O32" i="20" s="1"/>
  <c r="O33" i="20" s="1"/>
  <c r="O34" i="20" s="1"/>
  <c r="O35" i="20" s="1"/>
  <c r="O36" i="20" s="1"/>
  <c r="O37" i="20" s="1"/>
  <c r="O38" i="20" s="1"/>
  <c r="O39" i="20" s="1"/>
  <c r="O40" i="20" s="1"/>
  <c r="O41" i="20" s="1"/>
  <c r="O42" i="20" s="1"/>
  <c r="U28" i="20"/>
  <c r="S28" i="20"/>
  <c r="V28" i="20"/>
  <c r="Y28" i="20"/>
  <c r="X28" i="20"/>
  <c r="BA27" i="21"/>
  <c r="BV27" i="21"/>
  <c r="J28" i="19"/>
  <c r="K28" i="19" s="1"/>
  <c r="L28" i="19" s="1"/>
  <c r="O29" i="22"/>
  <c r="O30" i="22" s="1"/>
  <c r="O31" i="22" s="1"/>
  <c r="O32" i="22" s="1"/>
  <c r="O33" i="22" s="1"/>
  <c r="O34" i="22" s="1"/>
  <c r="O35" i="22" s="1"/>
  <c r="O36" i="22" s="1"/>
  <c r="O37" i="22" s="1"/>
  <c r="O38" i="22" s="1"/>
  <c r="O39" i="22" s="1"/>
  <c r="O40" i="22" s="1"/>
  <c r="O41" i="22" s="1"/>
  <c r="O42" i="22" s="1"/>
  <c r="O43" i="22" s="1"/>
  <c r="O44" i="22" s="1"/>
  <c r="O45" i="22" s="1"/>
  <c r="O46" i="22" s="1"/>
  <c r="S28" i="22"/>
  <c r="J28" i="21"/>
  <c r="K28" i="21" s="1"/>
  <c r="L28" i="21" s="1"/>
  <c r="G31" i="19"/>
  <c r="R45" i="17"/>
  <c r="N45" i="17"/>
  <c r="O36" i="16"/>
  <c r="AA35" i="16"/>
  <c r="O43" i="16"/>
  <c r="AA42" i="16"/>
  <c r="O29" i="16"/>
  <c r="AA28" i="16"/>
  <c r="O37" i="16"/>
  <c r="AA36" i="16"/>
  <c r="O38" i="16"/>
  <c r="AA37" i="16"/>
  <c r="O39" i="16"/>
  <c r="AA38" i="16"/>
  <c r="O32" i="16"/>
  <c r="AA31" i="16"/>
  <c r="O40" i="16"/>
  <c r="AA39" i="16"/>
  <c r="O28" i="16"/>
  <c r="AA27" i="16"/>
  <c r="AA43" i="16"/>
  <c r="O44" i="16"/>
  <c r="O33" i="16"/>
  <c r="AA32" i="16"/>
  <c r="AA44" i="16"/>
  <c r="O45" i="16"/>
  <c r="O30" i="16"/>
  <c r="AA29" i="16"/>
  <c r="O31" i="16"/>
  <c r="AA30" i="16"/>
  <c r="O34" i="16"/>
  <c r="AA33" i="16"/>
  <c r="O41" i="16"/>
  <c r="O35" i="16"/>
  <c r="AA34" i="16"/>
  <c r="O42" i="16"/>
  <c r="AA41" i="16"/>
  <c r="R44" i="17"/>
  <c r="N44" i="17"/>
  <c r="D28" i="17"/>
  <c r="AK26" i="17"/>
  <c r="V26" i="17"/>
  <c r="AG31" i="17"/>
  <c r="N31" i="17"/>
  <c r="R31" i="17"/>
  <c r="AG33" i="17"/>
  <c r="N33" i="17"/>
  <c r="R33" i="17"/>
  <c r="AL25" i="17"/>
  <c r="W25" i="17"/>
  <c r="AL26" i="17"/>
  <c r="W26" i="17"/>
  <c r="AK25" i="17"/>
  <c r="V25" i="17"/>
  <c r="AG28" i="17"/>
  <c r="N28" i="17"/>
  <c r="R28" i="17"/>
  <c r="AG30" i="17"/>
  <c r="N30" i="17"/>
  <c r="R30" i="17"/>
  <c r="AG32" i="17"/>
  <c r="N32" i="17"/>
  <c r="R32" i="17"/>
  <c r="AG35" i="17"/>
  <c r="R35" i="17"/>
  <c r="N35" i="17"/>
  <c r="S25" i="17"/>
  <c r="AH25" i="17"/>
  <c r="T25" i="17"/>
  <c r="AI25" i="17"/>
  <c r="X25" i="17"/>
  <c r="AM25" i="17"/>
  <c r="AG29" i="17"/>
  <c r="N29" i="17"/>
  <c r="R29" i="17"/>
  <c r="AG34" i="17"/>
  <c r="N34" i="17"/>
  <c r="R34" i="17"/>
  <c r="AH26" i="17"/>
  <c r="S26" i="17"/>
  <c r="G29" i="17"/>
  <c r="X29" i="17" s="1"/>
  <c r="AJ26" i="17"/>
  <c r="U26" i="17"/>
  <c r="AN26" i="17"/>
  <c r="Y26" i="17"/>
  <c r="AG36" i="17"/>
  <c r="N36" i="17"/>
  <c r="R36" i="17"/>
  <c r="AG40" i="17"/>
  <c r="N40" i="17"/>
  <c r="R40" i="17"/>
  <c r="X26" i="17"/>
  <c r="E28" i="17"/>
  <c r="AG37" i="17"/>
  <c r="N37" i="17"/>
  <c r="R37" i="17"/>
  <c r="AG39" i="17"/>
  <c r="N39" i="17"/>
  <c r="R39" i="17"/>
  <c r="AG41" i="17"/>
  <c r="N41" i="17"/>
  <c r="R41" i="17"/>
  <c r="AG43" i="17"/>
  <c r="N43" i="17"/>
  <c r="R43" i="17"/>
  <c r="AJ25" i="17"/>
  <c r="AN25" i="17"/>
  <c r="AG38" i="17"/>
  <c r="N38" i="17"/>
  <c r="R38" i="17"/>
  <c r="AG42" i="17"/>
  <c r="N42" i="17"/>
  <c r="R42" i="17"/>
  <c r="T26" i="17"/>
  <c r="AG45" i="17"/>
  <c r="I27" i="17"/>
  <c r="Z27" i="17" s="1"/>
  <c r="AO27" i="17" s="1"/>
  <c r="H28" i="17"/>
  <c r="Y28" i="17" s="1"/>
  <c r="U27" i="17"/>
  <c r="B28" i="17"/>
  <c r="V27" i="17"/>
  <c r="B29" i="16"/>
  <c r="I28" i="16"/>
  <c r="P27" i="16"/>
  <c r="W27" i="16"/>
  <c r="A20" i="15"/>
  <c r="B20" i="15"/>
  <c r="D20" i="15"/>
  <c r="E20" i="15"/>
  <c r="G20" i="15"/>
  <c r="H20" i="15"/>
  <c r="A21" i="15"/>
  <c r="B21" i="15"/>
  <c r="D21" i="15"/>
  <c r="E21" i="15"/>
  <c r="G21" i="15"/>
  <c r="H21" i="15"/>
  <c r="A19" i="12"/>
  <c r="A43" i="12" s="1"/>
  <c r="B19" i="12"/>
  <c r="D19" i="12"/>
  <c r="E19" i="12"/>
  <c r="G19" i="12"/>
  <c r="H19" i="12"/>
  <c r="N19" i="12"/>
  <c r="O19" i="12"/>
  <c r="C43" i="4"/>
  <c r="A43" i="1"/>
  <c r="O43" i="1" s="1"/>
  <c r="AN28" i="37" l="1"/>
  <c r="I55" i="37"/>
  <c r="I52" i="37"/>
  <c r="AA28" i="37"/>
  <c r="AB28" i="37" s="1"/>
  <c r="AC28" i="37" s="1"/>
  <c r="BL28" i="37"/>
  <c r="BA28" i="37"/>
  <c r="AD28" i="37"/>
  <c r="BK28" i="37"/>
  <c r="I29" i="37"/>
  <c r="AH29" i="27"/>
  <c r="U29" i="27"/>
  <c r="R29" i="27"/>
  <c r="X29" i="27" s="1"/>
  <c r="AG29" i="27"/>
  <c r="AL29" i="27"/>
  <c r="AR29" i="27"/>
  <c r="H30" i="27" s="1"/>
  <c r="AD29" i="27"/>
  <c r="AO29" i="27"/>
  <c r="E30" i="27" s="1"/>
  <c r="AN29" i="27"/>
  <c r="D30" i="27" s="1"/>
  <c r="AQ29" i="27"/>
  <c r="G30" i="27" s="1"/>
  <c r="B30" i="27"/>
  <c r="Y28" i="27"/>
  <c r="O47" i="22"/>
  <c r="I55" i="22" s="1"/>
  <c r="BJ28" i="20"/>
  <c r="H29" i="20" s="1"/>
  <c r="Y29" i="20" s="1"/>
  <c r="BG28" i="20"/>
  <c r="E29" i="20" s="1"/>
  <c r="V29" i="20" s="1"/>
  <c r="O29" i="19"/>
  <c r="V28" i="19"/>
  <c r="S28" i="19"/>
  <c r="U28" i="19"/>
  <c r="X28" i="19"/>
  <c r="Y28" i="19"/>
  <c r="Z28" i="20"/>
  <c r="AJ28" i="20" s="1"/>
  <c r="BD28" i="20"/>
  <c r="B29" i="20" s="1"/>
  <c r="BF28" i="20"/>
  <c r="D29" i="20" s="1"/>
  <c r="U29" i="20" s="1"/>
  <c r="AV28" i="20"/>
  <c r="X28" i="21"/>
  <c r="Y28" i="21"/>
  <c r="O29" i="21"/>
  <c r="O30" i="21" s="1"/>
  <c r="O31" i="21" s="1"/>
  <c r="O32" i="21" s="1"/>
  <c r="O33" i="21" s="1"/>
  <c r="O34" i="21" s="1"/>
  <c r="O35" i="21" s="1"/>
  <c r="O36" i="21" s="1"/>
  <c r="O37" i="21" s="1"/>
  <c r="O38" i="21" s="1"/>
  <c r="O39" i="21" s="1"/>
  <c r="O40" i="21" s="1"/>
  <c r="O41" i="21" s="1"/>
  <c r="O42" i="21" s="1"/>
  <c r="U28" i="21"/>
  <c r="S28" i="21"/>
  <c r="V28" i="21"/>
  <c r="B29" i="22"/>
  <c r="Z28" i="22"/>
  <c r="O46" i="20"/>
  <c r="O43" i="20"/>
  <c r="O44" i="20" s="1"/>
  <c r="O45" i="20" s="1"/>
  <c r="O47" i="20"/>
  <c r="G32" i="19"/>
  <c r="BI28" i="20"/>
  <c r="G29" i="20" s="1"/>
  <c r="X29" i="20" s="1"/>
  <c r="AB27" i="16"/>
  <c r="R43" i="12"/>
  <c r="N43" i="12"/>
  <c r="AS43" i="12"/>
  <c r="AG43" i="12"/>
  <c r="AK27" i="17"/>
  <c r="AN27" i="17"/>
  <c r="AM27" i="17"/>
  <c r="AH27" i="17"/>
  <c r="I28" i="17"/>
  <c r="G30" i="17"/>
  <c r="X30" i="17" s="1"/>
  <c r="AJ27" i="17"/>
  <c r="B30" i="16"/>
  <c r="I29" i="16"/>
  <c r="J28" i="16"/>
  <c r="K28" i="16" s="1"/>
  <c r="L28" i="16" s="1"/>
  <c r="P28" i="16"/>
  <c r="A19" i="15"/>
  <c r="B19" i="15"/>
  <c r="D19" i="15"/>
  <c r="E19" i="15"/>
  <c r="G19" i="15"/>
  <c r="H19" i="15"/>
  <c r="N19" i="10"/>
  <c r="O19" i="10"/>
  <c r="H19" i="10"/>
  <c r="G19" i="10"/>
  <c r="E19" i="10"/>
  <c r="D19" i="10"/>
  <c r="B19" i="10"/>
  <c r="A19" i="10"/>
  <c r="A43" i="10" s="1"/>
  <c r="H19" i="9"/>
  <c r="G19" i="9"/>
  <c r="F19" i="9"/>
  <c r="E19" i="9"/>
  <c r="D19" i="9"/>
  <c r="B19" i="9"/>
  <c r="A19" i="9"/>
  <c r="A43" i="9" s="1"/>
  <c r="H19" i="7"/>
  <c r="G19" i="7"/>
  <c r="F19" i="7"/>
  <c r="E19" i="7"/>
  <c r="D19" i="7"/>
  <c r="B19" i="7"/>
  <c r="A19" i="7"/>
  <c r="A43" i="7" s="1"/>
  <c r="O43" i="7" s="1"/>
  <c r="AA43" i="7" s="1"/>
  <c r="A19" i="4"/>
  <c r="A43" i="4" s="1"/>
  <c r="B19" i="4"/>
  <c r="D19" i="4"/>
  <c r="E19" i="4"/>
  <c r="F19" i="4"/>
  <c r="G19" i="4"/>
  <c r="H19" i="4"/>
  <c r="I52" i="22" l="1"/>
  <c r="AP28" i="37"/>
  <c r="AO28" i="37"/>
  <c r="Z29" i="37"/>
  <c r="J29" i="37"/>
  <c r="K29" i="37" s="1"/>
  <c r="L29" i="37" s="1"/>
  <c r="A18" i="13"/>
  <c r="W29" i="27"/>
  <c r="Y29" i="27" s="1"/>
  <c r="AN30" i="27"/>
  <c r="D31" i="27" s="1"/>
  <c r="AQ30" i="27"/>
  <c r="G31" i="27" s="1"/>
  <c r="I30" i="27"/>
  <c r="AO30" i="27"/>
  <c r="E31" i="27" s="1"/>
  <c r="AT29" i="27"/>
  <c r="AK28" i="20"/>
  <c r="AY28" i="20"/>
  <c r="AW28" i="20"/>
  <c r="AM28" i="20"/>
  <c r="Z28" i="21"/>
  <c r="AH28" i="21" s="1"/>
  <c r="AT28" i="21"/>
  <c r="B29" i="21" s="1"/>
  <c r="D29" i="19"/>
  <c r="U29" i="19" s="1"/>
  <c r="O46" i="21"/>
  <c r="O43" i="21"/>
  <c r="O44" i="21" s="1"/>
  <c r="O45" i="21" s="1"/>
  <c r="B29" i="19"/>
  <c r="Z28" i="19"/>
  <c r="AN28" i="19" s="1"/>
  <c r="I52" i="20"/>
  <c r="I55" i="20"/>
  <c r="AZ28" i="21"/>
  <c r="H29" i="21" s="1"/>
  <c r="Y29" i="21" s="1"/>
  <c r="E29" i="19"/>
  <c r="V29" i="19" s="1"/>
  <c r="AY28" i="21"/>
  <c r="G29" i="21" s="1"/>
  <c r="X29" i="21" s="1"/>
  <c r="BL28" i="20"/>
  <c r="BA28" i="20"/>
  <c r="AD28" i="20"/>
  <c r="BK28" i="20"/>
  <c r="AA28" i="20"/>
  <c r="AB28" i="20" s="1"/>
  <c r="AC28" i="20" s="1"/>
  <c r="O30" i="19"/>
  <c r="X29" i="19"/>
  <c r="G33" i="19"/>
  <c r="I29" i="22"/>
  <c r="S29" i="22"/>
  <c r="O47" i="21"/>
  <c r="AT28" i="20"/>
  <c r="AN28" i="20"/>
  <c r="AW28" i="21"/>
  <c r="E29" i="21" s="1"/>
  <c r="V29" i="21" s="1"/>
  <c r="H29" i="19"/>
  <c r="Y29" i="19" s="1"/>
  <c r="AV28" i="21"/>
  <c r="D29" i="21" s="1"/>
  <c r="U29" i="21" s="1"/>
  <c r="I29" i="20"/>
  <c r="S29" i="20"/>
  <c r="AD28" i="22"/>
  <c r="AA28" i="22"/>
  <c r="AB28" i="22" s="1"/>
  <c r="AC28" i="22" s="1"/>
  <c r="AH28" i="22"/>
  <c r="AH28" i="20"/>
  <c r="AZ28" i="20"/>
  <c r="AB28" i="16"/>
  <c r="N43" i="10"/>
  <c r="R43" i="10"/>
  <c r="AG43" i="10"/>
  <c r="AS43" i="10" s="1"/>
  <c r="BC43" i="10" s="1"/>
  <c r="N43" i="9"/>
  <c r="R43" i="9"/>
  <c r="AG43" i="9"/>
  <c r="O28" i="17"/>
  <c r="S28" i="17" s="1"/>
  <c r="J28" i="17"/>
  <c r="K28" i="17" s="1"/>
  <c r="L28" i="17" s="1"/>
  <c r="G31" i="17"/>
  <c r="X31" i="17" s="1"/>
  <c r="P29" i="16"/>
  <c r="I30" i="16"/>
  <c r="B31" i="16"/>
  <c r="W28" i="16"/>
  <c r="X28" i="16"/>
  <c r="J29" i="16"/>
  <c r="K29" i="16" s="1"/>
  <c r="L29" i="16" s="1"/>
  <c r="O43" i="4"/>
  <c r="AA43" i="4" s="1"/>
  <c r="AK43" i="4"/>
  <c r="A17" i="12"/>
  <c r="A41" i="12" s="1"/>
  <c r="B17" i="12"/>
  <c r="D17" i="12"/>
  <c r="E17" i="12"/>
  <c r="G17" i="12"/>
  <c r="H17" i="12"/>
  <c r="N17" i="12"/>
  <c r="O17" i="12"/>
  <c r="A18" i="12"/>
  <c r="A42" i="12" s="1"/>
  <c r="B18" i="12"/>
  <c r="D18" i="12"/>
  <c r="E18" i="12"/>
  <c r="G18" i="12"/>
  <c r="H18" i="12"/>
  <c r="N18" i="12"/>
  <c r="O18" i="12"/>
  <c r="N5" i="10"/>
  <c r="O5" i="10"/>
  <c r="N6" i="10"/>
  <c r="O6" i="10"/>
  <c r="N7" i="10"/>
  <c r="O7" i="10"/>
  <c r="N8" i="10"/>
  <c r="O8" i="10"/>
  <c r="N9" i="10"/>
  <c r="O9" i="10"/>
  <c r="N10" i="10"/>
  <c r="O10" i="10"/>
  <c r="N11" i="10"/>
  <c r="O11" i="10"/>
  <c r="N12" i="10"/>
  <c r="O12" i="10"/>
  <c r="N13" i="10"/>
  <c r="O13" i="10"/>
  <c r="N14" i="10"/>
  <c r="O14" i="10"/>
  <c r="N15" i="10"/>
  <c r="O15" i="10"/>
  <c r="N16" i="10"/>
  <c r="O16" i="10"/>
  <c r="N17" i="10"/>
  <c r="O17" i="10"/>
  <c r="N18" i="10"/>
  <c r="O18" i="10"/>
  <c r="O4" i="10"/>
  <c r="N4" i="10"/>
  <c r="A17" i="10"/>
  <c r="A41" i="10" s="1"/>
  <c r="B17" i="10"/>
  <c r="D17" i="10"/>
  <c r="E17" i="10"/>
  <c r="G17" i="10"/>
  <c r="H17" i="10"/>
  <c r="A18" i="10"/>
  <c r="A42" i="10" s="1"/>
  <c r="B18" i="10"/>
  <c r="D18" i="10"/>
  <c r="E18" i="10"/>
  <c r="G18" i="10"/>
  <c r="H18" i="10"/>
  <c r="A18" i="9"/>
  <c r="A42" i="9" s="1"/>
  <c r="B18" i="9"/>
  <c r="C18" i="9"/>
  <c r="D18" i="9"/>
  <c r="E18" i="9"/>
  <c r="F18" i="9"/>
  <c r="G18" i="9"/>
  <c r="H18" i="9"/>
  <c r="A18" i="7"/>
  <c r="A42" i="7" s="1"/>
  <c r="O42" i="7" s="1"/>
  <c r="AA42" i="7" s="1"/>
  <c r="B18" i="7"/>
  <c r="C18" i="7"/>
  <c r="D18" i="7"/>
  <c r="E18" i="7"/>
  <c r="F18" i="7"/>
  <c r="G18" i="7"/>
  <c r="H18" i="7"/>
  <c r="C41" i="4"/>
  <c r="C42" i="4"/>
  <c r="A18" i="4"/>
  <c r="A42" i="4" s="1"/>
  <c r="B18" i="4"/>
  <c r="D18" i="4"/>
  <c r="E18" i="4"/>
  <c r="F18" i="4"/>
  <c r="G18" i="4"/>
  <c r="H18" i="4"/>
  <c r="A41" i="1"/>
  <c r="O41" i="1" s="1"/>
  <c r="A42" i="1"/>
  <c r="O42" i="1" s="1"/>
  <c r="AT29" i="37" l="1"/>
  <c r="AZ29" i="37"/>
  <c r="AQ28" i="37"/>
  <c r="AH29" i="37"/>
  <c r="AD29" i="37"/>
  <c r="AA29" i="37"/>
  <c r="AB29" i="37" s="1"/>
  <c r="AC29" i="37" s="1"/>
  <c r="BK29" i="37"/>
  <c r="BA29" i="37"/>
  <c r="H30" i="37"/>
  <c r="Y30" i="37" s="1"/>
  <c r="B30" i="37"/>
  <c r="S30" i="37" s="1"/>
  <c r="AN29" i="37"/>
  <c r="BU28" i="21"/>
  <c r="AB30" i="27"/>
  <c r="AK28" i="21"/>
  <c r="A17" i="13"/>
  <c r="AN28" i="21"/>
  <c r="AH30" i="27"/>
  <c r="AG30" i="27"/>
  <c r="V30" i="27"/>
  <c r="S30" i="27"/>
  <c r="AO31" i="27"/>
  <c r="E32" i="27" s="1"/>
  <c r="AQ31" i="27"/>
  <c r="G32" i="27" s="1"/>
  <c r="AN31" i="27"/>
  <c r="D32" i="27" s="1"/>
  <c r="AI30" i="27"/>
  <c r="AS30" i="27"/>
  <c r="AR30" i="27" s="1"/>
  <c r="H31" i="27" s="1"/>
  <c r="J30" i="27"/>
  <c r="K30" i="27" s="1"/>
  <c r="L30" i="27" s="1"/>
  <c r="R30" i="27"/>
  <c r="AE30" i="27"/>
  <c r="P30" i="27"/>
  <c r="U30" i="27"/>
  <c r="AD30" i="27"/>
  <c r="AK28" i="19"/>
  <c r="AP28" i="20"/>
  <c r="AO28" i="20"/>
  <c r="D30" i="19"/>
  <c r="U30" i="19" s="1"/>
  <c r="AP28" i="22"/>
  <c r="AO28" i="22"/>
  <c r="G34" i="19"/>
  <c r="AD28" i="19"/>
  <c r="AA28" i="19"/>
  <c r="AB28" i="19" s="1"/>
  <c r="AC28" i="19" s="1"/>
  <c r="AJ28" i="19"/>
  <c r="Z29" i="20"/>
  <c r="AW29" i="21"/>
  <c r="E30" i="21" s="1"/>
  <c r="V30" i="21" s="1"/>
  <c r="AM28" i="21"/>
  <c r="AH28" i="19"/>
  <c r="B30" i="22"/>
  <c r="Z29" i="22"/>
  <c r="H30" i="19"/>
  <c r="Y30" i="19" s="1"/>
  <c r="J29" i="22"/>
  <c r="K29" i="22" s="1"/>
  <c r="L29" i="22" s="1"/>
  <c r="J29" i="20"/>
  <c r="K29" i="20" s="1"/>
  <c r="L29" i="20" s="1"/>
  <c r="S29" i="19"/>
  <c r="I29" i="19"/>
  <c r="AV29" i="21"/>
  <c r="D30" i="21" s="1"/>
  <c r="U30" i="21" s="1"/>
  <c r="BS28" i="21"/>
  <c r="AA28" i="21"/>
  <c r="AB28" i="21" s="1"/>
  <c r="AC28" i="21" s="1"/>
  <c r="BV28" i="21"/>
  <c r="BB28" i="21"/>
  <c r="BP28" i="21"/>
  <c r="AD28" i="21"/>
  <c r="BA28" i="21"/>
  <c r="AJ28" i="21"/>
  <c r="E30" i="19"/>
  <c r="V30" i="19" s="1"/>
  <c r="BO28" i="21"/>
  <c r="AY29" i="21"/>
  <c r="G30" i="21" s="1"/>
  <c r="X30" i="21" s="1"/>
  <c r="I29" i="21"/>
  <c r="S29" i="21"/>
  <c r="O31" i="19"/>
  <c r="X30" i="19"/>
  <c r="AM28" i="19"/>
  <c r="I55" i="21"/>
  <c r="I52" i="21"/>
  <c r="AZ29" i="21"/>
  <c r="H30" i="21" s="1"/>
  <c r="Y30" i="21" s="1"/>
  <c r="P30" i="16"/>
  <c r="AB29" i="16"/>
  <c r="O29" i="17"/>
  <c r="G32" i="17"/>
  <c r="X32" i="17" s="1"/>
  <c r="Y28" i="16"/>
  <c r="X29" i="16"/>
  <c r="I31" i="16"/>
  <c r="AB30" i="16" s="1"/>
  <c r="B32" i="16"/>
  <c r="W29" i="16"/>
  <c r="J30" i="16"/>
  <c r="K30" i="16" s="1"/>
  <c r="L30" i="16" s="1"/>
  <c r="AK42" i="4"/>
  <c r="O42" i="4"/>
  <c r="AA42" i="4" s="1"/>
  <c r="AG41" i="12"/>
  <c r="AS41" i="12"/>
  <c r="N41" i="12"/>
  <c r="R41" i="12"/>
  <c r="N42" i="12"/>
  <c r="R42" i="12"/>
  <c r="AS42" i="12"/>
  <c r="AG42" i="12"/>
  <c r="AG42" i="9"/>
  <c r="N42" i="9"/>
  <c r="R42" i="9"/>
  <c r="AG41" i="10"/>
  <c r="AS41" i="10" s="1"/>
  <c r="BC41" i="10" s="1"/>
  <c r="R41" i="10"/>
  <c r="N41" i="10"/>
  <c r="AG42" i="10"/>
  <c r="AS42" i="10" s="1"/>
  <c r="BC42" i="10" s="1"/>
  <c r="R42" i="10"/>
  <c r="N42" i="10"/>
  <c r="A5" i="15"/>
  <c r="B5" i="15"/>
  <c r="D5" i="15"/>
  <c r="E5" i="15"/>
  <c r="G5" i="15"/>
  <c r="H5" i="15"/>
  <c r="A6" i="15"/>
  <c r="B6" i="15"/>
  <c r="D6" i="15"/>
  <c r="E6" i="15"/>
  <c r="G6" i="15"/>
  <c r="H6" i="15"/>
  <c r="A7" i="15"/>
  <c r="B7" i="15"/>
  <c r="D7" i="15"/>
  <c r="E7" i="15"/>
  <c r="G7" i="15"/>
  <c r="H7" i="15"/>
  <c r="A8" i="15"/>
  <c r="B8" i="15"/>
  <c r="D8" i="15"/>
  <c r="E8" i="15"/>
  <c r="G8" i="15"/>
  <c r="H8" i="15"/>
  <c r="A9" i="15"/>
  <c r="B9" i="15"/>
  <c r="D9" i="15"/>
  <c r="E9" i="15"/>
  <c r="G9" i="15"/>
  <c r="H9" i="15"/>
  <c r="A10" i="15"/>
  <c r="B10" i="15"/>
  <c r="D10" i="15"/>
  <c r="E10" i="15"/>
  <c r="G10" i="15"/>
  <c r="H10" i="15"/>
  <c r="A11" i="15"/>
  <c r="B11" i="15"/>
  <c r="D11" i="15"/>
  <c r="E11" i="15"/>
  <c r="G11" i="15"/>
  <c r="H11" i="15"/>
  <c r="A12" i="15"/>
  <c r="B12" i="15"/>
  <c r="D12" i="15"/>
  <c r="E12" i="15"/>
  <c r="G12" i="15"/>
  <c r="H12" i="15"/>
  <c r="A13" i="15"/>
  <c r="B13" i="15"/>
  <c r="D13" i="15"/>
  <c r="E13" i="15"/>
  <c r="G13" i="15"/>
  <c r="H13" i="15"/>
  <c r="A14" i="15"/>
  <c r="B14" i="15"/>
  <c r="D14" i="15"/>
  <c r="E14" i="15"/>
  <c r="G14" i="15"/>
  <c r="H14" i="15"/>
  <c r="A15" i="15"/>
  <c r="B15" i="15"/>
  <c r="D15" i="15"/>
  <c r="E15" i="15"/>
  <c r="G15" i="15"/>
  <c r="H15" i="15"/>
  <c r="A16" i="15"/>
  <c r="B16" i="15"/>
  <c r="D16" i="15"/>
  <c r="E16" i="15"/>
  <c r="G16" i="15"/>
  <c r="H16" i="15"/>
  <c r="A17" i="15"/>
  <c r="B17" i="15"/>
  <c r="D17" i="15"/>
  <c r="E17" i="15"/>
  <c r="G17" i="15"/>
  <c r="H17" i="15"/>
  <c r="A18" i="15"/>
  <c r="B18" i="15"/>
  <c r="D18" i="15"/>
  <c r="E18" i="15"/>
  <c r="G18" i="15"/>
  <c r="H18" i="15"/>
  <c r="G27" i="9"/>
  <c r="X27" i="9" s="1"/>
  <c r="G4" i="9"/>
  <c r="G5" i="9"/>
  <c r="G6" i="9"/>
  <c r="G7" i="9"/>
  <c r="G8" i="9"/>
  <c r="G9" i="9"/>
  <c r="G10" i="9"/>
  <c r="G11" i="9"/>
  <c r="G12" i="9"/>
  <c r="G13" i="9"/>
  <c r="G14" i="9"/>
  <c r="G15" i="9"/>
  <c r="G16" i="9"/>
  <c r="B27" i="9"/>
  <c r="S27" i="9" s="1"/>
  <c r="B4" i="9"/>
  <c r="D27" i="9"/>
  <c r="U27" i="9" s="1"/>
  <c r="D4" i="9"/>
  <c r="E27" i="9"/>
  <c r="E4" i="9"/>
  <c r="H27" i="9"/>
  <c r="Y27" i="9" s="1"/>
  <c r="H4" i="9"/>
  <c r="G17" i="9"/>
  <c r="B5" i="9"/>
  <c r="B6" i="9"/>
  <c r="B7" i="9"/>
  <c r="B8" i="9"/>
  <c r="B9" i="9"/>
  <c r="B10" i="9"/>
  <c r="B11" i="9"/>
  <c r="B12" i="9"/>
  <c r="B13" i="9"/>
  <c r="B14" i="9"/>
  <c r="B15" i="9"/>
  <c r="B16" i="9"/>
  <c r="B17" i="9"/>
  <c r="D5" i="9"/>
  <c r="D6" i="9"/>
  <c r="D7" i="9"/>
  <c r="D8" i="9"/>
  <c r="D9" i="9"/>
  <c r="D10" i="9"/>
  <c r="D11" i="9"/>
  <c r="D12" i="9"/>
  <c r="D13" i="9"/>
  <c r="D14" i="9"/>
  <c r="D15" i="9"/>
  <c r="D16" i="9"/>
  <c r="D17" i="9"/>
  <c r="E5" i="9"/>
  <c r="E6" i="9"/>
  <c r="E7" i="9"/>
  <c r="E8" i="9"/>
  <c r="E9" i="9"/>
  <c r="E10" i="9"/>
  <c r="E11" i="9"/>
  <c r="E12" i="9"/>
  <c r="E13" i="9"/>
  <c r="E14" i="9"/>
  <c r="E15" i="9"/>
  <c r="E16" i="9"/>
  <c r="E17" i="9"/>
  <c r="H5" i="9"/>
  <c r="H6" i="9"/>
  <c r="H7" i="9"/>
  <c r="H8" i="9"/>
  <c r="H9" i="9"/>
  <c r="H10" i="9"/>
  <c r="H11" i="9"/>
  <c r="H12" i="9"/>
  <c r="H13" i="9"/>
  <c r="H14" i="9"/>
  <c r="H15" i="9"/>
  <c r="H16" i="9"/>
  <c r="H17" i="9"/>
  <c r="F17" i="9"/>
  <c r="F16" i="9"/>
  <c r="F15" i="9"/>
  <c r="F14" i="9"/>
  <c r="F13" i="9"/>
  <c r="F12" i="9"/>
  <c r="F11" i="9"/>
  <c r="F10" i="9"/>
  <c r="F9" i="9"/>
  <c r="F8" i="9"/>
  <c r="F7" i="9"/>
  <c r="F6" i="9"/>
  <c r="F5" i="9"/>
  <c r="F4" i="9"/>
  <c r="C17" i="9"/>
  <c r="C16" i="9"/>
  <c r="C15" i="9"/>
  <c r="C14" i="9"/>
  <c r="C13" i="9"/>
  <c r="C12" i="9"/>
  <c r="C11" i="9"/>
  <c r="C10" i="9"/>
  <c r="C9" i="9"/>
  <c r="C8" i="9"/>
  <c r="C7" i="9"/>
  <c r="C6" i="9"/>
  <c r="C5" i="9"/>
  <c r="C4" i="9"/>
  <c r="A5" i="9"/>
  <c r="A29" i="9" s="1"/>
  <c r="AG29" i="9" s="1"/>
  <c r="A6" i="9"/>
  <c r="A30" i="9" s="1"/>
  <c r="R30" i="9" s="1"/>
  <c r="A7" i="9"/>
  <c r="A31" i="9" s="1"/>
  <c r="A8" i="9"/>
  <c r="A32" i="9" s="1"/>
  <c r="AG32" i="9" s="1"/>
  <c r="A9" i="9"/>
  <c r="A33" i="9" s="1"/>
  <c r="AG33" i="9" s="1"/>
  <c r="A10" i="9"/>
  <c r="A34" i="9" s="1"/>
  <c r="AG34" i="9" s="1"/>
  <c r="A11" i="9"/>
  <c r="A35" i="9" s="1"/>
  <c r="N35" i="9" s="1"/>
  <c r="A12" i="9"/>
  <c r="A36" i="9" s="1"/>
  <c r="R36" i="9" s="1"/>
  <c r="A13" i="9"/>
  <c r="A14" i="9"/>
  <c r="A38" i="9" s="1"/>
  <c r="R38" i="9" s="1"/>
  <c r="A15" i="9"/>
  <c r="A39" i="9" s="1"/>
  <c r="N39" i="9" s="1"/>
  <c r="A16" i="9"/>
  <c r="A40" i="9" s="1"/>
  <c r="A17" i="9"/>
  <c r="A41" i="9" s="1"/>
  <c r="A4" i="9"/>
  <c r="A28" i="9" s="1"/>
  <c r="N28" i="9" s="1"/>
  <c r="C2" i="9"/>
  <c r="C25" i="9" s="1"/>
  <c r="D2" i="9"/>
  <c r="D25" i="9" s="1"/>
  <c r="E2" i="9"/>
  <c r="E25" i="9" s="1"/>
  <c r="V25" i="9" s="1"/>
  <c r="F2" i="9"/>
  <c r="F25" i="9" s="1"/>
  <c r="W25" i="9" s="1"/>
  <c r="G2" i="9"/>
  <c r="G25" i="9" s="1"/>
  <c r="H2" i="9"/>
  <c r="H25" i="9" s="1"/>
  <c r="Y25" i="9" s="1"/>
  <c r="C3" i="9"/>
  <c r="C26" i="9" s="1"/>
  <c r="D3" i="9"/>
  <c r="D26" i="9" s="1"/>
  <c r="E3" i="9"/>
  <c r="E26" i="9" s="1"/>
  <c r="V26" i="9" s="1"/>
  <c r="F3" i="9"/>
  <c r="F26" i="9" s="1"/>
  <c r="AL26" i="9" s="1"/>
  <c r="G3" i="9"/>
  <c r="G26" i="9" s="1"/>
  <c r="AM26" i="9" s="1"/>
  <c r="H3" i="9"/>
  <c r="H26" i="9" s="1"/>
  <c r="B2" i="9"/>
  <c r="B25" i="9" s="1"/>
  <c r="B3" i="9"/>
  <c r="B26" i="9" s="1"/>
  <c r="S26" i="9" s="1"/>
  <c r="A3" i="9"/>
  <c r="R27" i="9"/>
  <c r="R26" i="9"/>
  <c r="Z26" i="9"/>
  <c r="A37" i="9"/>
  <c r="BN26" i="12"/>
  <c r="BV26" i="12"/>
  <c r="BN27" i="12"/>
  <c r="AS27" i="12" s="1"/>
  <c r="BP27" i="12"/>
  <c r="BS27" i="12"/>
  <c r="BA25" i="12"/>
  <c r="BA26" i="12"/>
  <c r="B27" i="12"/>
  <c r="B4" i="12"/>
  <c r="D27" i="12"/>
  <c r="U27" i="12" s="1"/>
  <c r="D4" i="12"/>
  <c r="E27" i="12"/>
  <c r="E4" i="12"/>
  <c r="G27" i="12"/>
  <c r="X27" i="12" s="1"/>
  <c r="G4" i="12"/>
  <c r="H27" i="12"/>
  <c r="H4" i="12"/>
  <c r="B5" i="12"/>
  <c r="O5" i="12"/>
  <c r="B6" i="12"/>
  <c r="O6" i="12"/>
  <c r="D5" i="12"/>
  <c r="D6" i="12"/>
  <c r="E5" i="12"/>
  <c r="E6" i="12"/>
  <c r="G5" i="12"/>
  <c r="G6" i="12"/>
  <c r="H5" i="12"/>
  <c r="H6" i="12"/>
  <c r="H7" i="12"/>
  <c r="O7" i="12"/>
  <c r="Y27" i="12"/>
  <c r="H8" i="12"/>
  <c r="O8" i="12"/>
  <c r="G8" i="12"/>
  <c r="E8" i="12"/>
  <c r="E9" i="12"/>
  <c r="D8" i="12"/>
  <c r="B8" i="12"/>
  <c r="B9" i="12"/>
  <c r="G9" i="12"/>
  <c r="D9" i="12"/>
  <c r="G13" i="12"/>
  <c r="G37" i="12" s="1"/>
  <c r="E13" i="12"/>
  <c r="E37" i="12" s="1"/>
  <c r="D13" i="12"/>
  <c r="D37" i="12" s="1"/>
  <c r="B13" i="12"/>
  <c r="B37" i="12" s="1"/>
  <c r="O9" i="12"/>
  <c r="O10" i="12"/>
  <c r="O11" i="12"/>
  <c r="O12" i="12"/>
  <c r="O13" i="12"/>
  <c r="O14" i="12"/>
  <c r="O15" i="12"/>
  <c r="O16" i="12"/>
  <c r="G16" i="12"/>
  <c r="G15" i="12"/>
  <c r="G14" i="12"/>
  <c r="G12" i="12"/>
  <c r="G11" i="12"/>
  <c r="G10" i="12"/>
  <c r="G7" i="12"/>
  <c r="G31" i="12" s="1"/>
  <c r="E14" i="12"/>
  <c r="D14" i="12"/>
  <c r="E12" i="12"/>
  <c r="D12" i="12"/>
  <c r="E11" i="12"/>
  <c r="D11" i="12"/>
  <c r="E10" i="12"/>
  <c r="D10" i="12"/>
  <c r="E7" i="12"/>
  <c r="E31" i="12" s="1"/>
  <c r="D7" i="12"/>
  <c r="D31" i="12" s="1"/>
  <c r="W27" i="12"/>
  <c r="T27" i="12"/>
  <c r="R27" i="12"/>
  <c r="Z26" i="12"/>
  <c r="R26" i="12"/>
  <c r="H16" i="12"/>
  <c r="E16" i="12"/>
  <c r="D16" i="12"/>
  <c r="B16" i="12"/>
  <c r="A16" i="12"/>
  <c r="A40" i="12" s="1"/>
  <c r="AS40" i="12" s="1"/>
  <c r="H15" i="12"/>
  <c r="E15" i="12"/>
  <c r="D15" i="12"/>
  <c r="B15" i="12"/>
  <c r="A15" i="12"/>
  <c r="A39" i="12" s="1"/>
  <c r="N16" i="12"/>
  <c r="H14" i="12"/>
  <c r="B14" i="12"/>
  <c r="A14" i="12"/>
  <c r="A38" i="12" s="1"/>
  <c r="N15" i="12"/>
  <c r="H13" i="12"/>
  <c r="A13" i="12"/>
  <c r="A37" i="12" s="1"/>
  <c r="N14" i="12"/>
  <c r="H12" i="12"/>
  <c r="B12" i="12"/>
  <c r="A12" i="12"/>
  <c r="A36" i="12" s="1"/>
  <c r="AS36" i="12" s="1"/>
  <c r="N13" i="12"/>
  <c r="H11" i="12"/>
  <c r="B11" i="12"/>
  <c r="A11" i="12"/>
  <c r="A35" i="12" s="1"/>
  <c r="N12" i="12"/>
  <c r="H10" i="12"/>
  <c r="B10" i="12"/>
  <c r="A10" i="12"/>
  <c r="A34" i="12" s="1"/>
  <c r="N11" i="12"/>
  <c r="H9" i="12"/>
  <c r="A9" i="12"/>
  <c r="A33" i="12" s="1"/>
  <c r="AS33" i="12" s="1"/>
  <c r="N10" i="12"/>
  <c r="A8" i="12"/>
  <c r="A32" i="12" s="1"/>
  <c r="N9" i="12"/>
  <c r="B7" i="12"/>
  <c r="B31" i="12" s="1"/>
  <c r="A7" i="12"/>
  <c r="A31" i="12" s="1"/>
  <c r="N8" i="12"/>
  <c r="A6" i="12"/>
  <c r="A30" i="12" s="1"/>
  <c r="N7" i="12"/>
  <c r="A5" i="12"/>
  <c r="A29" i="12" s="1"/>
  <c r="AS29" i="12" s="1"/>
  <c r="N6" i="12"/>
  <c r="A4" i="12"/>
  <c r="A28" i="12" s="1"/>
  <c r="N5" i="12"/>
  <c r="H3" i="12"/>
  <c r="H26" i="12" s="1"/>
  <c r="G3" i="12"/>
  <c r="G26" i="12" s="1"/>
  <c r="F3" i="12"/>
  <c r="F26" i="12" s="1"/>
  <c r="AL26" i="12" s="1"/>
  <c r="E3" i="12"/>
  <c r="E26" i="12" s="1"/>
  <c r="V26" i="12" s="1"/>
  <c r="D3" i="12"/>
  <c r="D26" i="12" s="1"/>
  <c r="AJ26" i="12" s="1"/>
  <c r="BQ26" i="12" s="1"/>
  <c r="C3" i="12"/>
  <c r="C26" i="12" s="1"/>
  <c r="T26" i="12" s="1"/>
  <c r="B3" i="12"/>
  <c r="B26" i="12" s="1"/>
  <c r="A3" i="12"/>
  <c r="O4" i="12"/>
  <c r="N4" i="12"/>
  <c r="H2" i="12"/>
  <c r="H25" i="12" s="1"/>
  <c r="AN25" i="12" s="1"/>
  <c r="G2" i="12"/>
  <c r="G25" i="12" s="1"/>
  <c r="AM25" i="12" s="1"/>
  <c r="F2" i="12"/>
  <c r="F25" i="12" s="1"/>
  <c r="AL25" i="12" s="1"/>
  <c r="BS25" i="12" s="1"/>
  <c r="E2" i="12"/>
  <c r="E25" i="12" s="1"/>
  <c r="D2" i="12"/>
  <c r="D25" i="12" s="1"/>
  <c r="C2" i="12"/>
  <c r="C25" i="12" s="1"/>
  <c r="T25" i="12" s="1"/>
  <c r="B2" i="12"/>
  <c r="B25" i="12" s="1"/>
  <c r="AH25" i="12" s="1"/>
  <c r="BO25" i="12" s="1"/>
  <c r="H27" i="10"/>
  <c r="Y27" i="10" s="1"/>
  <c r="B27" i="10"/>
  <c r="S27" i="10" s="1"/>
  <c r="D27" i="10"/>
  <c r="U27" i="10" s="1"/>
  <c r="E27" i="10"/>
  <c r="V27" i="10" s="1"/>
  <c r="G27" i="10"/>
  <c r="B4" i="10"/>
  <c r="D4" i="10"/>
  <c r="E4" i="10"/>
  <c r="G4" i="10"/>
  <c r="H4" i="10"/>
  <c r="B5" i="10"/>
  <c r="D5" i="10"/>
  <c r="E5" i="10"/>
  <c r="G5" i="10"/>
  <c r="H5" i="10"/>
  <c r="B6" i="10"/>
  <c r="D6" i="10"/>
  <c r="E6" i="10"/>
  <c r="G6" i="10"/>
  <c r="H6" i="10"/>
  <c r="B7" i="10"/>
  <c r="B8" i="10"/>
  <c r="D7" i="10"/>
  <c r="D8" i="10"/>
  <c r="E7" i="10"/>
  <c r="E8" i="10"/>
  <c r="G7" i="10"/>
  <c r="G8" i="10"/>
  <c r="H7" i="10"/>
  <c r="H8" i="10"/>
  <c r="B9" i="10"/>
  <c r="B10" i="10"/>
  <c r="B11" i="10"/>
  <c r="D9" i="10"/>
  <c r="D10" i="10"/>
  <c r="D11" i="10"/>
  <c r="E9" i="10"/>
  <c r="E10" i="10"/>
  <c r="E11" i="10"/>
  <c r="G9" i="10"/>
  <c r="G10" i="10"/>
  <c r="G11" i="10"/>
  <c r="H9" i="10"/>
  <c r="H10" i="10"/>
  <c r="H11" i="10"/>
  <c r="G12" i="10"/>
  <c r="B12" i="10"/>
  <c r="D12" i="10"/>
  <c r="E12" i="10"/>
  <c r="H12" i="10"/>
  <c r="G13" i="10"/>
  <c r="G14" i="10"/>
  <c r="B13" i="10"/>
  <c r="B14" i="10"/>
  <c r="D13" i="10"/>
  <c r="D14" i="10"/>
  <c r="E13" i="10"/>
  <c r="E14" i="10"/>
  <c r="H13" i="10"/>
  <c r="H14" i="10"/>
  <c r="G15" i="10"/>
  <c r="G16" i="10"/>
  <c r="B15" i="10"/>
  <c r="B16" i="10"/>
  <c r="D15" i="10"/>
  <c r="D16" i="10"/>
  <c r="E15" i="10"/>
  <c r="E16" i="10"/>
  <c r="H15" i="10"/>
  <c r="H16" i="10"/>
  <c r="A5" i="10"/>
  <c r="A29" i="10" s="1"/>
  <c r="A6" i="10"/>
  <c r="A30" i="10" s="1"/>
  <c r="R30" i="10" s="1"/>
  <c r="A7" i="10"/>
  <c r="A31" i="10" s="1"/>
  <c r="A8" i="10"/>
  <c r="A32" i="10" s="1"/>
  <c r="N32" i="10" s="1"/>
  <c r="A9" i="10"/>
  <c r="A33" i="10" s="1"/>
  <c r="N33" i="10" s="1"/>
  <c r="A10" i="10"/>
  <c r="A34" i="10" s="1"/>
  <c r="A11" i="10"/>
  <c r="A35" i="10" s="1"/>
  <c r="A12" i="10"/>
  <c r="A36" i="10" s="1"/>
  <c r="R36" i="10" s="1"/>
  <c r="A13" i="10"/>
  <c r="A37" i="10" s="1"/>
  <c r="R37" i="10" s="1"/>
  <c r="A14" i="10"/>
  <c r="A38" i="10" s="1"/>
  <c r="A15" i="10"/>
  <c r="A39" i="10" s="1"/>
  <c r="N39" i="10" s="1"/>
  <c r="A16" i="10"/>
  <c r="A40" i="10" s="1"/>
  <c r="A4" i="10"/>
  <c r="A28" i="10" s="1"/>
  <c r="R28" i="10" s="1"/>
  <c r="H3" i="10"/>
  <c r="H26" i="10" s="1"/>
  <c r="G3" i="10"/>
  <c r="G26" i="10" s="1"/>
  <c r="X26" i="10" s="1"/>
  <c r="F3" i="10"/>
  <c r="F26" i="10" s="1"/>
  <c r="E3" i="10"/>
  <c r="E26" i="10" s="1"/>
  <c r="V26" i="10" s="1"/>
  <c r="D3" i="10"/>
  <c r="D26" i="10" s="1"/>
  <c r="U26" i="10" s="1"/>
  <c r="C3" i="10"/>
  <c r="C26" i="10" s="1"/>
  <c r="AI26" i="10" s="1"/>
  <c r="AU26" i="10" s="1"/>
  <c r="BE26" i="10" s="1"/>
  <c r="B3" i="10"/>
  <c r="B26" i="10" s="1"/>
  <c r="H2" i="10"/>
  <c r="H25" i="10" s="1"/>
  <c r="G2" i="10"/>
  <c r="G25" i="10" s="1"/>
  <c r="X25" i="10" s="1"/>
  <c r="F2" i="10"/>
  <c r="F25" i="10" s="1"/>
  <c r="AL25" i="10" s="1"/>
  <c r="AX25" i="10" s="1"/>
  <c r="BH25" i="10" s="1"/>
  <c r="E2" i="10"/>
  <c r="E25" i="10" s="1"/>
  <c r="V25" i="10" s="1"/>
  <c r="D2" i="10"/>
  <c r="D25" i="10" s="1"/>
  <c r="C2" i="10"/>
  <c r="C25" i="10" s="1"/>
  <c r="B2" i="10"/>
  <c r="B25" i="10" s="1"/>
  <c r="S25" i="10" s="1"/>
  <c r="A3" i="10"/>
  <c r="AS27" i="10"/>
  <c r="BC27" i="10" s="1"/>
  <c r="BA26" i="10"/>
  <c r="BK26" i="10" s="1"/>
  <c r="AS26" i="10"/>
  <c r="W27" i="10"/>
  <c r="T27" i="10"/>
  <c r="R27" i="10"/>
  <c r="Z26" i="10"/>
  <c r="R26" i="10"/>
  <c r="AU27" i="10"/>
  <c r="A2" i="13"/>
  <c r="C1" i="13"/>
  <c r="D1" i="13"/>
  <c r="B1" i="13"/>
  <c r="E28" i="1"/>
  <c r="E29" i="1" s="1"/>
  <c r="E30" i="1" s="1"/>
  <c r="E31" i="1" s="1"/>
  <c r="D28" i="1"/>
  <c r="G28" i="1"/>
  <c r="G29" i="1" s="1"/>
  <c r="G30" i="1" s="1"/>
  <c r="H28" i="1"/>
  <c r="I27" i="1"/>
  <c r="P27" i="1" s="1"/>
  <c r="B28" i="1"/>
  <c r="B29" i="1" s="1"/>
  <c r="A29" i="1"/>
  <c r="O29" i="1" s="1"/>
  <c r="A30" i="1"/>
  <c r="O30" i="1" s="1"/>
  <c r="A31" i="1"/>
  <c r="O31" i="1" s="1"/>
  <c r="A32" i="1"/>
  <c r="O32" i="1" s="1"/>
  <c r="A33" i="1"/>
  <c r="O33" i="1" s="1"/>
  <c r="A34" i="1"/>
  <c r="O34" i="1" s="1"/>
  <c r="A35" i="1"/>
  <c r="O35" i="1" s="1"/>
  <c r="A36" i="1"/>
  <c r="O36" i="1" s="1"/>
  <c r="A37" i="1"/>
  <c r="O37" i="1" s="1"/>
  <c r="A38" i="1"/>
  <c r="O38" i="1" s="1"/>
  <c r="A39" i="1"/>
  <c r="O39" i="1" s="1"/>
  <c r="A40" i="1"/>
  <c r="O40" i="1" s="1"/>
  <c r="A28" i="1"/>
  <c r="O28" i="1" s="1"/>
  <c r="H26" i="1"/>
  <c r="V26" i="1" s="1"/>
  <c r="G26" i="1"/>
  <c r="U26" i="1" s="1"/>
  <c r="F26" i="1"/>
  <c r="T26" i="1" s="1"/>
  <c r="E26" i="1"/>
  <c r="S26" i="1" s="1"/>
  <c r="D26" i="1"/>
  <c r="R26" i="1" s="1"/>
  <c r="C26" i="1"/>
  <c r="Q26" i="1" s="1"/>
  <c r="H25" i="1"/>
  <c r="V25" i="1" s="1"/>
  <c r="G25" i="1"/>
  <c r="U25" i="1" s="1"/>
  <c r="F25" i="1"/>
  <c r="T25" i="1" s="1"/>
  <c r="E25" i="1"/>
  <c r="S25" i="1" s="1"/>
  <c r="D25" i="1"/>
  <c r="R25" i="1" s="1"/>
  <c r="C25" i="1"/>
  <c r="Q25" i="1" s="1"/>
  <c r="B26" i="1"/>
  <c r="P26" i="1" s="1"/>
  <c r="B25" i="1"/>
  <c r="P25" i="1" s="1"/>
  <c r="A20" i="3"/>
  <c r="G27" i="7"/>
  <c r="AG27" i="7" s="1"/>
  <c r="E27" i="7"/>
  <c r="D27" i="7"/>
  <c r="AD27" i="7" s="1"/>
  <c r="B7" i="7"/>
  <c r="B31" i="7" s="1"/>
  <c r="D7" i="7"/>
  <c r="D31" i="7" s="1"/>
  <c r="E7" i="7"/>
  <c r="E31" i="7" s="1"/>
  <c r="G7" i="7"/>
  <c r="G31" i="7" s="1"/>
  <c r="B27" i="7"/>
  <c r="B4" i="7"/>
  <c r="B5" i="7"/>
  <c r="B6" i="7"/>
  <c r="D4" i="7"/>
  <c r="D5" i="7"/>
  <c r="D6" i="7"/>
  <c r="E4" i="7"/>
  <c r="E5" i="7"/>
  <c r="E6" i="7"/>
  <c r="G4" i="7"/>
  <c r="G5" i="7"/>
  <c r="G6" i="7"/>
  <c r="H27" i="7"/>
  <c r="AH27" i="7" s="1"/>
  <c r="H4" i="7"/>
  <c r="H5" i="7"/>
  <c r="H6" i="7"/>
  <c r="H7" i="7"/>
  <c r="B8" i="7"/>
  <c r="B9" i="7"/>
  <c r="B10" i="7"/>
  <c r="B11" i="7"/>
  <c r="B12" i="7"/>
  <c r="D8" i="7"/>
  <c r="D9" i="7"/>
  <c r="D10" i="7"/>
  <c r="D11" i="7"/>
  <c r="D12" i="7"/>
  <c r="E8" i="7"/>
  <c r="E9" i="7"/>
  <c r="E10" i="7"/>
  <c r="E11" i="7"/>
  <c r="E12" i="7"/>
  <c r="G8" i="7"/>
  <c r="G9" i="7"/>
  <c r="G10" i="7"/>
  <c r="G11" i="7"/>
  <c r="G12" i="7"/>
  <c r="H8" i="7"/>
  <c r="H9" i="7"/>
  <c r="H10" i="7"/>
  <c r="H11" i="7"/>
  <c r="H12" i="7"/>
  <c r="G13" i="7"/>
  <c r="G37" i="7" s="1"/>
  <c r="E13" i="7"/>
  <c r="E37" i="7" s="1"/>
  <c r="D13" i="7"/>
  <c r="D37" i="7" s="1"/>
  <c r="B13" i="7"/>
  <c r="B37" i="7" s="1"/>
  <c r="A17" i="7"/>
  <c r="A41" i="7" s="1"/>
  <c r="O41" i="7" s="1"/>
  <c r="AA41" i="7" s="1"/>
  <c r="A16" i="7"/>
  <c r="A40" i="7" s="1"/>
  <c r="O40" i="7" s="1"/>
  <c r="AA40" i="7" s="1"/>
  <c r="A15" i="7"/>
  <c r="A39" i="7" s="1"/>
  <c r="O39" i="7" s="1"/>
  <c r="AA39" i="7" s="1"/>
  <c r="A14" i="7"/>
  <c r="A38" i="7" s="1"/>
  <c r="O38" i="7" s="1"/>
  <c r="AA38" i="7" s="1"/>
  <c r="A13" i="7"/>
  <c r="A37" i="7" s="1"/>
  <c r="O37" i="7" s="1"/>
  <c r="AA37" i="7" s="1"/>
  <c r="A12" i="7"/>
  <c r="A36" i="7" s="1"/>
  <c r="O36" i="7" s="1"/>
  <c r="AA36" i="7" s="1"/>
  <c r="A11" i="7"/>
  <c r="A35" i="7" s="1"/>
  <c r="O35" i="7" s="1"/>
  <c r="AA35" i="7" s="1"/>
  <c r="A10" i="7"/>
  <c r="A34" i="7" s="1"/>
  <c r="O34" i="7" s="1"/>
  <c r="AA34" i="7" s="1"/>
  <c r="A9" i="7"/>
  <c r="A33" i="7" s="1"/>
  <c r="O33" i="7" s="1"/>
  <c r="AA33" i="7" s="1"/>
  <c r="A8" i="7"/>
  <c r="A32" i="7" s="1"/>
  <c r="O32" i="7" s="1"/>
  <c r="AA32" i="7" s="1"/>
  <c r="A7" i="7"/>
  <c r="A31" i="7" s="1"/>
  <c r="O31" i="7" s="1"/>
  <c r="AA31" i="7" s="1"/>
  <c r="A6" i="7"/>
  <c r="A30" i="7" s="1"/>
  <c r="O30" i="7" s="1"/>
  <c r="AA30" i="7" s="1"/>
  <c r="A5" i="7"/>
  <c r="A29" i="7" s="1"/>
  <c r="O29" i="7" s="1"/>
  <c r="AA29" i="7" s="1"/>
  <c r="A4" i="7"/>
  <c r="A28" i="7" s="1"/>
  <c r="O28" i="7" s="1"/>
  <c r="AA28" i="7" s="1"/>
  <c r="AA27" i="7"/>
  <c r="AI26" i="7"/>
  <c r="H3" i="7"/>
  <c r="H26" i="7" s="1"/>
  <c r="V26" i="7" s="1"/>
  <c r="AH26" i="7" s="1"/>
  <c r="G3" i="7"/>
  <c r="G26" i="7" s="1"/>
  <c r="U26" i="7" s="1"/>
  <c r="AG26" i="7" s="1"/>
  <c r="F3" i="7"/>
  <c r="F26" i="7" s="1"/>
  <c r="T26" i="7" s="1"/>
  <c r="AF26" i="7" s="1"/>
  <c r="E3" i="7"/>
  <c r="E26" i="7" s="1"/>
  <c r="S26" i="7" s="1"/>
  <c r="AE26" i="7" s="1"/>
  <c r="D3" i="7"/>
  <c r="D26" i="7" s="1"/>
  <c r="R26" i="7" s="1"/>
  <c r="AD26" i="7" s="1"/>
  <c r="C3" i="7"/>
  <c r="C26" i="7" s="1"/>
  <c r="Q26" i="7" s="1"/>
  <c r="AC26" i="7" s="1"/>
  <c r="B3" i="7"/>
  <c r="B26" i="7" s="1"/>
  <c r="P26" i="7" s="1"/>
  <c r="AB26" i="7" s="1"/>
  <c r="AA26" i="7"/>
  <c r="H2" i="7"/>
  <c r="H25" i="7" s="1"/>
  <c r="V25" i="7" s="1"/>
  <c r="AH25" i="7" s="1"/>
  <c r="G2" i="7"/>
  <c r="G25" i="7" s="1"/>
  <c r="U25" i="7" s="1"/>
  <c r="AG25" i="7" s="1"/>
  <c r="F2" i="7"/>
  <c r="F25" i="7" s="1"/>
  <c r="T25" i="7" s="1"/>
  <c r="AF25" i="7" s="1"/>
  <c r="E2" i="7"/>
  <c r="E25" i="7" s="1"/>
  <c r="S25" i="7" s="1"/>
  <c r="AE25" i="7" s="1"/>
  <c r="D2" i="7"/>
  <c r="D25" i="7" s="1"/>
  <c r="R25" i="7" s="1"/>
  <c r="AD25" i="7" s="1"/>
  <c r="C2" i="7"/>
  <c r="C25" i="7" s="1"/>
  <c r="Q25" i="7" s="1"/>
  <c r="AC25" i="7" s="1"/>
  <c r="B2" i="7"/>
  <c r="B25" i="7" s="1"/>
  <c r="P25" i="7" s="1"/>
  <c r="AB25" i="7" s="1"/>
  <c r="H17" i="7"/>
  <c r="G17" i="7"/>
  <c r="F17" i="7"/>
  <c r="E17" i="7"/>
  <c r="D17" i="7"/>
  <c r="C17" i="7"/>
  <c r="H16" i="7"/>
  <c r="G16" i="7"/>
  <c r="F16" i="7"/>
  <c r="E16" i="7"/>
  <c r="D16" i="7"/>
  <c r="C16" i="7"/>
  <c r="H15" i="7"/>
  <c r="G15" i="7"/>
  <c r="F15" i="7"/>
  <c r="E15" i="7"/>
  <c r="D15" i="7"/>
  <c r="C15" i="7"/>
  <c r="H14" i="7"/>
  <c r="G14" i="7"/>
  <c r="F14" i="7"/>
  <c r="E14" i="7"/>
  <c r="D14" i="7"/>
  <c r="C14" i="7"/>
  <c r="H13" i="7"/>
  <c r="F13" i="7"/>
  <c r="C13" i="7"/>
  <c r="F12" i="7"/>
  <c r="C12" i="7"/>
  <c r="F11" i="7"/>
  <c r="C11" i="7"/>
  <c r="F10" i="7"/>
  <c r="C10" i="7"/>
  <c r="F9" i="7"/>
  <c r="C9" i="7"/>
  <c r="F8" i="7"/>
  <c r="C8" i="7"/>
  <c r="F7" i="7"/>
  <c r="C7" i="7"/>
  <c r="F6" i="7"/>
  <c r="C6" i="7"/>
  <c r="F5" i="7"/>
  <c r="C5" i="7"/>
  <c r="F4" i="7"/>
  <c r="C4" i="7"/>
  <c r="B14" i="7"/>
  <c r="B15" i="7"/>
  <c r="B16" i="7"/>
  <c r="B17" i="7"/>
  <c r="A3" i="7"/>
  <c r="H27" i="4"/>
  <c r="B27" i="4"/>
  <c r="C27" i="4"/>
  <c r="D27" i="4"/>
  <c r="E27" i="4"/>
  <c r="G27" i="4"/>
  <c r="B4" i="4"/>
  <c r="B5" i="4"/>
  <c r="C5" i="4"/>
  <c r="C29" i="4" s="1"/>
  <c r="D4" i="4"/>
  <c r="D5" i="4"/>
  <c r="E4" i="4"/>
  <c r="E5" i="4"/>
  <c r="G4" i="4"/>
  <c r="G5" i="4"/>
  <c r="H4" i="4"/>
  <c r="H5" i="4"/>
  <c r="B6" i="4"/>
  <c r="B7" i="4"/>
  <c r="B8" i="4"/>
  <c r="B9" i="4"/>
  <c r="B10" i="4"/>
  <c r="C10" i="4"/>
  <c r="C34" i="4" s="1"/>
  <c r="R27" i="4"/>
  <c r="AD27" i="4" s="1"/>
  <c r="AN27" i="4" s="1"/>
  <c r="D6" i="4"/>
  <c r="D7" i="4"/>
  <c r="D8" i="4"/>
  <c r="D9" i="4"/>
  <c r="D10" i="4"/>
  <c r="S27" i="4"/>
  <c r="AE27" i="4" s="1"/>
  <c r="AO27" i="4" s="1"/>
  <c r="E6" i="4"/>
  <c r="E7" i="4"/>
  <c r="E8" i="4"/>
  <c r="E9" i="4"/>
  <c r="E10" i="4"/>
  <c r="U27" i="4"/>
  <c r="AG27" i="4" s="1"/>
  <c r="AQ27" i="4" s="1"/>
  <c r="G6" i="4"/>
  <c r="G7" i="4"/>
  <c r="G8" i="4"/>
  <c r="G9" i="4"/>
  <c r="G10" i="4"/>
  <c r="H6" i="4"/>
  <c r="H7" i="4"/>
  <c r="H8" i="4"/>
  <c r="H9" i="4"/>
  <c r="H10" i="4"/>
  <c r="B11" i="4"/>
  <c r="B12" i="4"/>
  <c r="C12" i="4"/>
  <c r="C36" i="4" s="1"/>
  <c r="D11" i="4"/>
  <c r="D12" i="4"/>
  <c r="E11" i="4"/>
  <c r="E12" i="4"/>
  <c r="G11" i="4"/>
  <c r="G12" i="4"/>
  <c r="H11" i="4"/>
  <c r="H12" i="4"/>
  <c r="B13" i="4"/>
  <c r="B14" i="4"/>
  <c r="C14" i="4"/>
  <c r="C38" i="4" s="1"/>
  <c r="D13" i="4"/>
  <c r="D14" i="4"/>
  <c r="E13" i="4"/>
  <c r="E14" i="4"/>
  <c r="G13" i="4"/>
  <c r="G14" i="4"/>
  <c r="H13" i="4"/>
  <c r="H14" i="4"/>
  <c r="C4" i="4"/>
  <c r="C6" i="4"/>
  <c r="C30" i="4" s="1"/>
  <c r="C7" i="4"/>
  <c r="C31" i="4" s="1"/>
  <c r="C8" i="4"/>
  <c r="C32" i="4" s="1"/>
  <c r="C9" i="4"/>
  <c r="C33" i="4" s="1"/>
  <c r="C11" i="4"/>
  <c r="C35" i="4" s="1"/>
  <c r="C13" i="4"/>
  <c r="C37" i="4" s="1"/>
  <c r="B15" i="4"/>
  <c r="B16" i="4"/>
  <c r="B17" i="4"/>
  <c r="D15" i="4"/>
  <c r="D16" i="4"/>
  <c r="D17" i="4"/>
  <c r="E15" i="4"/>
  <c r="E16" i="4"/>
  <c r="E17" i="4"/>
  <c r="G15" i="4"/>
  <c r="G16" i="4"/>
  <c r="G17" i="4"/>
  <c r="H15" i="4"/>
  <c r="H16" i="4"/>
  <c r="H17" i="4"/>
  <c r="C39" i="4"/>
  <c r="C40" i="4"/>
  <c r="F5" i="4"/>
  <c r="F6" i="4"/>
  <c r="F7" i="4"/>
  <c r="F8" i="4"/>
  <c r="F9" i="4"/>
  <c r="F10" i="4"/>
  <c r="F11" i="4"/>
  <c r="F12" i="4"/>
  <c r="F13" i="4"/>
  <c r="F14" i="4"/>
  <c r="F15" i="4"/>
  <c r="F16" i="4"/>
  <c r="F17" i="4"/>
  <c r="F4" i="4"/>
  <c r="AA27" i="4"/>
  <c r="AK27" i="4" s="1"/>
  <c r="AA26" i="4"/>
  <c r="AI26" i="4"/>
  <c r="AS26" i="4" s="1"/>
  <c r="A5" i="4"/>
  <c r="A29" i="4" s="1"/>
  <c r="A6" i="4"/>
  <c r="A30" i="4" s="1"/>
  <c r="A7" i="4"/>
  <c r="A31" i="4" s="1"/>
  <c r="A8" i="4"/>
  <c r="A32" i="4" s="1"/>
  <c r="A9" i="4"/>
  <c r="A33" i="4" s="1"/>
  <c r="A10" i="4"/>
  <c r="A34" i="4" s="1"/>
  <c r="A11" i="4"/>
  <c r="A35" i="4" s="1"/>
  <c r="A12" i="4"/>
  <c r="A36" i="4" s="1"/>
  <c r="A13" i="4"/>
  <c r="A37" i="4" s="1"/>
  <c r="A14" i="4"/>
  <c r="A38" i="4" s="1"/>
  <c r="A15" i="4"/>
  <c r="A39" i="4" s="1"/>
  <c r="A16" i="4"/>
  <c r="A40" i="4" s="1"/>
  <c r="A17" i="4"/>
  <c r="A41" i="4" s="1"/>
  <c r="A4" i="4"/>
  <c r="A28" i="4" s="1"/>
  <c r="H3" i="4"/>
  <c r="H26" i="4" s="1"/>
  <c r="V26" i="4" s="1"/>
  <c r="AH26" i="4" s="1"/>
  <c r="AR26" i="4" s="1"/>
  <c r="G3" i="4"/>
  <c r="G26" i="4" s="1"/>
  <c r="U26" i="4" s="1"/>
  <c r="AG26" i="4" s="1"/>
  <c r="AQ26" i="4" s="1"/>
  <c r="F3" i="4"/>
  <c r="F26" i="4" s="1"/>
  <c r="T26" i="4" s="1"/>
  <c r="AF26" i="4" s="1"/>
  <c r="AP26" i="4" s="1"/>
  <c r="E3" i="4"/>
  <c r="E26" i="4" s="1"/>
  <c r="S26" i="4" s="1"/>
  <c r="AE26" i="4" s="1"/>
  <c r="AO26" i="4" s="1"/>
  <c r="D3" i="4"/>
  <c r="D26" i="4" s="1"/>
  <c r="R26" i="4" s="1"/>
  <c r="AD26" i="4" s="1"/>
  <c r="AN26" i="4" s="1"/>
  <c r="C3" i="4"/>
  <c r="C26" i="4" s="1"/>
  <c r="Q26" i="4" s="1"/>
  <c r="AC26" i="4" s="1"/>
  <c r="AM26" i="4" s="1"/>
  <c r="H2" i="4"/>
  <c r="H25" i="4" s="1"/>
  <c r="V25" i="4" s="1"/>
  <c r="AH25" i="4" s="1"/>
  <c r="AR25" i="4" s="1"/>
  <c r="G2" i="4"/>
  <c r="G25" i="4" s="1"/>
  <c r="U25" i="4" s="1"/>
  <c r="AG25" i="4" s="1"/>
  <c r="AQ25" i="4" s="1"/>
  <c r="F2" i="4"/>
  <c r="F25" i="4" s="1"/>
  <c r="T25" i="4" s="1"/>
  <c r="AF25" i="4" s="1"/>
  <c r="AP25" i="4" s="1"/>
  <c r="E2" i="4"/>
  <c r="E25" i="4" s="1"/>
  <c r="S25" i="4" s="1"/>
  <c r="AE25" i="4" s="1"/>
  <c r="AO25" i="4" s="1"/>
  <c r="D2" i="4"/>
  <c r="D25" i="4" s="1"/>
  <c r="R25" i="4" s="1"/>
  <c r="AD25" i="4" s="1"/>
  <c r="AN25" i="4" s="1"/>
  <c r="C2" i="4"/>
  <c r="C25" i="4" s="1"/>
  <c r="Q25" i="4" s="1"/>
  <c r="AC25" i="4" s="1"/>
  <c r="AM25" i="4" s="1"/>
  <c r="B3" i="4"/>
  <c r="B26" i="4" s="1"/>
  <c r="P26" i="4" s="1"/>
  <c r="AB26" i="4" s="1"/>
  <c r="AL26" i="4" s="1"/>
  <c r="B2" i="4"/>
  <c r="B25" i="4" s="1"/>
  <c r="P25" i="4" s="1"/>
  <c r="AB25" i="4" s="1"/>
  <c r="AL25" i="4" s="1"/>
  <c r="A3" i="4"/>
  <c r="AF27" i="4"/>
  <c r="AP27" i="4" s="1"/>
  <c r="AC27" i="4"/>
  <c r="AM27" i="4" s="1"/>
  <c r="BL29" i="37" l="1"/>
  <c r="I30" i="37"/>
  <c r="AP29" i="37"/>
  <c r="AO29" i="37"/>
  <c r="A6" i="13"/>
  <c r="O30" i="4"/>
  <c r="AA30" i="4" s="1"/>
  <c r="O34" i="4"/>
  <c r="AA34" i="4" s="1"/>
  <c r="A8" i="13"/>
  <c r="A7" i="13"/>
  <c r="O37" i="4"/>
  <c r="AA37" i="4" s="1"/>
  <c r="AO28" i="21"/>
  <c r="O40" i="4"/>
  <c r="AA40" i="4" s="1"/>
  <c r="O39" i="4"/>
  <c r="AA39" i="4" s="1"/>
  <c r="A13" i="13"/>
  <c r="AK29" i="4"/>
  <c r="O36" i="4"/>
  <c r="AA36" i="4" s="1"/>
  <c r="A10" i="13"/>
  <c r="AL30" i="27"/>
  <c r="B31" i="27" s="1"/>
  <c r="I31" i="27" s="1"/>
  <c r="X30" i="27"/>
  <c r="W30" i="27"/>
  <c r="AN32" i="27"/>
  <c r="D33" i="27" s="1"/>
  <c r="AO32" i="27"/>
  <c r="E33" i="27" s="1"/>
  <c r="AH31" i="27"/>
  <c r="P31" i="27"/>
  <c r="AD31" i="27"/>
  <c r="AQ32" i="27"/>
  <c r="G33" i="27" s="1"/>
  <c r="AE31" i="27"/>
  <c r="AP28" i="21"/>
  <c r="AQ28" i="21"/>
  <c r="E31" i="19"/>
  <c r="V31" i="19" s="1"/>
  <c r="I30" i="22"/>
  <c r="S30" i="22"/>
  <c r="AO28" i="19"/>
  <c r="AP28" i="19"/>
  <c r="AT29" i="21"/>
  <c r="B30" i="21" s="1"/>
  <c r="Z29" i="21"/>
  <c r="AH29" i="21" s="1"/>
  <c r="BO29" i="21"/>
  <c r="D31" i="19"/>
  <c r="U31" i="19" s="1"/>
  <c r="J29" i="21"/>
  <c r="K29" i="21" s="1"/>
  <c r="L29" i="21" s="1"/>
  <c r="AQ28" i="20"/>
  <c r="O32" i="19"/>
  <c r="X31" i="19"/>
  <c r="J29" i="19"/>
  <c r="K29" i="19" s="1"/>
  <c r="L29" i="19" s="1"/>
  <c r="BA29" i="20"/>
  <c r="AD29" i="20"/>
  <c r="BK29" i="20"/>
  <c r="AA29" i="20"/>
  <c r="AB29" i="20" s="1"/>
  <c r="AC29" i="20" s="1"/>
  <c r="BF29" i="20"/>
  <c r="D30" i="20" s="1"/>
  <c r="U30" i="20" s="1"/>
  <c r="BD29" i="20"/>
  <c r="B30" i="20" s="1"/>
  <c r="BI29" i="20"/>
  <c r="G30" i="20" s="1"/>
  <c r="X30" i="20" s="1"/>
  <c r="BG29" i="20"/>
  <c r="E30" i="20" s="1"/>
  <c r="V30" i="20" s="1"/>
  <c r="BJ29" i="20"/>
  <c r="H30" i="20" s="1"/>
  <c r="Y30" i="20" s="1"/>
  <c r="AJ29" i="20"/>
  <c r="AM29" i="20"/>
  <c r="AN29" i="20"/>
  <c r="AV29" i="20"/>
  <c r="AY29" i="20"/>
  <c r="AZ29" i="20"/>
  <c r="AK29" i="20"/>
  <c r="AW29" i="20"/>
  <c r="Z29" i="19"/>
  <c r="AH29" i="19" s="1"/>
  <c r="B30" i="19"/>
  <c r="AD29" i="22"/>
  <c r="AA29" i="22"/>
  <c r="AB29" i="22" s="1"/>
  <c r="AC29" i="22" s="1"/>
  <c r="AT29" i="20"/>
  <c r="G35" i="19"/>
  <c r="H31" i="19"/>
  <c r="Y31" i="19" s="1"/>
  <c r="AH29" i="22"/>
  <c r="AH29" i="20"/>
  <c r="AQ28" i="22"/>
  <c r="X30" i="16"/>
  <c r="E29" i="17"/>
  <c r="D29" i="17"/>
  <c r="Z28" i="17"/>
  <c r="AM28" i="17" s="1"/>
  <c r="B29" i="17"/>
  <c r="S29" i="17" s="1"/>
  <c r="O30" i="17"/>
  <c r="G33" i="17"/>
  <c r="X33" i="17" s="1"/>
  <c r="H29" i="17"/>
  <c r="Y29" i="17" s="1"/>
  <c r="Y29" i="16"/>
  <c r="W30" i="16"/>
  <c r="B33" i="16"/>
  <c r="I32" i="16"/>
  <c r="AB31" i="16" s="1"/>
  <c r="J31" i="16"/>
  <c r="K31" i="16" s="1"/>
  <c r="L31" i="16" s="1"/>
  <c r="P31" i="16"/>
  <c r="E24" i="15"/>
  <c r="B24" i="15"/>
  <c r="H24" i="15"/>
  <c r="G24" i="15"/>
  <c r="D24" i="15"/>
  <c r="D28" i="12"/>
  <c r="H28" i="9"/>
  <c r="E28" i="4"/>
  <c r="AO28" i="4" s="1"/>
  <c r="E29" i="4" s="1"/>
  <c r="G28" i="7"/>
  <c r="AG28" i="7" s="1"/>
  <c r="G29" i="7" s="1"/>
  <c r="O38" i="4"/>
  <c r="AA38" i="4" s="1"/>
  <c r="N36" i="10"/>
  <c r="H28" i="4"/>
  <c r="AR28" i="4" s="1"/>
  <c r="H29" i="4" s="1"/>
  <c r="W27" i="1"/>
  <c r="O41" i="4"/>
  <c r="AA41" i="4" s="1"/>
  <c r="A16" i="13"/>
  <c r="AK41" i="4"/>
  <c r="AG40" i="10"/>
  <c r="AS40" i="10" s="1"/>
  <c r="BC40" i="10" s="1"/>
  <c r="N40" i="10"/>
  <c r="R40" i="10"/>
  <c r="O32" i="4"/>
  <c r="AA32" i="4" s="1"/>
  <c r="N38" i="12"/>
  <c r="AS38" i="12"/>
  <c r="R37" i="12"/>
  <c r="AS37" i="12"/>
  <c r="AG30" i="12"/>
  <c r="BN30" i="12" s="1"/>
  <c r="AS30" i="12"/>
  <c r="D28" i="10"/>
  <c r="N34" i="12"/>
  <c r="AS34" i="12"/>
  <c r="AG41" i="9"/>
  <c r="R41" i="9"/>
  <c r="N41" i="9"/>
  <c r="N28" i="12"/>
  <c r="AS28" i="12"/>
  <c r="AG35" i="12"/>
  <c r="BN35" i="12" s="1"/>
  <c r="AS35" i="12"/>
  <c r="R31" i="12"/>
  <c r="AS31" i="12"/>
  <c r="AG32" i="12"/>
  <c r="BN32" i="12" s="1"/>
  <c r="AS32" i="12"/>
  <c r="R39" i="12"/>
  <c r="AS39" i="12"/>
  <c r="G28" i="9"/>
  <c r="G29" i="9" s="1"/>
  <c r="G30" i="9" s="1"/>
  <c r="G31" i="9" s="1"/>
  <c r="G32" i="9" s="1"/>
  <c r="AM25" i="10"/>
  <c r="AY25" i="10" s="1"/>
  <c r="BI25" i="10" s="1"/>
  <c r="AG38" i="12"/>
  <c r="BN38" i="12" s="1"/>
  <c r="R38" i="12"/>
  <c r="R32" i="12"/>
  <c r="AN25" i="9"/>
  <c r="D28" i="9"/>
  <c r="D28" i="4"/>
  <c r="AN28" i="4" s="1"/>
  <c r="D29" i="4" s="1"/>
  <c r="AK37" i="4"/>
  <c r="B28" i="4"/>
  <c r="AL28" i="4" s="1"/>
  <c r="B29" i="4" s="1"/>
  <c r="AK40" i="4"/>
  <c r="T26" i="9"/>
  <c r="AI26" i="9"/>
  <c r="N29" i="12"/>
  <c r="R29" i="12"/>
  <c r="AK38" i="4"/>
  <c r="AG34" i="12"/>
  <c r="BN34" i="12" s="1"/>
  <c r="R32" i="10"/>
  <c r="H28" i="12"/>
  <c r="AG38" i="10"/>
  <c r="AS38" i="10" s="1"/>
  <c r="BC38" i="10" s="1"/>
  <c r="R38" i="10"/>
  <c r="AK32" i="4"/>
  <c r="W25" i="12"/>
  <c r="AK25" i="10"/>
  <c r="AW25" i="10" s="1"/>
  <c r="BG25" i="10" s="1"/>
  <c r="G28" i="4"/>
  <c r="AQ28" i="4" s="1"/>
  <c r="G29" i="4" s="1"/>
  <c r="D28" i="7"/>
  <c r="AD28" i="7" s="1"/>
  <c r="D29" i="7" s="1"/>
  <c r="AD29" i="7" s="1"/>
  <c r="D30" i="7" s="1"/>
  <c r="AM26" i="10"/>
  <c r="AY26" i="10" s="1"/>
  <c r="BI26" i="10" s="1"/>
  <c r="AG29" i="12"/>
  <c r="BN29" i="12" s="1"/>
  <c r="AN26" i="9"/>
  <c r="Y26" i="9"/>
  <c r="T27" i="1"/>
  <c r="AK26" i="10"/>
  <c r="AW26" i="10" s="1"/>
  <c r="BG26" i="10" s="1"/>
  <c r="Y25" i="12"/>
  <c r="B28" i="12"/>
  <c r="AG35" i="9"/>
  <c r="I27" i="4"/>
  <c r="Q27" i="1"/>
  <c r="V27" i="1"/>
  <c r="C2" i="13"/>
  <c r="X26" i="9"/>
  <c r="B28" i="9"/>
  <c r="C28" i="4"/>
  <c r="I28" i="1"/>
  <c r="AG32" i="10"/>
  <c r="AS32" i="10" s="1"/>
  <c r="BC32" i="10" s="1"/>
  <c r="AX25" i="12"/>
  <c r="U26" i="12"/>
  <c r="N30" i="9"/>
  <c r="AH25" i="9"/>
  <c r="S25" i="9"/>
  <c r="S26" i="10"/>
  <c r="AH26" i="10"/>
  <c r="AT26" i="10" s="1"/>
  <c r="BD26" i="10" s="1"/>
  <c r="N31" i="10"/>
  <c r="R31" i="10"/>
  <c r="AG31" i="10"/>
  <c r="AS31" i="10" s="1"/>
  <c r="BC31" i="10" s="1"/>
  <c r="AG36" i="12"/>
  <c r="BN36" i="12" s="1"/>
  <c r="N36" i="12"/>
  <c r="R36" i="12"/>
  <c r="B28" i="10"/>
  <c r="AK33" i="4"/>
  <c r="E28" i="10"/>
  <c r="N38" i="10"/>
  <c r="I27" i="10"/>
  <c r="Z27" i="10" s="1"/>
  <c r="AN27" i="10" s="1"/>
  <c r="AZ27" i="10" s="1"/>
  <c r="BJ27" i="10" s="1"/>
  <c r="AI26" i="12"/>
  <c r="AU26" i="12" s="1"/>
  <c r="S25" i="12"/>
  <c r="AI25" i="12"/>
  <c r="W26" i="12"/>
  <c r="AK26" i="12"/>
  <c r="AW26" i="12" s="1"/>
  <c r="AH26" i="9"/>
  <c r="W25" i="10"/>
  <c r="AG28" i="12"/>
  <c r="BN28" i="12" s="1"/>
  <c r="R34" i="9"/>
  <c r="W26" i="9"/>
  <c r="AG36" i="9"/>
  <c r="O35" i="4"/>
  <c r="AA35" i="4" s="1"/>
  <c r="AK35" i="4"/>
  <c r="T26" i="10"/>
  <c r="AG36" i="10"/>
  <c r="AS36" i="10" s="1"/>
  <c r="BC36" i="10" s="1"/>
  <c r="H28" i="10"/>
  <c r="AT25" i="12"/>
  <c r="S27" i="12"/>
  <c r="N32" i="12"/>
  <c r="X25" i="12"/>
  <c r="R28" i="12"/>
  <c r="G28" i="12"/>
  <c r="R35" i="9"/>
  <c r="AG30" i="9"/>
  <c r="AL25" i="9"/>
  <c r="AK26" i="9"/>
  <c r="N34" i="9"/>
  <c r="N34" i="10"/>
  <c r="AG34" i="10"/>
  <c r="AS34" i="10" s="1"/>
  <c r="BC34" i="10" s="1"/>
  <c r="R34" i="10"/>
  <c r="A3" i="13"/>
  <c r="O28" i="4"/>
  <c r="AA28" i="4" s="1"/>
  <c r="AE27" i="7"/>
  <c r="D29" i="1"/>
  <c r="N35" i="10"/>
  <c r="R35" i="10"/>
  <c r="AG35" i="10"/>
  <c r="AS35" i="10" s="1"/>
  <c r="BC35" i="10" s="1"/>
  <c r="O29" i="4"/>
  <c r="AA29" i="4" s="1"/>
  <c r="AK28" i="4"/>
  <c r="O31" i="4"/>
  <c r="AA31" i="4" s="1"/>
  <c r="O33" i="4"/>
  <c r="AA33" i="4" s="1"/>
  <c r="A5" i="13"/>
  <c r="AK30" i="4"/>
  <c r="A15" i="13"/>
  <c r="A4" i="13"/>
  <c r="U25" i="10"/>
  <c r="AJ25" i="10"/>
  <c r="AV25" i="10" s="1"/>
  <c r="BF25" i="10" s="1"/>
  <c r="AN26" i="10"/>
  <c r="AZ26" i="10" s="1"/>
  <c r="BJ26" i="10" s="1"/>
  <c r="Y26" i="10"/>
  <c r="N29" i="10"/>
  <c r="R29" i="10"/>
  <c r="AG29" i="10"/>
  <c r="AS29" i="10" s="1"/>
  <c r="BC29" i="10" s="1"/>
  <c r="A14" i="13"/>
  <c r="AK39" i="4"/>
  <c r="E28" i="7"/>
  <c r="AB27" i="7"/>
  <c r="B28" i="7"/>
  <c r="H29" i="1"/>
  <c r="G31" i="1"/>
  <c r="A12" i="13"/>
  <c r="AH25" i="10"/>
  <c r="AT25" i="10" s="1"/>
  <c r="BD25" i="10" s="1"/>
  <c r="AI25" i="10"/>
  <c r="AU25" i="10" s="1"/>
  <c r="BE25" i="10" s="1"/>
  <c r="T25" i="10"/>
  <c r="W26" i="10"/>
  <c r="AL26" i="10"/>
  <c r="AX26" i="10" s="1"/>
  <c r="BH26" i="10" s="1"/>
  <c r="AG37" i="10"/>
  <c r="AS37" i="10" s="1"/>
  <c r="BC37" i="10" s="1"/>
  <c r="N37" i="10"/>
  <c r="AK31" i="4"/>
  <c r="A11" i="13"/>
  <c r="AK36" i="4"/>
  <c r="AK34" i="4"/>
  <c r="I27" i="7"/>
  <c r="V27" i="7" s="1"/>
  <c r="H28" i="7"/>
  <c r="B30" i="1"/>
  <c r="E32" i="1"/>
  <c r="A9" i="13"/>
  <c r="R33" i="10"/>
  <c r="AG33" i="10"/>
  <c r="AS33" i="10" s="1"/>
  <c r="BC33" i="10" s="1"/>
  <c r="X27" i="10"/>
  <c r="G28" i="10"/>
  <c r="AJ26" i="10"/>
  <c r="AV26" i="10" s="1"/>
  <c r="BF26" i="10" s="1"/>
  <c r="N28" i="10"/>
  <c r="AG28" i="10"/>
  <c r="AS28" i="10" s="1"/>
  <c r="BC28" i="10" s="1"/>
  <c r="R39" i="10"/>
  <c r="AG39" i="10"/>
  <c r="AS39" i="10" s="1"/>
  <c r="BC39" i="10" s="1"/>
  <c r="AN26" i="12"/>
  <c r="Y26" i="12"/>
  <c r="R30" i="12"/>
  <c r="N30" i="12"/>
  <c r="AI25" i="9"/>
  <c r="T25" i="9"/>
  <c r="AG40" i="9"/>
  <c r="N40" i="9"/>
  <c r="R40" i="9"/>
  <c r="AN25" i="10"/>
  <c r="AZ25" i="10" s="1"/>
  <c r="BJ25" i="10" s="1"/>
  <c r="Y25" i="10"/>
  <c r="AG30" i="10"/>
  <c r="AS30" i="10" s="1"/>
  <c r="BC30" i="10" s="1"/>
  <c r="N30" i="10"/>
  <c r="AJ25" i="12"/>
  <c r="U25" i="12"/>
  <c r="AH26" i="12"/>
  <c r="S26" i="12"/>
  <c r="AM26" i="12"/>
  <c r="X26" i="12"/>
  <c r="R33" i="12"/>
  <c r="AG33" i="12"/>
  <c r="BN33" i="12" s="1"/>
  <c r="N33" i="12"/>
  <c r="AG39" i="12"/>
  <c r="BN39" i="12" s="1"/>
  <c r="N39" i="12"/>
  <c r="V27" i="12"/>
  <c r="I27" i="12"/>
  <c r="Z27" i="12" s="1"/>
  <c r="E28" i="12"/>
  <c r="V25" i="12"/>
  <c r="AK25" i="12"/>
  <c r="BT25" i="12"/>
  <c r="AY25" i="12"/>
  <c r="N31" i="12"/>
  <c r="AG31" i="12"/>
  <c r="BN31" i="12" s="1"/>
  <c r="AG37" i="12"/>
  <c r="BN37" i="12" s="1"/>
  <c r="N37" i="12"/>
  <c r="BN42" i="12"/>
  <c r="BU25" i="12"/>
  <c r="AZ25" i="12"/>
  <c r="R35" i="12"/>
  <c r="N35" i="12"/>
  <c r="AG40" i="12"/>
  <c r="BN40" i="12" s="1"/>
  <c r="R40" i="12"/>
  <c r="N40" i="12"/>
  <c r="BS26" i="12"/>
  <c r="AX26" i="12"/>
  <c r="AV26" i="12"/>
  <c r="R34" i="12"/>
  <c r="AK25" i="9"/>
  <c r="N38" i="9"/>
  <c r="AG38" i="9"/>
  <c r="AJ26" i="9"/>
  <c r="U26" i="9"/>
  <c r="X25" i="9"/>
  <c r="AM25" i="9"/>
  <c r="U25" i="9"/>
  <c r="AJ25" i="9"/>
  <c r="N32" i="9"/>
  <c r="R32" i="9"/>
  <c r="AG39" i="9"/>
  <c r="R39" i="9"/>
  <c r="AG31" i="9"/>
  <c r="R31" i="9"/>
  <c r="N31" i="9"/>
  <c r="N36" i="9"/>
  <c r="N29" i="9"/>
  <c r="R29" i="9"/>
  <c r="N33" i="9"/>
  <c r="R33" i="9"/>
  <c r="V27" i="9"/>
  <c r="I27" i="9"/>
  <c r="Z27" i="9" s="1"/>
  <c r="AH27" i="9" s="1"/>
  <c r="E28" i="9"/>
  <c r="AG37" i="9"/>
  <c r="R37" i="9"/>
  <c r="N37" i="9"/>
  <c r="R28" i="9"/>
  <c r="AG28" i="9"/>
  <c r="AQ29" i="37" l="1"/>
  <c r="J30" i="37"/>
  <c r="K30" i="37" s="1"/>
  <c r="L30" i="37" s="1"/>
  <c r="Z30" i="37"/>
  <c r="AG31" i="27"/>
  <c r="J31" i="27"/>
  <c r="K31" i="27" s="1"/>
  <c r="L31" i="27" s="1"/>
  <c r="U31" i="27"/>
  <c r="AS31" i="27"/>
  <c r="AR31" i="27" s="1"/>
  <c r="H32" i="27" s="1"/>
  <c r="AB31" i="27"/>
  <c r="R31" i="27"/>
  <c r="S31" i="27"/>
  <c r="AI31" i="27"/>
  <c r="V31" i="27"/>
  <c r="AT30" i="27"/>
  <c r="Y30" i="27"/>
  <c r="AQ33" i="27"/>
  <c r="G34" i="27" s="1"/>
  <c r="AN33" i="27"/>
  <c r="D34" i="27" s="1"/>
  <c r="AO33" i="27"/>
  <c r="E34" i="27" s="1"/>
  <c r="AQ28" i="19"/>
  <c r="I30" i="20"/>
  <c r="S30" i="20"/>
  <c r="AP29" i="20"/>
  <c r="AO29" i="20"/>
  <c r="E32" i="19"/>
  <c r="V32" i="19" s="1"/>
  <c r="D32" i="19"/>
  <c r="U32" i="19" s="1"/>
  <c r="G36" i="19"/>
  <c r="H32" i="19"/>
  <c r="Y32" i="19" s="1"/>
  <c r="S30" i="19"/>
  <c r="I30" i="19"/>
  <c r="AD29" i="19"/>
  <c r="AA29" i="19"/>
  <c r="AB29" i="19" s="1"/>
  <c r="AC29" i="19" s="1"/>
  <c r="AM29" i="19"/>
  <c r="AN29" i="19"/>
  <c r="AK29" i="19"/>
  <c r="AJ29" i="19"/>
  <c r="O33" i="19"/>
  <c r="X32" i="19"/>
  <c r="BA29" i="21"/>
  <c r="AD29" i="21"/>
  <c r="BV29" i="21"/>
  <c r="BB29" i="21"/>
  <c r="AA29" i="21"/>
  <c r="AB29" i="21" s="1"/>
  <c r="AC29" i="21" s="1"/>
  <c r="BS29" i="21"/>
  <c r="BP29" i="21"/>
  <c r="AN29" i="21"/>
  <c r="AM29" i="21"/>
  <c r="BU29" i="21"/>
  <c r="AK29" i="21"/>
  <c r="AJ29" i="21"/>
  <c r="AP29" i="21" s="1"/>
  <c r="Z30" i="22"/>
  <c r="AH30" i="22" s="1"/>
  <c r="B31" i="22"/>
  <c r="S30" i="21"/>
  <c r="I30" i="21"/>
  <c r="J30" i="22"/>
  <c r="K30" i="22" s="1"/>
  <c r="L30" i="22" s="1"/>
  <c r="AP29" i="22"/>
  <c r="AO29" i="22"/>
  <c r="BL29" i="20"/>
  <c r="Y30" i="16"/>
  <c r="J28" i="1"/>
  <c r="K28" i="1" s="1"/>
  <c r="L28" i="1" s="1"/>
  <c r="AN28" i="17"/>
  <c r="AH28" i="17"/>
  <c r="D30" i="17"/>
  <c r="G34" i="17"/>
  <c r="X34" i="17" s="1"/>
  <c r="I29" i="17"/>
  <c r="AA28" i="17"/>
  <c r="AB28" i="17" s="1"/>
  <c r="AC28" i="17" s="1"/>
  <c r="AD28" i="17"/>
  <c r="AK28" i="17"/>
  <c r="H30" i="17"/>
  <c r="Y30" i="17" s="1"/>
  <c r="O31" i="17"/>
  <c r="AJ28" i="17"/>
  <c r="E30" i="17"/>
  <c r="J32" i="16"/>
  <c r="K32" i="16" s="1"/>
  <c r="L32" i="16" s="1"/>
  <c r="X31" i="16"/>
  <c r="W31" i="16"/>
  <c r="P32" i="16"/>
  <c r="B34" i="16"/>
  <c r="I33" i="16"/>
  <c r="B2" i="13"/>
  <c r="V28" i="1"/>
  <c r="P28" i="1"/>
  <c r="U28" i="1"/>
  <c r="AH27" i="10"/>
  <c r="AT27" i="10" s="1"/>
  <c r="BD27" i="10" s="1"/>
  <c r="AH27" i="12"/>
  <c r="BO27" i="12" s="1"/>
  <c r="AM27" i="10"/>
  <c r="AY27" i="10" s="1"/>
  <c r="BI27" i="10" s="1"/>
  <c r="AK27" i="10"/>
  <c r="AW27" i="10" s="1"/>
  <c r="BG27" i="10" s="1"/>
  <c r="AO27" i="10"/>
  <c r="BA27" i="10" s="1"/>
  <c r="BK27" i="10" s="1"/>
  <c r="AJ27" i="10"/>
  <c r="AV27" i="10" s="1"/>
  <c r="BF27" i="10" s="1"/>
  <c r="AI27" i="7"/>
  <c r="AJ27" i="7" s="1"/>
  <c r="V27" i="4"/>
  <c r="AH27" i="4" s="1"/>
  <c r="AR27" i="4" s="1"/>
  <c r="I28" i="4"/>
  <c r="P27" i="4"/>
  <c r="AB27" i="4" s="1"/>
  <c r="AL27" i="4" s="1"/>
  <c r="W27" i="4"/>
  <c r="AI27" i="4" s="1"/>
  <c r="AS27" i="4" s="1"/>
  <c r="R28" i="1"/>
  <c r="S28" i="1"/>
  <c r="C3" i="13"/>
  <c r="BP26" i="12"/>
  <c r="BR26" i="12"/>
  <c r="BP25" i="12"/>
  <c r="AU25" i="12"/>
  <c r="AK27" i="12"/>
  <c r="BR27" i="12" s="1"/>
  <c r="P27" i="7"/>
  <c r="S27" i="7"/>
  <c r="AO27" i="9"/>
  <c r="AN27" i="9"/>
  <c r="AM27" i="9"/>
  <c r="AJ27" i="9"/>
  <c r="BT26" i="12"/>
  <c r="AY26" i="12"/>
  <c r="BQ25" i="12"/>
  <c r="AV25" i="12"/>
  <c r="G32" i="1"/>
  <c r="AG29" i="7"/>
  <c r="G30" i="7" s="1"/>
  <c r="AK27" i="9"/>
  <c r="AM27" i="12"/>
  <c r="G33" i="9"/>
  <c r="BU26" i="12"/>
  <c r="AZ26" i="12"/>
  <c r="AB28" i="7"/>
  <c r="I28" i="7"/>
  <c r="I28" i="10"/>
  <c r="I28" i="12"/>
  <c r="BO26" i="12"/>
  <c r="AT26" i="12"/>
  <c r="E33" i="1"/>
  <c r="AH28" i="7"/>
  <c r="H29" i="7" s="1"/>
  <c r="H30" i="1"/>
  <c r="D30" i="1"/>
  <c r="I29" i="4"/>
  <c r="I28" i="9"/>
  <c r="BR25" i="12"/>
  <c r="AW25" i="12"/>
  <c r="AJ27" i="12"/>
  <c r="AN27" i="12"/>
  <c r="B31" i="1"/>
  <c r="D2" i="13"/>
  <c r="W27" i="7"/>
  <c r="R27" i="7"/>
  <c r="U27" i="7"/>
  <c r="AE28" i="7"/>
  <c r="E29" i="7" s="1"/>
  <c r="I29" i="1"/>
  <c r="V29" i="1" s="1"/>
  <c r="BJ30" i="37" l="1"/>
  <c r="BD30" i="37"/>
  <c r="AH30" i="37"/>
  <c r="AT30" i="37"/>
  <c r="AZ30" i="37"/>
  <c r="BK30" i="37"/>
  <c r="BA30" i="37"/>
  <c r="AD30" i="37"/>
  <c r="AA30" i="37"/>
  <c r="AB30" i="37" s="1"/>
  <c r="AC30" i="37" s="1"/>
  <c r="B31" i="37"/>
  <c r="S31" i="37" s="1"/>
  <c r="H31" i="37"/>
  <c r="Y31" i="37" s="1"/>
  <c r="AN30" i="37"/>
  <c r="W31" i="27"/>
  <c r="X31" i="27"/>
  <c r="Y31" i="27" s="1"/>
  <c r="AL31" i="27"/>
  <c r="B32" i="27" s="1"/>
  <c r="AT31" i="27"/>
  <c r="AO29" i="21"/>
  <c r="AP29" i="19"/>
  <c r="J30" i="19"/>
  <c r="K30" i="19" s="1"/>
  <c r="L30" i="19" s="1"/>
  <c r="AA30" i="22"/>
  <c r="AB30" i="22" s="1"/>
  <c r="AC30" i="22" s="1"/>
  <c r="AP30" i="22"/>
  <c r="AD30" i="22"/>
  <c r="AQ29" i="21"/>
  <c r="AQ29" i="22"/>
  <c r="H33" i="19"/>
  <c r="Y33" i="19" s="1"/>
  <c r="E33" i="19"/>
  <c r="V33" i="19" s="1"/>
  <c r="O34" i="19"/>
  <c r="X33" i="19"/>
  <c r="J30" i="21"/>
  <c r="K30" i="21" s="1"/>
  <c r="L30" i="21" s="1"/>
  <c r="Z30" i="21"/>
  <c r="AH30" i="21" s="1"/>
  <c r="AO29" i="19"/>
  <c r="Z30" i="20"/>
  <c r="AH30" i="20" s="1"/>
  <c r="S31" i="22"/>
  <c r="I31" i="22"/>
  <c r="Z30" i="19"/>
  <c r="AH30" i="19" s="1"/>
  <c r="B31" i="19"/>
  <c r="G37" i="19"/>
  <c r="D33" i="19"/>
  <c r="U33" i="19" s="1"/>
  <c r="AQ29" i="20"/>
  <c r="J30" i="20"/>
  <c r="K30" i="20" s="1"/>
  <c r="L30" i="20" s="1"/>
  <c r="P33" i="16"/>
  <c r="AB32" i="16"/>
  <c r="X28" i="1"/>
  <c r="AO28" i="17"/>
  <c r="AP28" i="17"/>
  <c r="G35" i="17"/>
  <c r="X35" i="17" s="1"/>
  <c r="E31" i="17"/>
  <c r="Z29" i="17"/>
  <c r="B30" i="17"/>
  <c r="S30" i="17" s="1"/>
  <c r="O32" i="17"/>
  <c r="H31" i="17"/>
  <c r="Y31" i="17" s="1"/>
  <c r="J29" i="17"/>
  <c r="K29" i="17" s="1"/>
  <c r="L29" i="17" s="1"/>
  <c r="D31" i="17"/>
  <c r="Y31" i="16"/>
  <c r="I34" i="16"/>
  <c r="B35" i="16"/>
  <c r="W32" i="16"/>
  <c r="X32" i="16"/>
  <c r="J33" i="16"/>
  <c r="K33" i="16" s="1"/>
  <c r="L33" i="16" s="1"/>
  <c r="AD28" i="4"/>
  <c r="W28" i="1"/>
  <c r="AW27" i="12"/>
  <c r="AT27" i="12"/>
  <c r="AB28" i="4"/>
  <c r="R28" i="4"/>
  <c r="S28" i="4"/>
  <c r="V28" i="4"/>
  <c r="AS28" i="4"/>
  <c r="AT28" i="4" s="1"/>
  <c r="AG28" i="4"/>
  <c r="U28" i="4"/>
  <c r="AH28" i="4"/>
  <c r="J28" i="4"/>
  <c r="K28" i="4" s="1"/>
  <c r="L28" i="4" s="1"/>
  <c r="AI28" i="4"/>
  <c r="P28" i="4"/>
  <c r="AE28" i="4"/>
  <c r="B3" i="13"/>
  <c r="Y28" i="1"/>
  <c r="AE29" i="7"/>
  <c r="E30" i="7" s="1"/>
  <c r="B4" i="13"/>
  <c r="AS29" i="4"/>
  <c r="V29" i="4"/>
  <c r="AI29" i="4"/>
  <c r="J29" i="4"/>
  <c r="K29" i="4" s="1"/>
  <c r="L29" i="4" s="1"/>
  <c r="AH29" i="4"/>
  <c r="P29" i="4"/>
  <c r="S29" i="4"/>
  <c r="R29" i="4"/>
  <c r="AD29" i="4"/>
  <c r="AB29" i="4"/>
  <c r="AE29" i="4"/>
  <c r="R28" i="7"/>
  <c r="D3" i="13"/>
  <c r="J28" i="7"/>
  <c r="K28" i="7" s="1"/>
  <c r="L28" i="7" s="1"/>
  <c r="U28" i="7"/>
  <c r="C4" i="13"/>
  <c r="U29" i="1"/>
  <c r="J29" i="1"/>
  <c r="K29" i="1" s="1"/>
  <c r="L29" i="1" s="1"/>
  <c r="S29" i="1"/>
  <c r="P29" i="1"/>
  <c r="BU27" i="12"/>
  <c r="AZ27" i="12"/>
  <c r="O28" i="9"/>
  <c r="J28" i="9"/>
  <c r="K28" i="9" s="1"/>
  <c r="L28" i="9" s="1"/>
  <c r="D31" i="1"/>
  <c r="I31" i="1" s="1"/>
  <c r="P31" i="1" s="1"/>
  <c r="AG29" i="4"/>
  <c r="E34" i="1"/>
  <c r="P28" i="7"/>
  <c r="I30" i="1"/>
  <c r="V30" i="1" s="1"/>
  <c r="AV27" i="12"/>
  <c r="BQ27" i="12"/>
  <c r="H31" i="1"/>
  <c r="V28" i="7"/>
  <c r="O28" i="10"/>
  <c r="J28" i="10"/>
  <c r="K28" i="10" s="1"/>
  <c r="L28" i="10" s="1"/>
  <c r="G34" i="9"/>
  <c r="AH29" i="7"/>
  <c r="H30" i="7" s="1"/>
  <c r="J28" i="12"/>
  <c r="K28" i="12" s="1"/>
  <c r="L28" i="12" s="1"/>
  <c r="O28" i="12"/>
  <c r="G33" i="1"/>
  <c r="AO27" i="12"/>
  <c r="S28" i="7"/>
  <c r="B32" i="1"/>
  <c r="R29" i="1"/>
  <c r="U29" i="4"/>
  <c r="AI28" i="7"/>
  <c r="AJ28" i="7" s="1"/>
  <c r="B29" i="7"/>
  <c r="BT27" i="12"/>
  <c r="AY27" i="12"/>
  <c r="AO30" i="37" l="1"/>
  <c r="BL30" i="37"/>
  <c r="AP30" i="37"/>
  <c r="I31" i="37"/>
  <c r="I32" i="27"/>
  <c r="AB32" i="27"/>
  <c r="P32" i="27"/>
  <c r="AQ29" i="19"/>
  <c r="G38" i="19"/>
  <c r="AT30" i="20"/>
  <c r="Z31" i="22"/>
  <c r="AH31" i="22" s="1"/>
  <c r="B32" i="22"/>
  <c r="D34" i="19"/>
  <c r="U34" i="19" s="1"/>
  <c r="S31" i="19"/>
  <c r="I31" i="19"/>
  <c r="O35" i="19"/>
  <c r="X34" i="19"/>
  <c r="BS30" i="21"/>
  <c r="BV30" i="21"/>
  <c r="AZ30" i="21"/>
  <c r="H31" i="21" s="1"/>
  <c r="AD30" i="21"/>
  <c r="BP30" i="21"/>
  <c r="AA30" i="21"/>
  <c r="AB30" i="21" s="1"/>
  <c r="AC30" i="21" s="1"/>
  <c r="BA30" i="21"/>
  <c r="AJ30" i="21"/>
  <c r="AN30" i="21"/>
  <c r="AM30" i="21"/>
  <c r="AK30" i="21"/>
  <c r="BU30" i="21"/>
  <c r="AO30" i="22"/>
  <c r="AQ30" i="22" s="1"/>
  <c r="AD30" i="20"/>
  <c r="AA30" i="20"/>
  <c r="AB30" i="20" s="1"/>
  <c r="AC30" i="20" s="1"/>
  <c r="BK30" i="20"/>
  <c r="BA30" i="20"/>
  <c r="BD30" i="20"/>
  <c r="B31" i="20" s="1"/>
  <c r="BF30" i="20"/>
  <c r="D31" i="20" s="1"/>
  <c r="U31" i="20" s="1"/>
  <c r="BG30" i="20"/>
  <c r="E31" i="20" s="1"/>
  <c r="V31" i="20" s="1"/>
  <c r="BI30" i="20"/>
  <c r="G31" i="20" s="1"/>
  <c r="X31" i="20" s="1"/>
  <c r="BJ30" i="20"/>
  <c r="H31" i="20" s="1"/>
  <c r="Y31" i="20" s="1"/>
  <c r="AJ30" i="20"/>
  <c r="AN30" i="20"/>
  <c r="AW30" i="20"/>
  <c r="AZ30" i="20"/>
  <c r="AV30" i="20"/>
  <c r="AY30" i="20"/>
  <c r="AM30" i="20"/>
  <c r="AK30" i="20"/>
  <c r="H34" i="19"/>
  <c r="Y34" i="19" s="1"/>
  <c r="AD30" i="19"/>
  <c r="AA30" i="19"/>
  <c r="AB30" i="19" s="1"/>
  <c r="AC30" i="19" s="1"/>
  <c r="AK30" i="19"/>
  <c r="AM30" i="19"/>
  <c r="AN30" i="19"/>
  <c r="AJ30" i="19"/>
  <c r="J31" i="22"/>
  <c r="K31" i="22" s="1"/>
  <c r="L31" i="22" s="1"/>
  <c r="BO30" i="21"/>
  <c r="E34" i="19"/>
  <c r="V34" i="19" s="1"/>
  <c r="P34" i="16"/>
  <c r="AB33" i="16"/>
  <c r="X33" i="16"/>
  <c r="AQ28" i="17"/>
  <c r="I30" i="17"/>
  <c r="AA29" i="17"/>
  <c r="AB29" i="17" s="1"/>
  <c r="AC29" i="17" s="1"/>
  <c r="AD29" i="17"/>
  <c r="AJ29" i="17"/>
  <c r="AN29" i="17"/>
  <c r="AK29" i="17"/>
  <c r="AM29" i="17"/>
  <c r="O33" i="17"/>
  <c r="G36" i="17"/>
  <c r="X36" i="17" s="1"/>
  <c r="D32" i="17"/>
  <c r="H32" i="17"/>
  <c r="Y32" i="17" s="1"/>
  <c r="AH29" i="17"/>
  <c r="E32" i="17"/>
  <c r="W33" i="16"/>
  <c r="Y32" i="16"/>
  <c r="I35" i="16"/>
  <c r="AB34" i="16" s="1"/>
  <c r="B36" i="16"/>
  <c r="J34" i="16"/>
  <c r="K34" i="16" s="1"/>
  <c r="L34" i="16" s="1"/>
  <c r="X28" i="4"/>
  <c r="W28" i="4"/>
  <c r="G34" i="1"/>
  <c r="V31" i="1"/>
  <c r="H32" i="1"/>
  <c r="O29" i="9"/>
  <c r="Y28" i="9"/>
  <c r="S28" i="9"/>
  <c r="X28" i="9"/>
  <c r="U28" i="9"/>
  <c r="V28" i="9"/>
  <c r="C6" i="13"/>
  <c r="J31" i="1"/>
  <c r="K31" i="1" s="1"/>
  <c r="L31" i="1" s="1"/>
  <c r="S31" i="1"/>
  <c r="U31" i="1"/>
  <c r="G35" i="9"/>
  <c r="C5" i="13"/>
  <c r="J30" i="1"/>
  <c r="K30" i="1" s="1"/>
  <c r="L30" i="1" s="1"/>
  <c r="S30" i="1"/>
  <c r="U30" i="1"/>
  <c r="P30" i="1"/>
  <c r="W29" i="1"/>
  <c r="X29" i="1"/>
  <c r="O29" i="12"/>
  <c r="O30" i="12" s="1"/>
  <c r="O31" i="12" s="1"/>
  <c r="O32" i="12" s="1"/>
  <c r="O33" i="12" s="1"/>
  <c r="O34" i="12" s="1"/>
  <c r="O35" i="12" s="1"/>
  <c r="O36" i="12" s="1"/>
  <c r="O37" i="12" s="1"/>
  <c r="O38" i="12" s="1"/>
  <c r="O39" i="12" s="1"/>
  <c r="O40" i="12" s="1"/>
  <c r="X28" i="12"/>
  <c r="U28" i="12"/>
  <c r="S28" i="12"/>
  <c r="Y28" i="12"/>
  <c r="V28" i="12"/>
  <c r="O29" i="10"/>
  <c r="O30" i="10" s="1"/>
  <c r="O31" i="10" s="1"/>
  <c r="O32" i="10" s="1"/>
  <c r="O33" i="10" s="1"/>
  <c r="O34" i="10" s="1"/>
  <c r="O35" i="10" s="1"/>
  <c r="O36" i="10" s="1"/>
  <c r="O37" i="10" s="1"/>
  <c r="O38" i="10" s="1"/>
  <c r="O39" i="10" s="1"/>
  <c r="V28" i="10"/>
  <c r="Y28" i="10"/>
  <c r="S28" i="10"/>
  <c r="U28" i="10"/>
  <c r="X28" i="10"/>
  <c r="X28" i="7"/>
  <c r="W28" i="7"/>
  <c r="R31" i="1"/>
  <c r="D32" i="1"/>
  <c r="W29" i="4"/>
  <c r="X29" i="4"/>
  <c r="I29" i="7"/>
  <c r="AB29" i="7"/>
  <c r="B33" i="1"/>
  <c r="BV27" i="12"/>
  <c r="BA27" i="12"/>
  <c r="E35" i="1"/>
  <c r="R30" i="1"/>
  <c r="AO29" i="4"/>
  <c r="E30" i="4" s="1"/>
  <c r="AR29" i="4"/>
  <c r="H30" i="4" s="1"/>
  <c r="AQ29" i="4"/>
  <c r="G30" i="4" s="1"/>
  <c r="AN29" i="4"/>
  <c r="D30" i="4" s="1"/>
  <c r="AL29" i="4"/>
  <c r="B30" i="4" s="1"/>
  <c r="W34" i="16" l="1"/>
  <c r="AQ30" i="37"/>
  <c r="J31" i="37"/>
  <c r="K31" i="37" s="1"/>
  <c r="L31" i="37" s="1"/>
  <c r="Z31" i="37"/>
  <c r="AO30" i="19"/>
  <c r="AO30" i="21"/>
  <c r="AD32" i="27"/>
  <c r="AI32" i="27"/>
  <c r="AE32" i="27"/>
  <c r="S32" i="27"/>
  <c r="J32" i="27"/>
  <c r="K32" i="27" s="1"/>
  <c r="L32" i="27" s="1"/>
  <c r="AS32" i="27"/>
  <c r="R32" i="27"/>
  <c r="AH32" i="27"/>
  <c r="U32" i="27"/>
  <c r="AG32" i="27"/>
  <c r="V32" i="27"/>
  <c r="AP30" i="21"/>
  <c r="AQ30" i="21" s="1"/>
  <c r="BL30" i="20"/>
  <c r="AP30" i="20"/>
  <c r="Y31" i="21"/>
  <c r="I31" i="21"/>
  <c r="H35" i="19"/>
  <c r="Y35" i="19" s="1"/>
  <c r="S32" i="22"/>
  <c r="I32" i="22"/>
  <c r="E35" i="19"/>
  <c r="V35" i="19" s="1"/>
  <c r="BJ31" i="20"/>
  <c r="H32" i="20" s="1"/>
  <c r="Y32" i="20" s="1"/>
  <c r="G39" i="19"/>
  <c r="D35" i="19"/>
  <c r="U35" i="19" s="1"/>
  <c r="BI31" i="20"/>
  <c r="G32" i="20" s="1"/>
  <c r="X32" i="20" s="1"/>
  <c r="BB30" i="21"/>
  <c r="AD31" i="22"/>
  <c r="AA31" i="22"/>
  <c r="AB31" i="22" s="1"/>
  <c r="AC31" i="22" s="1"/>
  <c r="BG31" i="20"/>
  <c r="E32" i="20" s="1"/>
  <c r="V32" i="20" s="1"/>
  <c r="O36" i="19"/>
  <c r="X35" i="19"/>
  <c r="BF31" i="20"/>
  <c r="D32" i="20" s="1"/>
  <c r="U32" i="20" s="1"/>
  <c r="J31" i="19"/>
  <c r="K31" i="19" s="1"/>
  <c r="L31" i="19" s="1"/>
  <c r="AP30" i="19"/>
  <c r="AQ30" i="19" s="1"/>
  <c r="AO30" i="20"/>
  <c r="S31" i="20"/>
  <c r="I31" i="20"/>
  <c r="B32" i="19"/>
  <c r="Z31" i="19"/>
  <c r="Y33" i="16"/>
  <c r="P29" i="7"/>
  <c r="G37" i="17"/>
  <c r="X37" i="17" s="1"/>
  <c r="E33" i="17"/>
  <c r="AP29" i="17"/>
  <c r="AO29" i="17"/>
  <c r="D33" i="17"/>
  <c r="O34" i="17"/>
  <c r="Z30" i="17"/>
  <c r="AH30" i="17" s="1"/>
  <c r="B31" i="17"/>
  <c r="S31" i="17" s="1"/>
  <c r="H33" i="17"/>
  <c r="Y33" i="17" s="1"/>
  <c r="J30" i="17"/>
  <c r="K30" i="17" s="1"/>
  <c r="L30" i="17" s="1"/>
  <c r="B37" i="16"/>
  <c r="I36" i="16"/>
  <c r="J35" i="16"/>
  <c r="K35" i="16" s="1"/>
  <c r="L35" i="16" s="1"/>
  <c r="X34" i="16"/>
  <c r="P35" i="16"/>
  <c r="Y28" i="4"/>
  <c r="O40" i="10"/>
  <c r="O41" i="10" s="1"/>
  <c r="O42" i="10" s="1"/>
  <c r="O43" i="10" s="1"/>
  <c r="O44" i="10" s="1"/>
  <c r="O45" i="10" s="1"/>
  <c r="O41" i="12"/>
  <c r="O42" i="12" s="1"/>
  <c r="O43" i="12" s="1"/>
  <c r="O44" i="12" s="1"/>
  <c r="O45" i="12" s="1"/>
  <c r="I32" i="1"/>
  <c r="W31" i="1"/>
  <c r="Y28" i="7"/>
  <c r="X31" i="1"/>
  <c r="AR30" i="4"/>
  <c r="H31" i="4" s="1"/>
  <c r="B34" i="1"/>
  <c r="BD28" i="10"/>
  <c r="B29" i="10" s="1"/>
  <c r="Z28" i="10"/>
  <c r="AZ28" i="10" s="1"/>
  <c r="AV28" i="12"/>
  <c r="D29" i="12" s="1"/>
  <c r="U29" i="12" s="1"/>
  <c r="O30" i="9"/>
  <c r="X29" i="9"/>
  <c r="AL30" i="4"/>
  <c r="B31" i="4" s="1"/>
  <c r="I30" i="4"/>
  <c r="AO30" i="4"/>
  <c r="E31" i="4" s="1"/>
  <c r="D4" i="13"/>
  <c r="J29" i="7"/>
  <c r="K29" i="7" s="1"/>
  <c r="L29" i="7" s="1"/>
  <c r="R29" i="7"/>
  <c r="U29" i="7"/>
  <c r="S29" i="7"/>
  <c r="V29" i="7"/>
  <c r="BJ28" i="10"/>
  <c r="H29" i="10" s="1"/>
  <c r="Y29" i="10" s="1"/>
  <c r="AW28" i="12"/>
  <c r="E29" i="12" s="1"/>
  <c r="V29" i="12" s="1"/>
  <c r="AY28" i="12"/>
  <c r="G29" i="12" s="1"/>
  <c r="X29" i="12" s="1"/>
  <c r="Y29" i="1"/>
  <c r="Z28" i="9"/>
  <c r="AK28" i="9" s="1"/>
  <c r="B29" i="9"/>
  <c r="H33" i="1"/>
  <c r="E36" i="1"/>
  <c r="AN30" i="4"/>
  <c r="D31" i="4" s="1"/>
  <c r="AT29" i="4"/>
  <c r="D33" i="1"/>
  <c r="BI28" i="10"/>
  <c r="G29" i="10" s="1"/>
  <c r="X29" i="10" s="1"/>
  <c r="BG28" i="10"/>
  <c r="E29" i="10" s="1"/>
  <c r="V29" i="10" s="1"/>
  <c r="AZ28" i="12"/>
  <c r="H29" i="12" s="1"/>
  <c r="Y29" i="12" s="1"/>
  <c r="X30" i="1"/>
  <c r="W30" i="1"/>
  <c r="E29" i="9"/>
  <c r="V29" i="9" s="1"/>
  <c r="AQ30" i="4"/>
  <c r="G31" i="4" s="1"/>
  <c r="AI29" i="7"/>
  <c r="AJ29" i="7" s="1"/>
  <c r="B30" i="7"/>
  <c r="Y29" i="4"/>
  <c r="BF28" i="10"/>
  <c r="D29" i="10" s="1"/>
  <c r="U29" i="10" s="1"/>
  <c r="Z28" i="12"/>
  <c r="AJ28" i="12" s="1"/>
  <c r="AT28" i="12"/>
  <c r="B29" i="12" s="1"/>
  <c r="G36" i="9"/>
  <c r="D29" i="9"/>
  <c r="U29" i="9" s="1"/>
  <c r="H29" i="9"/>
  <c r="Y29" i="9" s="1"/>
  <c r="G35" i="1"/>
  <c r="Y34" i="16" l="1"/>
  <c r="BJ31" i="37"/>
  <c r="H32" i="37" s="1"/>
  <c r="Y32" i="37" s="1"/>
  <c r="BD31" i="37"/>
  <c r="B32" i="37" s="1"/>
  <c r="S32" i="37" s="1"/>
  <c r="AT31" i="37"/>
  <c r="AZ31" i="37"/>
  <c r="AH31" i="37"/>
  <c r="BA31" i="37"/>
  <c r="AD31" i="37"/>
  <c r="AA31" i="37"/>
  <c r="AB31" i="37" s="1"/>
  <c r="AC31" i="37" s="1"/>
  <c r="BK31" i="37"/>
  <c r="AN31" i="37"/>
  <c r="AQ30" i="20"/>
  <c r="X32" i="27"/>
  <c r="AR32" i="27"/>
  <c r="H33" i="27" s="1"/>
  <c r="AL32" i="27"/>
  <c r="W32" i="27"/>
  <c r="AO31" i="22"/>
  <c r="Z31" i="21"/>
  <c r="BU31" i="21" s="1"/>
  <c r="O37" i="19"/>
  <c r="X36" i="19"/>
  <c r="G40" i="19"/>
  <c r="J32" i="22"/>
  <c r="K32" i="22" s="1"/>
  <c r="L32" i="22" s="1"/>
  <c r="S32" i="19"/>
  <c r="I32" i="19"/>
  <c r="B33" i="22"/>
  <c r="Z32" i="22"/>
  <c r="AH32" i="22" s="1"/>
  <c r="J31" i="21"/>
  <c r="K31" i="21" s="1"/>
  <c r="L31" i="21" s="1"/>
  <c r="D36" i="19"/>
  <c r="U36" i="19" s="1"/>
  <c r="AD31" i="19"/>
  <c r="AA31" i="19"/>
  <c r="AB31" i="19" s="1"/>
  <c r="AC31" i="19" s="1"/>
  <c r="AM31" i="19"/>
  <c r="AK31" i="19"/>
  <c r="AN31" i="19"/>
  <c r="AJ31" i="19"/>
  <c r="AH31" i="19"/>
  <c r="AP31" i="22"/>
  <c r="AQ31" i="22" s="1"/>
  <c r="BD31" i="20"/>
  <c r="B32" i="20" s="1"/>
  <c r="Z31" i="20"/>
  <c r="E36" i="19"/>
  <c r="V36" i="19" s="1"/>
  <c r="J31" i="20"/>
  <c r="K31" i="20" s="1"/>
  <c r="L31" i="20" s="1"/>
  <c r="H36" i="19"/>
  <c r="Y36" i="19" s="1"/>
  <c r="P36" i="16"/>
  <c r="AB35" i="16"/>
  <c r="AQ29" i="17"/>
  <c r="J32" i="1"/>
  <c r="K32" i="1" s="1"/>
  <c r="L32" i="1" s="1"/>
  <c r="P32" i="1"/>
  <c r="O35" i="17"/>
  <c r="E34" i="17"/>
  <c r="I31" i="17"/>
  <c r="AA30" i="17"/>
  <c r="AB30" i="17" s="1"/>
  <c r="AC30" i="17" s="1"/>
  <c r="AD30" i="17"/>
  <c r="AM30" i="17"/>
  <c r="AK30" i="17"/>
  <c r="AN30" i="17"/>
  <c r="AJ30" i="17"/>
  <c r="H34" i="17"/>
  <c r="Y34" i="17" s="1"/>
  <c r="D34" i="17"/>
  <c r="G38" i="17"/>
  <c r="X38" i="17" s="1"/>
  <c r="B38" i="16"/>
  <c r="I37" i="16"/>
  <c r="X35" i="16"/>
  <c r="W35" i="16"/>
  <c r="J36" i="16"/>
  <c r="V30" i="4"/>
  <c r="V32" i="1"/>
  <c r="O47" i="12"/>
  <c r="I55" i="12" s="1"/>
  <c r="O46" i="10"/>
  <c r="Y31" i="1"/>
  <c r="U32" i="1"/>
  <c r="S32" i="1"/>
  <c r="R32" i="1"/>
  <c r="C7" i="13"/>
  <c r="O46" i="12"/>
  <c r="AN28" i="9"/>
  <c r="AG30" i="4"/>
  <c r="AH28" i="12"/>
  <c r="AN28" i="12"/>
  <c r="BO28" i="12"/>
  <c r="U30" i="4"/>
  <c r="R30" i="4"/>
  <c r="S30" i="4"/>
  <c r="AD30" i="4"/>
  <c r="AM28" i="10"/>
  <c r="AV28" i="10"/>
  <c r="Y30" i="1"/>
  <c r="BU28" i="12"/>
  <c r="AH28" i="9"/>
  <c r="AK28" i="12"/>
  <c r="AB30" i="4"/>
  <c r="AW28" i="10"/>
  <c r="AY28" i="10"/>
  <c r="X29" i="7"/>
  <c r="AE30" i="4"/>
  <c r="AT28" i="10"/>
  <c r="AJ28" i="9"/>
  <c r="AJ28" i="10"/>
  <c r="AN28" i="10"/>
  <c r="W29" i="7"/>
  <c r="AH28" i="10"/>
  <c r="AH30" i="4"/>
  <c r="G37" i="9"/>
  <c r="AZ29" i="12"/>
  <c r="H30" i="12" s="1"/>
  <c r="Y30" i="12" s="1"/>
  <c r="AY29" i="12"/>
  <c r="G30" i="12" s="1"/>
  <c r="X30" i="12" s="1"/>
  <c r="S29" i="12"/>
  <c r="I29" i="12"/>
  <c r="J29" i="12" s="1"/>
  <c r="K29" i="12" s="1"/>
  <c r="L29" i="12" s="1"/>
  <c r="I30" i="7"/>
  <c r="D34" i="1"/>
  <c r="AW29" i="12"/>
  <c r="E30" i="12" s="1"/>
  <c r="V30" i="12" s="1"/>
  <c r="AO31" i="4"/>
  <c r="E32" i="4" s="1"/>
  <c r="AL31" i="4"/>
  <c r="B32" i="4" s="1"/>
  <c r="I31" i="4"/>
  <c r="AE31" i="4" s="1"/>
  <c r="I33" i="1"/>
  <c r="V33" i="1" s="1"/>
  <c r="G36" i="1"/>
  <c r="D30" i="9"/>
  <c r="U30" i="9" s="1"/>
  <c r="BV28" i="12"/>
  <c r="AD28" i="12"/>
  <c r="BP28" i="12"/>
  <c r="AA28" i="12"/>
  <c r="AB28" i="12" s="1"/>
  <c r="AC28" i="12" s="1"/>
  <c r="BS28" i="12"/>
  <c r="BA28" i="12"/>
  <c r="BB28" i="12"/>
  <c r="AK28" i="10"/>
  <c r="E37" i="1"/>
  <c r="S29" i="9"/>
  <c r="I29" i="9"/>
  <c r="AM28" i="12"/>
  <c r="P30" i="4"/>
  <c r="AV29" i="12"/>
  <c r="D30" i="12" s="1"/>
  <c r="U30" i="12" s="1"/>
  <c r="I29" i="10"/>
  <c r="J29" i="10" s="1"/>
  <c r="K29" i="10" s="1"/>
  <c r="L29" i="10" s="1"/>
  <c r="S29" i="10"/>
  <c r="B35" i="1"/>
  <c r="H30" i="9"/>
  <c r="Y30" i="9" s="1"/>
  <c r="AN31" i="4"/>
  <c r="D32" i="4" s="1"/>
  <c r="O31" i="9"/>
  <c r="X30" i="9"/>
  <c r="AQ31" i="4"/>
  <c r="G32" i="4" s="1"/>
  <c r="E30" i="9"/>
  <c r="V30" i="9" s="1"/>
  <c r="H34" i="1"/>
  <c r="AD28" i="9"/>
  <c r="AA28" i="9"/>
  <c r="AB28" i="9" s="1"/>
  <c r="AC28" i="9" s="1"/>
  <c r="J30" i="4"/>
  <c r="K30" i="4" s="1"/>
  <c r="L30" i="4" s="1"/>
  <c r="AI30" i="4"/>
  <c r="B5" i="13"/>
  <c r="AS30" i="4"/>
  <c r="AT30" i="4" s="1"/>
  <c r="AM28" i="9"/>
  <c r="AA28" i="10"/>
  <c r="BL28" i="10"/>
  <c r="BA28" i="10"/>
  <c r="BK28" i="10"/>
  <c r="AD28" i="10"/>
  <c r="AR31" i="4"/>
  <c r="H32" i="4" s="1"/>
  <c r="BL31" i="37" l="1"/>
  <c r="I32" i="37"/>
  <c r="J32" i="37" s="1"/>
  <c r="K32" i="37" s="1"/>
  <c r="L32" i="37" s="1"/>
  <c r="Z32" i="37"/>
  <c r="AP31" i="37"/>
  <c r="AO31" i="37"/>
  <c r="Y32" i="27"/>
  <c r="B33" i="27"/>
  <c r="AT32" i="27"/>
  <c r="AN31" i="21"/>
  <c r="AD31" i="20"/>
  <c r="AA31" i="20"/>
  <c r="AB31" i="20" s="1"/>
  <c r="AC31" i="20" s="1"/>
  <c r="BA31" i="20"/>
  <c r="BL31" i="20"/>
  <c r="BK31" i="20"/>
  <c r="AN31" i="20"/>
  <c r="AJ31" i="20"/>
  <c r="AM31" i="20"/>
  <c r="AK31" i="20"/>
  <c r="AZ31" i="20"/>
  <c r="AY31" i="20"/>
  <c r="AV31" i="20"/>
  <c r="AW31" i="20"/>
  <c r="AO31" i="19"/>
  <c r="AP31" i="19"/>
  <c r="I33" i="22"/>
  <c r="J33" i="22" s="1"/>
  <c r="K33" i="22" s="1"/>
  <c r="L33" i="22" s="1"/>
  <c r="S33" i="22"/>
  <c r="I32" i="20"/>
  <c r="S32" i="20"/>
  <c r="O38" i="19"/>
  <c r="X37" i="19"/>
  <c r="AT31" i="20"/>
  <c r="J32" i="19"/>
  <c r="K32" i="19" s="1"/>
  <c r="L32" i="19" s="1"/>
  <c r="G41" i="19"/>
  <c r="AH31" i="20"/>
  <c r="Z32" i="19"/>
  <c r="B33" i="19"/>
  <c r="E37" i="19"/>
  <c r="V37" i="19" s="1"/>
  <c r="BP31" i="21"/>
  <c r="AV31" i="21"/>
  <c r="D32" i="21" s="1"/>
  <c r="U32" i="21" s="1"/>
  <c r="AK31" i="21"/>
  <c r="BO31" i="21"/>
  <c r="AT31" i="21"/>
  <c r="B32" i="21" s="1"/>
  <c r="AJ31" i="21"/>
  <c r="BS31" i="21"/>
  <c r="AW31" i="21"/>
  <c r="E32" i="21" s="1"/>
  <c r="V32" i="21" s="1"/>
  <c r="AM31" i="21"/>
  <c r="AA31" i="21"/>
  <c r="AB31" i="21" s="1"/>
  <c r="AC31" i="21" s="1"/>
  <c r="BA31" i="21"/>
  <c r="AH31" i="21"/>
  <c r="AZ31" i="21"/>
  <c r="H32" i="21" s="1"/>
  <c r="Y32" i="21" s="1"/>
  <c r="BV31" i="21"/>
  <c r="AD31" i="21"/>
  <c r="AY31" i="21"/>
  <c r="G32" i="21" s="1"/>
  <c r="X32" i="21" s="1"/>
  <c r="AD32" i="22"/>
  <c r="AA32" i="22"/>
  <c r="AB32" i="22" s="1"/>
  <c r="AC32" i="22" s="1"/>
  <c r="D37" i="19"/>
  <c r="U37" i="19" s="1"/>
  <c r="H37" i="19"/>
  <c r="Y37" i="19" s="1"/>
  <c r="P37" i="16"/>
  <c r="AB36" i="16"/>
  <c r="P30" i="7"/>
  <c r="J29" i="9"/>
  <c r="K29" i="9" s="1"/>
  <c r="L29" i="9" s="1"/>
  <c r="AP30" i="17"/>
  <c r="E35" i="17"/>
  <c r="D35" i="17"/>
  <c r="AO30" i="17"/>
  <c r="H35" i="17"/>
  <c r="Y35" i="17" s="1"/>
  <c r="J31" i="17"/>
  <c r="K31" i="17" s="1"/>
  <c r="L31" i="17" s="1"/>
  <c r="O36" i="17"/>
  <c r="G39" i="17"/>
  <c r="X39" i="17" s="1"/>
  <c r="Z31" i="17"/>
  <c r="B32" i="17"/>
  <c r="S32" i="17" s="1"/>
  <c r="X36" i="16"/>
  <c r="W36" i="16"/>
  <c r="Y36" i="16" s="1"/>
  <c r="I50" i="16"/>
  <c r="K36" i="16"/>
  <c r="J37" i="16"/>
  <c r="K37" i="16" s="1"/>
  <c r="L37" i="16" s="1"/>
  <c r="Y35" i="16"/>
  <c r="I38" i="16"/>
  <c r="AB37" i="16" s="1"/>
  <c r="B39" i="16"/>
  <c r="I52" i="12"/>
  <c r="D25" i="8" s="1"/>
  <c r="O47" i="10"/>
  <c r="AB28" i="10"/>
  <c r="AC28" i="10" s="1"/>
  <c r="W32" i="1"/>
  <c r="Y29" i="7"/>
  <c r="X32" i="1"/>
  <c r="AP28" i="12"/>
  <c r="I34" i="1"/>
  <c r="P34" i="1" s="1"/>
  <c r="AD31" i="4"/>
  <c r="V31" i="4"/>
  <c r="AP28" i="9"/>
  <c r="AH31" i="4"/>
  <c r="AG31" i="4"/>
  <c r="AO28" i="10"/>
  <c r="AB31" i="4"/>
  <c r="AO28" i="12"/>
  <c r="AO28" i="9"/>
  <c r="U31" i="4"/>
  <c r="R31" i="4"/>
  <c r="P31" i="4"/>
  <c r="O32" i="9"/>
  <c r="X31" i="9"/>
  <c r="B36" i="1"/>
  <c r="X30" i="4"/>
  <c r="W30" i="4"/>
  <c r="J33" i="1"/>
  <c r="K33" i="1" s="1"/>
  <c r="L33" i="1" s="1"/>
  <c r="C8" i="13"/>
  <c r="S33" i="1"/>
  <c r="U33" i="1"/>
  <c r="P33" i="1"/>
  <c r="AO32" i="4"/>
  <c r="E33" i="4" s="1"/>
  <c r="Z29" i="12"/>
  <c r="AH29" i="12" s="1"/>
  <c r="AT29" i="12"/>
  <c r="B30" i="12" s="1"/>
  <c r="G38" i="9"/>
  <c r="AR32" i="4"/>
  <c r="H33" i="4" s="1"/>
  <c r="AQ32" i="4"/>
  <c r="G33" i="4" s="1"/>
  <c r="AN32" i="4"/>
  <c r="D33" i="4" s="1"/>
  <c r="E38" i="1"/>
  <c r="D31" i="9"/>
  <c r="U31" i="9" s="1"/>
  <c r="AP28" i="10"/>
  <c r="AL32" i="4"/>
  <c r="B33" i="4" s="1"/>
  <c r="I32" i="4"/>
  <c r="V32" i="4" s="1"/>
  <c r="R33" i="1"/>
  <c r="H31" i="9"/>
  <c r="Y31" i="9" s="1"/>
  <c r="G37" i="1"/>
  <c r="D35" i="1"/>
  <c r="H35" i="1"/>
  <c r="E31" i="9"/>
  <c r="V31" i="9" s="1"/>
  <c r="Z29" i="10"/>
  <c r="AH29" i="10" s="1"/>
  <c r="B30" i="9"/>
  <c r="Z29" i="9"/>
  <c r="AH29" i="9" s="1"/>
  <c r="B6" i="13"/>
  <c r="AI31" i="4"/>
  <c r="AS31" i="4"/>
  <c r="AT31" i="4" s="1"/>
  <c r="J31" i="4"/>
  <c r="K31" i="4" s="1"/>
  <c r="L31" i="4" s="1"/>
  <c r="S31" i="4"/>
  <c r="J30" i="7"/>
  <c r="K30" i="7" s="1"/>
  <c r="L30" i="7" s="1"/>
  <c r="D5" i="13"/>
  <c r="AH30" i="7"/>
  <c r="R30" i="7"/>
  <c r="U30" i="7"/>
  <c r="V30" i="7"/>
  <c r="S30" i="7"/>
  <c r="BJ32" i="37" l="1"/>
  <c r="BD32" i="37"/>
  <c r="B33" i="37" s="1"/>
  <c r="S33" i="37" s="1"/>
  <c r="AH32" i="37"/>
  <c r="AZ32" i="37"/>
  <c r="AT32" i="37"/>
  <c r="AQ31" i="37"/>
  <c r="AA32" i="37"/>
  <c r="AB32" i="37" s="1"/>
  <c r="AC32" i="37" s="1"/>
  <c r="BA32" i="37"/>
  <c r="AD32" i="37"/>
  <c r="BK32" i="37"/>
  <c r="H33" i="37"/>
  <c r="Y33" i="37" s="1"/>
  <c r="AN32" i="37"/>
  <c r="AQ30" i="17"/>
  <c r="AP32" i="22"/>
  <c r="I33" i="27"/>
  <c r="AQ31" i="19"/>
  <c r="AZ32" i="21"/>
  <c r="H33" i="21" s="1"/>
  <c r="Y33" i="21" s="1"/>
  <c r="AD32" i="19"/>
  <c r="AA32" i="19"/>
  <c r="AB32" i="19" s="1"/>
  <c r="AC32" i="19" s="1"/>
  <c r="AJ32" i="19"/>
  <c r="AM32" i="19"/>
  <c r="AN32" i="19"/>
  <c r="AK32" i="19"/>
  <c r="AP31" i="21"/>
  <c r="AO31" i="21"/>
  <c r="O39" i="19"/>
  <c r="X38" i="19"/>
  <c r="D38" i="19"/>
  <c r="U38" i="19" s="1"/>
  <c r="AV32" i="21"/>
  <c r="D33" i="21" s="1"/>
  <c r="U33" i="21" s="1"/>
  <c r="AO31" i="20"/>
  <c r="AP31" i="20"/>
  <c r="Z32" i="20"/>
  <c r="AT32" i="20" s="1"/>
  <c r="AH32" i="20"/>
  <c r="AH32" i="19"/>
  <c r="AY32" i="21"/>
  <c r="G33" i="21" s="1"/>
  <c r="X33" i="21" s="1"/>
  <c r="J32" i="20"/>
  <c r="K32" i="20" s="1"/>
  <c r="L32" i="20" s="1"/>
  <c r="E38" i="19"/>
  <c r="V38" i="19" s="1"/>
  <c r="AO32" i="22"/>
  <c r="AQ32" i="22" s="1"/>
  <c r="S32" i="21"/>
  <c r="I32" i="21"/>
  <c r="H38" i="19"/>
  <c r="Y38" i="19" s="1"/>
  <c r="AW32" i="21"/>
  <c r="E33" i="21" s="1"/>
  <c r="V33" i="21" s="1"/>
  <c r="G42" i="19"/>
  <c r="B34" i="22"/>
  <c r="Z33" i="22"/>
  <c r="AH33" i="22" s="1"/>
  <c r="BB31" i="21"/>
  <c r="S33" i="19"/>
  <c r="I33" i="19"/>
  <c r="J33" i="19" s="1"/>
  <c r="K33" i="19" s="1"/>
  <c r="L33" i="19" s="1"/>
  <c r="AA31" i="17"/>
  <c r="AB31" i="17" s="1"/>
  <c r="AC31" i="17" s="1"/>
  <c r="AD31" i="17"/>
  <c r="AN31" i="17"/>
  <c r="AM31" i="17"/>
  <c r="AJ31" i="17"/>
  <c r="AK31" i="17"/>
  <c r="D36" i="17"/>
  <c r="O37" i="17"/>
  <c r="H36" i="17"/>
  <c r="Y36" i="17" s="1"/>
  <c r="AH31" i="17"/>
  <c r="G40" i="17"/>
  <c r="X40" i="17" s="1"/>
  <c r="I32" i="17"/>
  <c r="E36" i="17"/>
  <c r="W37" i="16"/>
  <c r="X37" i="16"/>
  <c r="I39" i="16"/>
  <c r="B40" i="16"/>
  <c r="J38" i="16"/>
  <c r="K38" i="16" s="1"/>
  <c r="L38" i="16" s="1"/>
  <c r="I51" i="16"/>
  <c r="L36" i="16"/>
  <c r="P38" i="16"/>
  <c r="R34" i="1"/>
  <c r="Y32" i="1"/>
  <c r="U34" i="1"/>
  <c r="I55" i="10"/>
  <c r="I52" i="10"/>
  <c r="B25" i="8" s="1"/>
  <c r="F25" i="8" s="1"/>
  <c r="S34" i="1"/>
  <c r="AQ28" i="12"/>
  <c r="J34" i="1"/>
  <c r="K34" i="1" s="1"/>
  <c r="L34" i="1" s="1"/>
  <c r="C9" i="13"/>
  <c r="V34" i="1"/>
  <c r="AQ28" i="9"/>
  <c r="Y30" i="4"/>
  <c r="AQ28" i="10"/>
  <c r="W30" i="7"/>
  <c r="X31" i="4"/>
  <c r="R32" i="4"/>
  <c r="AB32" i="4"/>
  <c r="BO29" i="12"/>
  <c r="S32" i="4"/>
  <c r="H36" i="1"/>
  <c r="AN33" i="4"/>
  <c r="D34" i="4" s="1"/>
  <c r="O33" i="9"/>
  <c r="X32" i="9"/>
  <c r="AT29" i="10"/>
  <c r="W31" i="4"/>
  <c r="AL33" i="4"/>
  <c r="B34" i="4" s="1"/>
  <c r="I33" i="4"/>
  <c r="E39" i="1"/>
  <c r="G39" i="9"/>
  <c r="S30" i="12"/>
  <c r="I30" i="12"/>
  <c r="X30" i="7"/>
  <c r="H31" i="7"/>
  <c r="AI30" i="7"/>
  <c r="AJ30" i="7" s="1"/>
  <c r="AD29" i="9"/>
  <c r="AA29" i="9"/>
  <c r="AB29" i="9" s="1"/>
  <c r="AC29" i="9" s="1"/>
  <c r="AM29" i="9"/>
  <c r="AN29" i="9"/>
  <c r="AK29" i="9"/>
  <c r="AJ29" i="9"/>
  <c r="E32" i="9"/>
  <c r="V32" i="9" s="1"/>
  <c r="H32" i="9"/>
  <c r="Y32" i="9" s="1"/>
  <c r="P32" i="4"/>
  <c r="AG32" i="4"/>
  <c r="AO33" i="4"/>
  <c r="E34" i="4" s="1"/>
  <c r="BA29" i="10"/>
  <c r="AA29" i="10"/>
  <c r="AD29" i="10"/>
  <c r="BK29" i="10"/>
  <c r="BF29" i="10"/>
  <c r="D30" i="10" s="1"/>
  <c r="U30" i="10" s="1"/>
  <c r="BJ29" i="10"/>
  <c r="H30" i="10" s="1"/>
  <c r="Y30" i="10" s="1"/>
  <c r="BG29" i="10"/>
  <c r="E30" i="10" s="1"/>
  <c r="V30" i="10" s="1"/>
  <c r="BI29" i="10"/>
  <c r="G30" i="10" s="1"/>
  <c r="X30" i="10" s="1"/>
  <c r="BD29" i="10"/>
  <c r="B30" i="10" s="1"/>
  <c r="AM29" i="10"/>
  <c r="AZ29" i="10"/>
  <c r="AV29" i="10"/>
  <c r="AY29" i="10"/>
  <c r="AN29" i="10"/>
  <c r="AJ29" i="10"/>
  <c r="AK29" i="10"/>
  <c r="AW29" i="10"/>
  <c r="D32" i="9"/>
  <c r="U32" i="9" s="1"/>
  <c r="AQ33" i="4"/>
  <c r="G34" i="4" s="1"/>
  <c r="AR33" i="4"/>
  <c r="H34" i="4" s="1"/>
  <c r="X33" i="1"/>
  <c r="W33" i="1"/>
  <c r="B37" i="1"/>
  <c r="I30" i="9"/>
  <c r="S30" i="9"/>
  <c r="D36" i="1"/>
  <c r="G38" i="1"/>
  <c r="AS32" i="4"/>
  <c r="AT32" i="4" s="1"/>
  <c r="J32" i="4"/>
  <c r="K32" i="4" s="1"/>
  <c r="L32" i="4" s="1"/>
  <c r="B7" i="13"/>
  <c r="AI32" i="4"/>
  <c r="AD32" i="4"/>
  <c r="U32" i="4"/>
  <c r="AH32" i="4"/>
  <c r="BS29" i="12"/>
  <c r="AD29" i="12"/>
  <c r="AA29" i="12"/>
  <c r="AB29" i="12" s="1"/>
  <c r="AC29" i="12" s="1"/>
  <c r="BP29" i="12"/>
  <c r="BV29" i="12"/>
  <c r="BB29" i="12"/>
  <c r="BA29" i="12"/>
  <c r="AN29" i="12"/>
  <c r="AK29" i="12"/>
  <c r="AM29" i="12"/>
  <c r="BU29" i="12"/>
  <c r="AJ29" i="12"/>
  <c r="AE32" i="4"/>
  <c r="I35" i="1"/>
  <c r="V35" i="1" s="1"/>
  <c r="AO32" i="37" l="1"/>
  <c r="AP32" i="37"/>
  <c r="BL32" i="37"/>
  <c r="I33" i="37"/>
  <c r="J33" i="37" s="1"/>
  <c r="K33" i="37" s="1"/>
  <c r="L33" i="37" s="1"/>
  <c r="AS33" i="27"/>
  <c r="J33" i="27"/>
  <c r="K33" i="27" s="1"/>
  <c r="L33" i="27" s="1"/>
  <c r="AE33" i="27"/>
  <c r="AI33" i="27"/>
  <c r="R33" i="27"/>
  <c r="AG33" i="27"/>
  <c r="U33" i="27"/>
  <c r="AD33" i="27"/>
  <c r="S33" i="27"/>
  <c r="V33" i="27"/>
  <c r="AH33" i="27"/>
  <c r="P33" i="27"/>
  <c r="AB33" i="27"/>
  <c r="AQ31" i="21"/>
  <c r="AY33" i="21"/>
  <c r="G34" i="21" s="1"/>
  <c r="X34" i="21" s="1"/>
  <c r="D39" i="19"/>
  <c r="U39" i="19" s="1"/>
  <c r="AA33" i="22"/>
  <c r="AB33" i="22" s="1"/>
  <c r="AC33" i="22" s="1"/>
  <c r="AD33" i="22"/>
  <c r="H39" i="19"/>
  <c r="Y39" i="19" s="1"/>
  <c r="E39" i="19"/>
  <c r="V39" i="19" s="1"/>
  <c r="AO32" i="19"/>
  <c r="AP32" i="19"/>
  <c r="O40" i="19"/>
  <c r="X39" i="19"/>
  <c r="AZ33" i="21"/>
  <c r="H34" i="21" s="1"/>
  <c r="Y34" i="21" s="1"/>
  <c r="Z32" i="21"/>
  <c r="BO32" i="21" s="1"/>
  <c r="AT32" i="21"/>
  <c r="B33" i="21" s="1"/>
  <c r="AQ31" i="20"/>
  <c r="AW33" i="21"/>
  <c r="E34" i="21" s="1"/>
  <c r="V34" i="21" s="1"/>
  <c r="AA32" i="20"/>
  <c r="AB32" i="20" s="1"/>
  <c r="AC32" i="20" s="1"/>
  <c r="BK32" i="20"/>
  <c r="AD32" i="20"/>
  <c r="BA32" i="20"/>
  <c r="BF32" i="20"/>
  <c r="D33" i="20" s="1"/>
  <c r="U33" i="20" s="1"/>
  <c r="BD32" i="20"/>
  <c r="B33" i="20" s="1"/>
  <c r="BJ32" i="20"/>
  <c r="H33" i="20" s="1"/>
  <c r="Y33" i="20" s="1"/>
  <c r="BI32" i="20"/>
  <c r="G33" i="20" s="1"/>
  <c r="X33" i="20" s="1"/>
  <c r="BG32" i="20"/>
  <c r="E33" i="20" s="1"/>
  <c r="V33" i="20" s="1"/>
  <c r="AW32" i="20"/>
  <c r="AY32" i="20"/>
  <c r="AN32" i="20"/>
  <c r="AV32" i="20"/>
  <c r="AZ32" i="20"/>
  <c r="AJ32" i="20"/>
  <c r="AM32" i="20"/>
  <c r="AK32" i="20"/>
  <c r="S34" i="22"/>
  <c r="I34" i="22"/>
  <c r="J34" i="22" s="1"/>
  <c r="K34" i="22" s="1"/>
  <c r="L34" i="22" s="1"/>
  <c r="J32" i="21"/>
  <c r="K32" i="21" s="1"/>
  <c r="L32" i="21" s="1"/>
  <c r="Z33" i="19"/>
  <c r="B34" i="19"/>
  <c r="AH33" i="19"/>
  <c r="G43" i="19"/>
  <c r="AV33" i="21"/>
  <c r="D34" i="21" s="1"/>
  <c r="U34" i="21" s="1"/>
  <c r="AB38" i="16"/>
  <c r="J30" i="12"/>
  <c r="K30" i="12" s="1"/>
  <c r="L30" i="12" s="1"/>
  <c r="J30" i="9"/>
  <c r="K30" i="9" s="1"/>
  <c r="L30" i="9" s="1"/>
  <c r="J32" i="17"/>
  <c r="K32" i="17" s="1"/>
  <c r="L32" i="17" s="1"/>
  <c r="H37" i="17"/>
  <c r="Y37" i="17" s="1"/>
  <c r="D37" i="17"/>
  <c r="G41" i="17"/>
  <c r="X41" i="17" s="1"/>
  <c r="E37" i="17"/>
  <c r="Z32" i="17"/>
  <c r="B33" i="17"/>
  <c r="S33" i="17" s="1"/>
  <c r="AP31" i="17"/>
  <c r="AO31" i="17"/>
  <c r="O38" i="17"/>
  <c r="Y37" i="16"/>
  <c r="B41" i="16"/>
  <c r="I40" i="16"/>
  <c r="AB39" i="16" s="1"/>
  <c r="X38" i="16"/>
  <c r="W38" i="16"/>
  <c r="J39" i="16"/>
  <c r="K39" i="16" s="1"/>
  <c r="L39" i="16" s="1"/>
  <c r="P39" i="16"/>
  <c r="AD33" i="4"/>
  <c r="X34" i="1"/>
  <c r="W34" i="1"/>
  <c r="AB29" i="10"/>
  <c r="AC29" i="10" s="1"/>
  <c r="AH33" i="4"/>
  <c r="S33" i="4"/>
  <c r="V33" i="4"/>
  <c r="AG33" i="4"/>
  <c r="AE33" i="4"/>
  <c r="U33" i="4"/>
  <c r="P33" i="4"/>
  <c r="Y30" i="7"/>
  <c r="Y31" i="4"/>
  <c r="AP29" i="12"/>
  <c r="AB33" i="4"/>
  <c r="I36" i="1"/>
  <c r="C11" i="13" s="1"/>
  <c r="AO29" i="10"/>
  <c r="AO29" i="9"/>
  <c r="AO29" i="12"/>
  <c r="AP29" i="10"/>
  <c r="AP29" i="9"/>
  <c r="B31" i="9"/>
  <c r="Z30" i="9"/>
  <c r="AH30" i="9" s="1"/>
  <c r="D33" i="9"/>
  <c r="U33" i="9" s="1"/>
  <c r="BL29" i="10"/>
  <c r="W32" i="4"/>
  <c r="X32" i="4"/>
  <c r="E33" i="9"/>
  <c r="V33" i="9" s="1"/>
  <c r="I31" i="7"/>
  <c r="G39" i="1"/>
  <c r="B38" i="1"/>
  <c r="I30" i="10"/>
  <c r="J30" i="10" s="1"/>
  <c r="K30" i="10" s="1"/>
  <c r="L30" i="10" s="1"/>
  <c r="S30" i="10"/>
  <c r="G40" i="9"/>
  <c r="G41" i="9" s="1"/>
  <c r="B8" i="13"/>
  <c r="J33" i="4"/>
  <c r="K33" i="4" s="1"/>
  <c r="L33" i="4" s="1"/>
  <c r="AS33" i="4"/>
  <c r="AT33" i="4" s="1"/>
  <c r="AI33" i="4"/>
  <c r="R33" i="4"/>
  <c r="D37" i="1"/>
  <c r="H33" i="9"/>
  <c r="Y33" i="9" s="1"/>
  <c r="C10" i="13"/>
  <c r="J35" i="1"/>
  <c r="K35" i="1" s="1"/>
  <c r="L35" i="1" s="1"/>
  <c r="S35" i="1"/>
  <c r="U35" i="1"/>
  <c r="P35" i="1"/>
  <c r="R35" i="1"/>
  <c r="Y33" i="1"/>
  <c r="Z30" i="12"/>
  <c r="BO30" i="12" s="1"/>
  <c r="E40" i="1"/>
  <c r="E41" i="1" s="1"/>
  <c r="I34" i="4"/>
  <c r="AG34" i="4" s="1"/>
  <c r="O34" i="9"/>
  <c r="X33" i="9"/>
  <c r="H37" i="1"/>
  <c r="AQ32" i="37" l="1"/>
  <c r="Z33" i="37"/>
  <c r="X33" i="27"/>
  <c r="W33" i="27"/>
  <c r="Y33" i="27" s="1"/>
  <c r="AR33" i="27"/>
  <c r="H34" i="27" s="1"/>
  <c r="AL33" i="27"/>
  <c r="AP33" i="22"/>
  <c r="AH32" i="21"/>
  <c r="AP32" i="20"/>
  <c r="BG33" i="20"/>
  <c r="E34" i="20" s="1"/>
  <c r="V34" i="20" s="1"/>
  <c r="D40" i="19"/>
  <c r="U40" i="19" s="1"/>
  <c r="S34" i="19"/>
  <c r="I34" i="19"/>
  <c r="J34" i="19" s="1"/>
  <c r="K34" i="19" s="1"/>
  <c r="L34" i="19" s="1"/>
  <c r="BJ33" i="20"/>
  <c r="H34" i="20" s="1"/>
  <c r="Y34" i="20" s="1"/>
  <c r="AO32" i="20"/>
  <c r="AQ32" i="20" s="1"/>
  <c r="AD33" i="19"/>
  <c r="AA33" i="19"/>
  <c r="AB33" i="19" s="1"/>
  <c r="AC33" i="19" s="1"/>
  <c r="AJ33" i="19"/>
  <c r="AM33" i="19"/>
  <c r="AN33" i="19"/>
  <c r="AK33" i="19"/>
  <c r="S33" i="20"/>
  <c r="I33" i="20"/>
  <c r="J33" i="20" s="1"/>
  <c r="K33" i="20" s="1"/>
  <c r="L33" i="20" s="1"/>
  <c r="AW34" i="21"/>
  <c r="E35" i="21" s="1"/>
  <c r="V35" i="21" s="1"/>
  <c r="AQ32" i="19"/>
  <c r="G44" i="19"/>
  <c r="AZ34" i="21"/>
  <c r="H35" i="21" s="1"/>
  <c r="Y35" i="21" s="1"/>
  <c r="I33" i="21"/>
  <c r="J33" i="21" s="1"/>
  <c r="K33" i="21" s="1"/>
  <c r="L33" i="21" s="1"/>
  <c r="S33" i="21"/>
  <c r="AO33" i="22"/>
  <c r="E40" i="19"/>
  <c r="V40" i="19" s="1"/>
  <c r="BL32" i="20"/>
  <c r="H40" i="19"/>
  <c r="Y40" i="19" s="1"/>
  <c r="BI33" i="20"/>
  <c r="G34" i="20" s="1"/>
  <c r="X34" i="20" s="1"/>
  <c r="BF33" i="20"/>
  <c r="D34" i="20" s="1"/>
  <c r="U34" i="20" s="1"/>
  <c r="AV34" i="21"/>
  <c r="D35" i="21" s="1"/>
  <c r="U35" i="21" s="1"/>
  <c r="O41" i="19"/>
  <c r="X40" i="19"/>
  <c r="Z34" i="22"/>
  <c r="B35" i="22"/>
  <c r="BS32" i="21"/>
  <c r="AA32" i="21"/>
  <c r="AB32" i="21" s="1"/>
  <c r="AC32" i="21" s="1"/>
  <c r="BV32" i="21"/>
  <c r="BP32" i="21"/>
  <c r="BB32" i="21"/>
  <c r="AD32" i="21"/>
  <c r="BA32" i="21"/>
  <c r="BU32" i="21"/>
  <c r="AM32" i="21"/>
  <c r="AJ32" i="21"/>
  <c r="AN32" i="21"/>
  <c r="AK32" i="21"/>
  <c r="AY34" i="21"/>
  <c r="G35" i="21" s="1"/>
  <c r="X35" i="21" s="1"/>
  <c r="Y34" i="1"/>
  <c r="V31" i="7"/>
  <c r="AQ31" i="17"/>
  <c r="AA32" i="17"/>
  <c r="AB32" i="17" s="1"/>
  <c r="AC32" i="17" s="1"/>
  <c r="AD32" i="17"/>
  <c r="AM32" i="17"/>
  <c r="AJ32" i="17"/>
  <c r="AN32" i="17"/>
  <c r="AK32" i="17"/>
  <c r="G42" i="17"/>
  <c r="X42" i="17" s="1"/>
  <c r="H38" i="17"/>
  <c r="Y38" i="17" s="1"/>
  <c r="AH32" i="17"/>
  <c r="E38" i="17"/>
  <c r="O39" i="17"/>
  <c r="I33" i="17"/>
  <c r="J33" i="17" s="1"/>
  <c r="K33" i="17" s="1"/>
  <c r="L33" i="17" s="1"/>
  <c r="D38" i="17"/>
  <c r="J40" i="16"/>
  <c r="K40" i="16" s="1"/>
  <c r="L40" i="16" s="1"/>
  <c r="X39" i="16"/>
  <c r="W39" i="16"/>
  <c r="P40" i="16"/>
  <c r="Y38" i="16"/>
  <c r="B42" i="16"/>
  <c r="I41" i="16"/>
  <c r="AB40" i="16" s="1"/>
  <c r="P36" i="1"/>
  <c r="S36" i="1"/>
  <c r="E42" i="1"/>
  <c r="E43" i="1" s="1"/>
  <c r="E44" i="1" s="1"/>
  <c r="J36" i="1"/>
  <c r="I50" i="1" s="1"/>
  <c r="C10" i="8" s="1"/>
  <c r="G42" i="9"/>
  <c r="G43" i="9" s="1"/>
  <c r="G44" i="9" s="1"/>
  <c r="R36" i="1"/>
  <c r="V36" i="1"/>
  <c r="AQ29" i="9"/>
  <c r="X33" i="4"/>
  <c r="W33" i="4"/>
  <c r="U36" i="1"/>
  <c r="AQ29" i="12"/>
  <c r="P34" i="4"/>
  <c r="Y32" i="4"/>
  <c r="V34" i="4"/>
  <c r="AD34" i="4"/>
  <c r="S34" i="4"/>
  <c r="AH30" i="12"/>
  <c r="U34" i="4"/>
  <c r="AQ29" i="10"/>
  <c r="O35" i="9"/>
  <c r="X34" i="9"/>
  <c r="D38" i="1"/>
  <c r="I37" i="1"/>
  <c r="R37" i="1" s="1"/>
  <c r="S31" i="9"/>
  <c r="I31" i="9"/>
  <c r="H38" i="1"/>
  <c r="AB34" i="4"/>
  <c r="R34" i="4"/>
  <c r="H34" i="9"/>
  <c r="Y34" i="9" s="1"/>
  <c r="G40" i="1"/>
  <c r="G41" i="1" s="1"/>
  <c r="D34" i="9"/>
  <c r="U34" i="9" s="1"/>
  <c r="Z30" i="10"/>
  <c r="AH30" i="10" s="1"/>
  <c r="E34" i="9"/>
  <c r="V34" i="9" s="1"/>
  <c r="B9" i="13"/>
  <c r="AI34" i="4"/>
  <c r="AS34" i="4"/>
  <c r="J34" i="4"/>
  <c r="K34" i="4" s="1"/>
  <c r="L34" i="4" s="1"/>
  <c r="BV30" i="12"/>
  <c r="BS30" i="12"/>
  <c r="AZ30" i="12"/>
  <c r="H31" i="12" s="1"/>
  <c r="BA30" i="12"/>
  <c r="AA30" i="12"/>
  <c r="AB30" i="12" s="1"/>
  <c r="AC30" i="12" s="1"/>
  <c r="AD30" i="12"/>
  <c r="BP30" i="12"/>
  <c r="BU30" i="12"/>
  <c r="AM30" i="12"/>
  <c r="AK30" i="12"/>
  <c r="AN30" i="12"/>
  <c r="AJ30" i="12"/>
  <c r="AH34" i="4"/>
  <c r="W35" i="1"/>
  <c r="X35" i="1"/>
  <c r="AE34" i="4"/>
  <c r="B39" i="1"/>
  <c r="AH31" i="7"/>
  <c r="H32" i="7" s="1"/>
  <c r="J31" i="7"/>
  <c r="K31" i="7" s="1"/>
  <c r="L31" i="7" s="1"/>
  <c r="AB31" i="7"/>
  <c r="AG31" i="7"/>
  <c r="G32" i="7" s="1"/>
  <c r="P31" i="7"/>
  <c r="R31" i="7"/>
  <c r="D6" i="13"/>
  <c r="AE31" i="7"/>
  <c r="E32" i="7" s="1"/>
  <c r="AD31" i="7"/>
  <c r="D32" i="7" s="1"/>
  <c r="S31" i="7"/>
  <c r="U31" i="7"/>
  <c r="AD30" i="9"/>
  <c r="AA30" i="9"/>
  <c r="AB30" i="9" s="1"/>
  <c r="AC30" i="9" s="1"/>
  <c r="AJ30" i="9"/>
  <c r="AM30" i="9"/>
  <c r="AN30" i="9"/>
  <c r="AK30" i="9"/>
  <c r="AQ33" i="22" l="1"/>
  <c r="BJ33" i="37"/>
  <c r="H34" i="37" s="1"/>
  <c r="Y34" i="37" s="1"/>
  <c r="BD33" i="37"/>
  <c r="B34" i="37" s="1"/>
  <c r="S34" i="37" s="1"/>
  <c r="AZ33" i="37"/>
  <c r="AT33" i="37"/>
  <c r="AH33" i="37"/>
  <c r="BL33" i="37"/>
  <c r="BK33" i="37"/>
  <c r="AA33" i="37"/>
  <c r="AB33" i="37" s="1"/>
  <c r="AC33" i="37" s="1"/>
  <c r="AD33" i="37"/>
  <c r="BA33" i="37"/>
  <c r="AN33" i="37"/>
  <c r="I34" i="37"/>
  <c r="J34" i="37" s="1"/>
  <c r="K34" i="37" s="1"/>
  <c r="L34" i="37" s="1"/>
  <c r="E45" i="1"/>
  <c r="Y39" i="16"/>
  <c r="G45" i="9"/>
  <c r="B34" i="27"/>
  <c r="AT33" i="27"/>
  <c r="AO32" i="21"/>
  <c r="AO33" i="19"/>
  <c r="O42" i="19"/>
  <c r="X41" i="19"/>
  <c r="BI34" i="20"/>
  <c r="G35" i="20" s="1"/>
  <c r="X35" i="20" s="1"/>
  <c r="AP33" i="19"/>
  <c r="D41" i="19"/>
  <c r="U41" i="19" s="1"/>
  <c r="AY35" i="21"/>
  <c r="G36" i="21" s="1"/>
  <c r="X36" i="21" s="1"/>
  <c r="AA34" i="22"/>
  <c r="AB34" i="22" s="1"/>
  <c r="AC34" i="22" s="1"/>
  <c r="AD34" i="22"/>
  <c r="Z33" i="21"/>
  <c r="AH33" i="21" s="1"/>
  <c r="AT33" i="21"/>
  <c r="B34" i="21" s="1"/>
  <c r="AP32" i="21"/>
  <c r="BD33" i="20"/>
  <c r="B34" i="20" s="1"/>
  <c r="Z33" i="20"/>
  <c r="H41" i="19"/>
  <c r="Y41" i="19" s="1"/>
  <c r="I35" i="22"/>
  <c r="J35" i="22" s="1"/>
  <c r="K35" i="22" s="1"/>
  <c r="L35" i="22" s="1"/>
  <c r="S35" i="22"/>
  <c r="BF34" i="20"/>
  <c r="D35" i="20" s="1"/>
  <c r="U35" i="20" s="1"/>
  <c r="B35" i="19"/>
  <c r="Z34" i="19"/>
  <c r="AH34" i="19" s="1"/>
  <c r="AW35" i="21"/>
  <c r="E36" i="21" s="1"/>
  <c r="V36" i="21" s="1"/>
  <c r="AZ35" i="21"/>
  <c r="H36" i="21" s="1"/>
  <c r="Y36" i="21" s="1"/>
  <c r="AV35" i="21"/>
  <c r="D36" i="21" s="1"/>
  <c r="U36" i="21" s="1"/>
  <c r="BJ34" i="20"/>
  <c r="H35" i="20" s="1"/>
  <c r="Y35" i="20" s="1"/>
  <c r="AH34" i="22"/>
  <c r="E41" i="19"/>
  <c r="V41" i="19" s="1"/>
  <c r="G45" i="19"/>
  <c r="BG34" i="20"/>
  <c r="E35" i="20" s="1"/>
  <c r="V35" i="20" s="1"/>
  <c r="J31" i="9"/>
  <c r="K31" i="9" s="1"/>
  <c r="L31" i="9" s="1"/>
  <c r="D39" i="17"/>
  <c r="O40" i="17"/>
  <c r="G43" i="17"/>
  <c r="Z33" i="17"/>
  <c r="B34" i="17"/>
  <c r="S34" i="17" s="1"/>
  <c r="AP32" i="17"/>
  <c r="AO32" i="17"/>
  <c r="E39" i="17"/>
  <c r="H39" i="17"/>
  <c r="Y39" i="17" s="1"/>
  <c r="J41" i="16"/>
  <c r="K41" i="16" s="1"/>
  <c r="L41" i="16" s="1"/>
  <c r="I42" i="16"/>
  <c r="B43" i="16"/>
  <c r="P41" i="16"/>
  <c r="W40" i="16"/>
  <c r="X40" i="16"/>
  <c r="X36" i="1"/>
  <c r="E46" i="1"/>
  <c r="K36" i="1"/>
  <c r="G42" i="1"/>
  <c r="G43" i="1" s="1"/>
  <c r="G44" i="1" s="1"/>
  <c r="X34" i="4"/>
  <c r="V37" i="1"/>
  <c r="W36" i="1"/>
  <c r="Y36" i="1" s="1"/>
  <c r="Y33" i="4"/>
  <c r="I38" i="1"/>
  <c r="P38" i="1" s="1"/>
  <c r="AO30" i="9"/>
  <c r="AP30" i="9"/>
  <c r="AO30" i="12"/>
  <c r="BB30" i="12"/>
  <c r="W34" i="4"/>
  <c r="AP30" i="12"/>
  <c r="AH32" i="7"/>
  <c r="H33" i="7" s="1"/>
  <c r="B32" i="7"/>
  <c r="AI31" i="7"/>
  <c r="AJ31" i="7" s="1"/>
  <c r="B40" i="1"/>
  <c r="B41" i="1" s="1"/>
  <c r="E35" i="9"/>
  <c r="V35" i="9" s="1"/>
  <c r="Y35" i="1"/>
  <c r="Y31" i="12"/>
  <c r="I31" i="12"/>
  <c r="AQ34" i="4"/>
  <c r="G35" i="4" s="1"/>
  <c r="AO34" i="4"/>
  <c r="E35" i="4" s="1"/>
  <c r="AN34" i="4"/>
  <c r="D35" i="4" s="1"/>
  <c r="AR34" i="4"/>
  <c r="H35" i="4" s="1"/>
  <c r="AL34" i="4"/>
  <c r="B35" i="4" s="1"/>
  <c r="B32" i="9"/>
  <c r="Z31" i="9"/>
  <c r="D39" i="1"/>
  <c r="O36" i="9"/>
  <c r="X35" i="9"/>
  <c r="AD32" i="7"/>
  <c r="D33" i="7" s="1"/>
  <c r="X31" i="7"/>
  <c r="W31" i="7"/>
  <c r="AD30" i="10"/>
  <c r="BA30" i="10"/>
  <c r="AA30" i="10"/>
  <c r="BK30" i="10"/>
  <c r="BF30" i="10"/>
  <c r="D31" i="10" s="1"/>
  <c r="U31" i="10" s="1"/>
  <c r="BI30" i="10"/>
  <c r="G31" i="10" s="1"/>
  <c r="X31" i="10" s="1"/>
  <c r="BG30" i="10"/>
  <c r="E31" i="10" s="1"/>
  <c r="V31" i="10" s="1"/>
  <c r="BJ30" i="10"/>
  <c r="H31" i="10" s="1"/>
  <c r="Y31" i="10" s="1"/>
  <c r="BD30" i="10"/>
  <c r="B31" i="10" s="1"/>
  <c r="AN30" i="10"/>
  <c r="AZ30" i="10"/>
  <c r="AY30" i="10"/>
  <c r="AJ30" i="10"/>
  <c r="AM30" i="10"/>
  <c r="AW30" i="10"/>
  <c r="AV30" i="10"/>
  <c r="AK30" i="10"/>
  <c r="L36" i="1"/>
  <c r="I51" i="1"/>
  <c r="C11" i="8" s="1"/>
  <c r="J37" i="1"/>
  <c r="K37" i="1" s="1"/>
  <c r="L37" i="1" s="1"/>
  <c r="C12" i="13"/>
  <c r="S37" i="1"/>
  <c r="U37" i="1"/>
  <c r="P37" i="1"/>
  <c r="AE32" i="7"/>
  <c r="E33" i="7" s="1"/>
  <c r="AG32" i="7"/>
  <c r="G33" i="7" s="1"/>
  <c r="AT30" i="10"/>
  <c r="D35" i="9"/>
  <c r="U35" i="9" s="1"/>
  <c r="H35" i="9"/>
  <c r="Y35" i="9" s="1"/>
  <c r="H39" i="1"/>
  <c r="AO33" i="37" l="1"/>
  <c r="AP33" i="37"/>
  <c r="Z34" i="37"/>
  <c r="G45" i="1"/>
  <c r="B44" i="16"/>
  <c r="I34" i="27"/>
  <c r="AQ32" i="21"/>
  <c r="AQ33" i="19"/>
  <c r="S35" i="19"/>
  <c r="I35" i="19"/>
  <c r="J35" i="19" s="1"/>
  <c r="K35" i="19" s="1"/>
  <c r="L35" i="19" s="1"/>
  <c r="BA33" i="20"/>
  <c r="AD33" i="20"/>
  <c r="AA33" i="20"/>
  <c r="AB33" i="20" s="1"/>
  <c r="AC33" i="20" s="1"/>
  <c r="BL33" i="20"/>
  <c r="BK33" i="20"/>
  <c r="AJ33" i="20"/>
  <c r="AZ33" i="20"/>
  <c r="AY33" i="20"/>
  <c r="AK33" i="20"/>
  <c r="AN33" i="20"/>
  <c r="AV33" i="20"/>
  <c r="AW33" i="20"/>
  <c r="AM33" i="20"/>
  <c r="E42" i="19"/>
  <c r="V42" i="19" s="1"/>
  <c r="AT33" i="20"/>
  <c r="D42" i="19"/>
  <c r="U42" i="19" s="1"/>
  <c r="AH33" i="20"/>
  <c r="H42" i="19"/>
  <c r="Y42" i="19" s="1"/>
  <c r="BO33" i="21"/>
  <c r="S34" i="20"/>
  <c r="I34" i="20"/>
  <c r="J34" i="20" s="1"/>
  <c r="K34" i="20" s="1"/>
  <c r="L34" i="20" s="1"/>
  <c r="BS33" i="21"/>
  <c r="AA33" i="21"/>
  <c r="AB33" i="21" s="1"/>
  <c r="AC33" i="21" s="1"/>
  <c r="BV33" i="21"/>
  <c r="BB33" i="21"/>
  <c r="AD33" i="21"/>
  <c r="BP33" i="21"/>
  <c r="BA33" i="21"/>
  <c r="AM33" i="21"/>
  <c r="AJ33" i="21"/>
  <c r="BU33" i="21"/>
  <c r="AN33" i="21"/>
  <c r="AK33" i="21"/>
  <c r="AO34" i="22"/>
  <c r="AP34" i="22"/>
  <c r="O43" i="19"/>
  <c r="X42" i="19"/>
  <c r="B36" i="22"/>
  <c r="Z35" i="22"/>
  <c r="AD34" i="19"/>
  <c r="AA34" i="19"/>
  <c r="AB34" i="19" s="1"/>
  <c r="AC34" i="19" s="1"/>
  <c r="AN34" i="19"/>
  <c r="AK34" i="19"/>
  <c r="AM34" i="19"/>
  <c r="AJ34" i="19"/>
  <c r="AO34" i="19" s="1"/>
  <c r="I34" i="21"/>
  <c r="J34" i="21" s="1"/>
  <c r="K34" i="21" s="1"/>
  <c r="L34" i="21" s="1"/>
  <c r="S34" i="21"/>
  <c r="AQ32" i="17"/>
  <c r="B45" i="16"/>
  <c r="P42" i="16"/>
  <c r="AB41" i="16"/>
  <c r="G44" i="17"/>
  <c r="X43" i="17"/>
  <c r="J31" i="12"/>
  <c r="K31" i="12" s="1"/>
  <c r="L31" i="12" s="1"/>
  <c r="AA33" i="17"/>
  <c r="AB33" i="17" s="1"/>
  <c r="AC33" i="17" s="1"/>
  <c r="AD33" i="17"/>
  <c r="AM33" i="17"/>
  <c r="AK33" i="17"/>
  <c r="AN33" i="17"/>
  <c r="AJ33" i="17"/>
  <c r="H40" i="17"/>
  <c r="Y40" i="17" s="1"/>
  <c r="AH33" i="17"/>
  <c r="D40" i="17"/>
  <c r="O41" i="17"/>
  <c r="E40" i="17"/>
  <c r="I34" i="17"/>
  <c r="J34" i="17" s="1"/>
  <c r="K34" i="17" s="1"/>
  <c r="L34" i="17" s="1"/>
  <c r="Y40" i="16"/>
  <c r="I43" i="16"/>
  <c r="X41" i="16"/>
  <c r="W41" i="16"/>
  <c r="J42" i="16"/>
  <c r="K42" i="16" s="1"/>
  <c r="L42" i="16" s="1"/>
  <c r="J38" i="1"/>
  <c r="K38" i="1" s="1"/>
  <c r="L38" i="1" s="1"/>
  <c r="V38" i="1"/>
  <c r="Y34" i="4"/>
  <c r="G46" i="1"/>
  <c r="AB30" i="10"/>
  <c r="AC30" i="10" s="1"/>
  <c r="R38" i="1"/>
  <c r="U38" i="1"/>
  <c r="S38" i="1"/>
  <c r="C13" i="13"/>
  <c r="B42" i="1"/>
  <c r="B43" i="1" s="1"/>
  <c r="B44" i="1" s="1"/>
  <c r="Y31" i="7"/>
  <c r="AQ30" i="9"/>
  <c r="AP30" i="10"/>
  <c r="AQ30" i="12"/>
  <c r="D36" i="9"/>
  <c r="U36" i="9" s="1"/>
  <c r="BG31" i="10"/>
  <c r="E32" i="10" s="1"/>
  <c r="V32" i="10" s="1"/>
  <c r="H36" i="9"/>
  <c r="Y36" i="9" s="1"/>
  <c r="AE33" i="7"/>
  <c r="E34" i="7" s="1"/>
  <c r="I31" i="10"/>
  <c r="J31" i="10" s="1"/>
  <c r="K31" i="10" s="1"/>
  <c r="L31" i="10" s="1"/>
  <c r="S31" i="10"/>
  <c r="BF31" i="10"/>
  <c r="D32" i="10" s="1"/>
  <c r="U32" i="10" s="1"/>
  <c r="AD33" i="7"/>
  <c r="D34" i="7" s="1"/>
  <c r="D40" i="1"/>
  <c r="D41" i="1" s="1"/>
  <c r="I32" i="9"/>
  <c r="J32" i="9" s="1"/>
  <c r="K32" i="9" s="1"/>
  <c r="L32" i="9" s="1"/>
  <c r="S32" i="9"/>
  <c r="AO35" i="4"/>
  <c r="E36" i="4" s="1"/>
  <c r="Z31" i="12"/>
  <c r="AN31" i="12" s="1"/>
  <c r="W37" i="1"/>
  <c r="X37" i="1"/>
  <c r="BJ31" i="10"/>
  <c r="H32" i="10" s="1"/>
  <c r="Y32" i="10" s="1"/>
  <c r="I35" i="4"/>
  <c r="P35" i="4" s="1"/>
  <c r="AL35" i="4"/>
  <c r="B36" i="4" s="1"/>
  <c r="AQ35" i="4"/>
  <c r="G36" i="4" s="1"/>
  <c r="E36" i="9"/>
  <c r="V36" i="9" s="1"/>
  <c r="AH33" i="7"/>
  <c r="H34" i="7" s="1"/>
  <c r="H40" i="1"/>
  <c r="H41" i="1" s="1"/>
  <c r="AD31" i="9"/>
  <c r="AA31" i="9"/>
  <c r="AB31" i="9" s="1"/>
  <c r="AC31" i="9" s="1"/>
  <c r="AK31" i="9"/>
  <c r="AM31" i="9"/>
  <c r="AJ31" i="9"/>
  <c r="AN31" i="9"/>
  <c r="AR35" i="4"/>
  <c r="H36" i="4" s="1"/>
  <c r="AT34" i="4"/>
  <c r="AO30" i="10"/>
  <c r="AG33" i="7"/>
  <c r="G34" i="7" s="1"/>
  <c r="BI31" i="10"/>
  <c r="G32" i="10" s="1"/>
  <c r="X32" i="10" s="1"/>
  <c r="BL30" i="10"/>
  <c r="O37" i="9"/>
  <c r="X36" i="9"/>
  <c r="AH31" i="9"/>
  <c r="AN35" i="4"/>
  <c r="D36" i="4" s="1"/>
  <c r="I39" i="1"/>
  <c r="V39" i="1" s="1"/>
  <c r="I32" i="7"/>
  <c r="AB32" i="7"/>
  <c r="BJ34" i="37" l="1"/>
  <c r="H35" i="37" s="1"/>
  <c r="Y35" i="37" s="1"/>
  <c r="BD34" i="37"/>
  <c r="B35" i="37" s="1"/>
  <c r="S35" i="37" s="1"/>
  <c r="AZ34" i="37"/>
  <c r="AT34" i="37"/>
  <c r="AH34" i="37"/>
  <c r="AQ33" i="37"/>
  <c r="AA34" i="37"/>
  <c r="AB34" i="37" s="1"/>
  <c r="AC34" i="37" s="1"/>
  <c r="BA34" i="37"/>
  <c r="BK34" i="37"/>
  <c r="AD34" i="37"/>
  <c r="AN34" i="37"/>
  <c r="I35" i="37"/>
  <c r="J35" i="37" s="1"/>
  <c r="K35" i="37" s="1"/>
  <c r="L35" i="37" s="1"/>
  <c r="B45" i="1"/>
  <c r="Y41" i="16"/>
  <c r="I44" i="16"/>
  <c r="R34" i="27"/>
  <c r="AS34" i="27"/>
  <c r="U34" i="27"/>
  <c r="AI34" i="27"/>
  <c r="AE34" i="27"/>
  <c r="AD34" i="27"/>
  <c r="AG34" i="27"/>
  <c r="S34" i="27"/>
  <c r="J34" i="27"/>
  <c r="K34" i="27" s="1"/>
  <c r="L34" i="27" s="1"/>
  <c r="AH34" i="27"/>
  <c r="V34" i="27"/>
  <c r="AB34" i="27"/>
  <c r="P34" i="27"/>
  <c r="AQ34" i="22"/>
  <c r="AO33" i="21"/>
  <c r="AT34" i="21"/>
  <c r="B35" i="21" s="1"/>
  <c r="Z34" i="21"/>
  <c r="BO34" i="21" s="1"/>
  <c r="AH34" i="21"/>
  <c r="AP34" i="19"/>
  <c r="AQ34" i="19" s="1"/>
  <c r="AD35" i="22"/>
  <c r="AA35" i="22"/>
  <c r="AB35" i="22" s="1"/>
  <c r="AC35" i="22" s="1"/>
  <c r="AH35" i="22"/>
  <c r="H43" i="19"/>
  <c r="Y43" i="19" s="1"/>
  <c r="B36" i="19"/>
  <c r="Z35" i="19"/>
  <c r="S36" i="22"/>
  <c r="I36" i="22"/>
  <c r="J36" i="22" s="1"/>
  <c r="BD34" i="20"/>
  <c r="B35" i="20" s="1"/>
  <c r="Z34" i="20"/>
  <c r="AH34" i="20" s="1"/>
  <c r="AP33" i="21"/>
  <c r="O44" i="19"/>
  <c r="X43" i="19"/>
  <c r="D43" i="19"/>
  <c r="U43" i="19" s="1"/>
  <c r="E43" i="19"/>
  <c r="V43" i="19" s="1"/>
  <c r="AP33" i="20"/>
  <c r="AO33" i="20"/>
  <c r="P43" i="16"/>
  <c r="AB42" i="16"/>
  <c r="I45" i="16"/>
  <c r="X38" i="1"/>
  <c r="I41" i="1"/>
  <c r="R41" i="1" s="1"/>
  <c r="G45" i="17"/>
  <c r="X45" i="17" s="1"/>
  <c r="X44" i="17"/>
  <c r="E41" i="17"/>
  <c r="D41" i="17"/>
  <c r="H41" i="17"/>
  <c r="Y41" i="17" s="1"/>
  <c r="Z34" i="17"/>
  <c r="AH34" i="17" s="1"/>
  <c r="B35" i="17"/>
  <c r="S35" i="17" s="1"/>
  <c r="O42" i="17"/>
  <c r="AP33" i="17"/>
  <c r="AO33" i="17"/>
  <c r="X42" i="16"/>
  <c r="W42" i="16"/>
  <c r="J43" i="16"/>
  <c r="K43" i="16" s="1"/>
  <c r="L43" i="16" s="1"/>
  <c r="B46" i="16"/>
  <c r="W38" i="1"/>
  <c r="B46" i="1"/>
  <c r="AD35" i="4"/>
  <c r="S41" i="1"/>
  <c r="P41" i="1"/>
  <c r="H42" i="1"/>
  <c r="H43" i="1" s="1"/>
  <c r="H44" i="1" s="1"/>
  <c r="D42" i="1"/>
  <c r="D43" i="1" s="1"/>
  <c r="AQ30" i="10"/>
  <c r="U35" i="4"/>
  <c r="BU31" i="12"/>
  <c r="AH35" i="4"/>
  <c r="AB35" i="4"/>
  <c r="AE35" i="4"/>
  <c r="R35" i="4"/>
  <c r="V35" i="4"/>
  <c r="AG35" i="4"/>
  <c r="D7" i="13"/>
  <c r="J32" i="7"/>
  <c r="K32" i="7" s="1"/>
  <c r="L32" i="7" s="1"/>
  <c r="R32" i="7"/>
  <c r="S32" i="7"/>
  <c r="V32" i="7"/>
  <c r="U32" i="7"/>
  <c r="R39" i="1"/>
  <c r="P32" i="7"/>
  <c r="AG34" i="7"/>
  <c r="G35" i="7" s="1"/>
  <c r="E37" i="9"/>
  <c r="V37" i="9" s="1"/>
  <c r="I36" i="4"/>
  <c r="R36" i="4" s="1"/>
  <c r="Y37" i="1"/>
  <c r="I40" i="1"/>
  <c r="BS31" i="12"/>
  <c r="BP31" i="12"/>
  <c r="AD31" i="12"/>
  <c r="AH31" i="12"/>
  <c r="BO31" i="12"/>
  <c r="AJ31" i="12"/>
  <c r="AV31" i="12"/>
  <c r="D32" i="12" s="1"/>
  <c r="U32" i="12" s="1"/>
  <c r="AM31" i="12"/>
  <c r="AW31" i="12"/>
  <c r="E32" i="12" s="1"/>
  <c r="V32" i="12" s="1"/>
  <c r="BV31" i="12"/>
  <c r="AZ31" i="12"/>
  <c r="H32" i="12" s="1"/>
  <c r="Y32" i="12" s="1"/>
  <c r="AY31" i="12"/>
  <c r="G32" i="12" s="1"/>
  <c r="X32" i="12" s="1"/>
  <c r="AT31" i="12"/>
  <c r="B32" i="12" s="1"/>
  <c r="AA31" i="12"/>
  <c r="AB31" i="12" s="1"/>
  <c r="AC31" i="12" s="1"/>
  <c r="BA31" i="12"/>
  <c r="AK31" i="12"/>
  <c r="O38" i="9"/>
  <c r="X37" i="9"/>
  <c r="C14" i="13"/>
  <c r="J39" i="1"/>
  <c r="K39" i="1" s="1"/>
  <c r="L39" i="1" s="1"/>
  <c r="S39" i="1"/>
  <c r="U39" i="1"/>
  <c r="P39" i="1"/>
  <c r="AP31" i="9"/>
  <c r="AO31" i="9"/>
  <c r="AH34" i="7"/>
  <c r="H35" i="7" s="1"/>
  <c r="B33" i="9"/>
  <c r="Z32" i="9"/>
  <c r="AH32" i="9" s="1"/>
  <c r="AD34" i="7"/>
  <c r="D35" i="7" s="1"/>
  <c r="AE34" i="7"/>
  <c r="E35" i="7" s="1"/>
  <c r="D37" i="9"/>
  <c r="U37" i="9" s="1"/>
  <c r="B33" i="7"/>
  <c r="AI32" i="7"/>
  <c r="AJ32" i="7" s="1"/>
  <c r="J35" i="4"/>
  <c r="K35" i="4" s="1"/>
  <c r="L35" i="4" s="1"/>
  <c r="AI35" i="4"/>
  <c r="AS35" i="4"/>
  <c r="AT35" i="4" s="1"/>
  <c r="B10" i="13"/>
  <c r="S35" i="4"/>
  <c r="Z31" i="10"/>
  <c r="AT31" i="10" s="1"/>
  <c r="BD31" i="10"/>
  <c r="B32" i="10" s="1"/>
  <c r="H37" i="9"/>
  <c r="Y37" i="9" s="1"/>
  <c r="J44" i="16" l="1"/>
  <c r="K44" i="16" s="1"/>
  <c r="L44" i="16" s="1"/>
  <c r="AB43" i="16"/>
  <c r="BL34" i="37"/>
  <c r="AP34" i="37"/>
  <c r="AO34" i="37"/>
  <c r="Z35" i="37"/>
  <c r="P44" i="16"/>
  <c r="V41" i="1"/>
  <c r="U41" i="1"/>
  <c r="W41" i="1" s="1"/>
  <c r="X43" i="16"/>
  <c r="C16" i="13"/>
  <c r="I43" i="1"/>
  <c r="C18" i="13" s="1"/>
  <c r="D44" i="1"/>
  <c r="AQ33" i="21"/>
  <c r="J41" i="1"/>
  <c r="K41" i="1" s="1"/>
  <c r="L41" i="1" s="1"/>
  <c r="H45" i="1"/>
  <c r="H46" i="1" s="1"/>
  <c r="Y38" i="1"/>
  <c r="P45" i="16"/>
  <c r="AR34" i="27"/>
  <c r="H35" i="27" s="1"/>
  <c r="AL34" i="27"/>
  <c r="AN34" i="27"/>
  <c r="D35" i="27" s="1"/>
  <c r="AQ34" i="27"/>
  <c r="G35" i="27" s="1"/>
  <c r="AO34" i="27"/>
  <c r="E35" i="27" s="1"/>
  <c r="W34" i="27"/>
  <c r="X34" i="27"/>
  <c r="AQ33" i="20"/>
  <c r="AT34" i="20"/>
  <c r="H44" i="19"/>
  <c r="Y44" i="19" s="1"/>
  <c r="E44" i="19"/>
  <c r="V44" i="19" s="1"/>
  <c r="AO35" i="22"/>
  <c r="AP35" i="22"/>
  <c r="I50" i="22"/>
  <c r="K36" i="22"/>
  <c r="BA34" i="21"/>
  <c r="AD34" i="21"/>
  <c r="BV34" i="21"/>
  <c r="BB34" i="21"/>
  <c r="AA34" i="21"/>
  <c r="AB34" i="21" s="1"/>
  <c r="AC34" i="21" s="1"/>
  <c r="BS34" i="21"/>
  <c r="BP34" i="21"/>
  <c r="AM34" i="21"/>
  <c r="AP34" i="21" s="1"/>
  <c r="AN34" i="21"/>
  <c r="AJ34" i="21"/>
  <c r="AK34" i="21"/>
  <c r="BU34" i="21"/>
  <c r="O45" i="19"/>
  <c r="X44" i="19"/>
  <c r="S36" i="19"/>
  <c r="I36" i="19"/>
  <c r="J36" i="19" s="1"/>
  <c r="S35" i="20"/>
  <c r="I35" i="20"/>
  <c r="J35" i="20" s="1"/>
  <c r="K35" i="20" s="1"/>
  <c r="L35" i="20" s="1"/>
  <c r="D44" i="19"/>
  <c r="U44" i="19" s="1"/>
  <c r="Z36" i="22"/>
  <c r="B37" i="22"/>
  <c r="AD35" i="19"/>
  <c r="AA35" i="19"/>
  <c r="AB35" i="19" s="1"/>
  <c r="AC35" i="19" s="1"/>
  <c r="AM35" i="19"/>
  <c r="AK35" i="19"/>
  <c r="AN35" i="19"/>
  <c r="AJ35" i="19"/>
  <c r="S35" i="21"/>
  <c r="I35" i="21"/>
  <c r="J35" i="21" s="1"/>
  <c r="K35" i="21" s="1"/>
  <c r="L35" i="21" s="1"/>
  <c r="BK34" i="20"/>
  <c r="AD34" i="20"/>
  <c r="BL34" i="20"/>
  <c r="AA34" i="20"/>
  <c r="AB34" i="20" s="1"/>
  <c r="AC34" i="20" s="1"/>
  <c r="BA34" i="20"/>
  <c r="AY34" i="20"/>
  <c r="AZ34" i="20"/>
  <c r="AM34" i="20"/>
  <c r="AN34" i="20"/>
  <c r="AW34" i="20"/>
  <c r="AJ34" i="20"/>
  <c r="AK34" i="20"/>
  <c r="AV34" i="20"/>
  <c r="AH35" i="19"/>
  <c r="Y42" i="16"/>
  <c r="J45" i="16"/>
  <c r="K45" i="16" s="1"/>
  <c r="L45" i="16" s="1"/>
  <c r="I48" i="16" s="1"/>
  <c r="AB44" i="16"/>
  <c r="S43" i="1"/>
  <c r="U43" i="1"/>
  <c r="P43" i="1"/>
  <c r="R43" i="1"/>
  <c r="V43" i="1"/>
  <c r="AQ33" i="17"/>
  <c r="I35" i="17"/>
  <c r="J35" i="17" s="1"/>
  <c r="K35" i="17" s="1"/>
  <c r="L35" i="17" s="1"/>
  <c r="AA34" i="17"/>
  <c r="AB34" i="17" s="1"/>
  <c r="AC34" i="17" s="1"/>
  <c r="AD34" i="17"/>
  <c r="AK34" i="17"/>
  <c r="AM34" i="17"/>
  <c r="AJ34" i="17"/>
  <c r="AN34" i="17"/>
  <c r="D42" i="17"/>
  <c r="O43" i="17"/>
  <c r="O44" i="17" s="1"/>
  <c r="O45" i="17" s="1"/>
  <c r="H42" i="17"/>
  <c r="Y42" i="17" s="1"/>
  <c r="E42" i="17"/>
  <c r="I54" i="16"/>
  <c r="I46" i="16"/>
  <c r="W43" i="16"/>
  <c r="R40" i="1"/>
  <c r="X41" i="1"/>
  <c r="X35" i="4"/>
  <c r="I42" i="1"/>
  <c r="AH36" i="4"/>
  <c r="U36" i="4"/>
  <c r="V36" i="4"/>
  <c r="S36" i="4"/>
  <c r="AB36" i="4"/>
  <c r="AG36" i="4"/>
  <c r="AE36" i="4"/>
  <c r="P36" i="4"/>
  <c r="AD36" i="4"/>
  <c r="W35" i="4"/>
  <c r="H38" i="9"/>
  <c r="Y38" i="9" s="1"/>
  <c r="AH31" i="10"/>
  <c r="AA32" i="9"/>
  <c r="AB32" i="9" s="1"/>
  <c r="AC32" i="9" s="1"/>
  <c r="AD32" i="9"/>
  <c r="AN32" i="9"/>
  <c r="AM32" i="9"/>
  <c r="AK32" i="9"/>
  <c r="AJ32" i="9"/>
  <c r="AH35" i="7"/>
  <c r="H36" i="7" s="1"/>
  <c r="AY32" i="12"/>
  <c r="G33" i="12" s="1"/>
  <c r="X33" i="12" s="1"/>
  <c r="AW32" i="12"/>
  <c r="E33" i="12" s="1"/>
  <c r="V33" i="12" s="1"/>
  <c r="W32" i="7"/>
  <c r="X32" i="7"/>
  <c r="AB33" i="7"/>
  <c r="I33" i="7"/>
  <c r="P33" i="7" s="1"/>
  <c r="AE35" i="7"/>
  <c r="E36" i="7" s="1"/>
  <c r="S33" i="9"/>
  <c r="I33" i="9"/>
  <c r="J33" i="9" s="1"/>
  <c r="K33" i="9" s="1"/>
  <c r="L33" i="9" s="1"/>
  <c r="AQ31" i="9"/>
  <c r="O39" i="9"/>
  <c r="X38" i="9"/>
  <c r="AZ32" i="12"/>
  <c r="H33" i="12" s="1"/>
  <c r="Y33" i="12" s="1"/>
  <c r="AP31" i="12"/>
  <c r="AO31" i="12"/>
  <c r="C15" i="13"/>
  <c r="J40" i="1"/>
  <c r="K40" i="1" s="1"/>
  <c r="L40" i="1" s="1"/>
  <c r="S40" i="1"/>
  <c r="U40" i="1"/>
  <c r="P40" i="1"/>
  <c r="B11" i="13"/>
  <c r="AI36" i="4"/>
  <c r="AS36" i="4"/>
  <c r="J36" i="4"/>
  <c r="AG35" i="7"/>
  <c r="G36" i="7" s="1"/>
  <c r="V40" i="1"/>
  <c r="AD31" i="10"/>
  <c r="BA31" i="10"/>
  <c r="BL31" i="10"/>
  <c r="AA31" i="10"/>
  <c r="BK31" i="10"/>
  <c r="AZ31" i="10"/>
  <c r="AY31" i="10"/>
  <c r="AK31" i="10"/>
  <c r="AJ31" i="10"/>
  <c r="AW31" i="10"/>
  <c r="AN31" i="10"/>
  <c r="AV31" i="10"/>
  <c r="AM31" i="10"/>
  <c r="AV32" i="12"/>
  <c r="D33" i="12" s="1"/>
  <c r="U33" i="12" s="1"/>
  <c r="I32" i="10"/>
  <c r="J32" i="10" s="1"/>
  <c r="K32" i="10" s="1"/>
  <c r="L32" i="10" s="1"/>
  <c r="S32" i="10"/>
  <c r="D38" i="9"/>
  <c r="U38" i="9" s="1"/>
  <c r="AD35" i="7"/>
  <c r="D36" i="7" s="1"/>
  <c r="X39" i="1"/>
  <c r="W39" i="1"/>
  <c r="S32" i="12"/>
  <c r="I32" i="12"/>
  <c r="BB31" i="12"/>
  <c r="E38" i="9"/>
  <c r="V38" i="9" s="1"/>
  <c r="X44" i="16" l="1"/>
  <c r="BJ35" i="37"/>
  <c r="BD35" i="37"/>
  <c r="B36" i="37" s="1"/>
  <c r="S36" i="37" s="1"/>
  <c r="AH35" i="37"/>
  <c r="AZ35" i="37"/>
  <c r="AT35" i="37"/>
  <c r="AQ34" i="37"/>
  <c r="AA35" i="37"/>
  <c r="AB35" i="37" s="1"/>
  <c r="AC35" i="37" s="1"/>
  <c r="BA35" i="37"/>
  <c r="BK35" i="37"/>
  <c r="AD35" i="37"/>
  <c r="H36" i="37"/>
  <c r="Y36" i="37" s="1"/>
  <c r="AN35" i="37"/>
  <c r="X45" i="16"/>
  <c r="J43" i="1"/>
  <c r="K43" i="1" s="1"/>
  <c r="L43" i="1" s="1"/>
  <c r="C17" i="13"/>
  <c r="Y34" i="27"/>
  <c r="AO34" i="21"/>
  <c r="AQ34" i="21" s="1"/>
  <c r="W44" i="16"/>
  <c r="Y44" i="16" s="1"/>
  <c r="D45" i="1"/>
  <c r="I44" i="1"/>
  <c r="Y43" i="16"/>
  <c r="AQ35" i="27"/>
  <c r="G36" i="27" s="1"/>
  <c r="AN35" i="27"/>
  <c r="D36" i="27" s="1"/>
  <c r="AT34" i="27"/>
  <c r="B35" i="27"/>
  <c r="AO35" i="27"/>
  <c r="E36" i="27" s="1"/>
  <c r="AO34" i="20"/>
  <c r="D45" i="19"/>
  <c r="U45" i="19" s="1"/>
  <c r="Z35" i="20"/>
  <c r="AQ35" i="22"/>
  <c r="AP34" i="20"/>
  <c r="AD36" i="22"/>
  <c r="AA36" i="22"/>
  <c r="AB36" i="22" s="1"/>
  <c r="AC36" i="22" s="1"/>
  <c r="AO35" i="19"/>
  <c r="AP35" i="19"/>
  <c r="I51" i="22"/>
  <c r="L36" i="22"/>
  <c r="H45" i="19"/>
  <c r="Y45" i="19" s="1"/>
  <c r="O46" i="19"/>
  <c r="O47" i="19"/>
  <c r="X45" i="19"/>
  <c r="I37" i="22"/>
  <c r="J37" i="22" s="1"/>
  <c r="K37" i="22" s="1"/>
  <c r="L37" i="22" s="1"/>
  <c r="S37" i="22"/>
  <c r="AT35" i="21"/>
  <c r="B36" i="21" s="1"/>
  <c r="Z35" i="21"/>
  <c r="I50" i="19"/>
  <c r="K36" i="19"/>
  <c r="E45" i="19"/>
  <c r="V45" i="19" s="1"/>
  <c r="AH36" i="22"/>
  <c r="B37" i="19"/>
  <c r="Z36" i="19"/>
  <c r="W45" i="16"/>
  <c r="AP34" i="17"/>
  <c r="W43" i="1"/>
  <c r="X43" i="1"/>
  <c r="J32" i="12"/>
  <c r="K32" i="12" s="1"/>
  <c r="L32" i="12" s="1"/>
  <c r="AO34" i="17"/>
  <c r="AQ34" i="17" s="1"/>
  <c r="D43" i="17"/>
  <c r="D44" i="17" s="1"/>
  <c r="Z35" i="17"/>
  <c r="AH35" i="17" s="1"/>
  <c r="B36" i="17"/>
  <c r="S36" i="17" s="1"/>
  <c r="H43" i="17"/>
  <c r="E43" i="17"/>
  <c r="E44" i="17" s="1"/>
  <c r="I53" i="16"/>
  <c r="I52" i="16"/>
  <c r="I47" i="16"/>
  <c r="I49" i="16" s="1"/>
  <c r="Y35" i="4"/>
  <c r="V42" i="1"/>
  <c r="AB31" i="10"/>
  <c r="AC31" i="10" s="1"/>
  <c r="Y41" i="1"/>
  <c r="J42" i="1"/>
  <c r="K42" i="1" s="1"/>
  <c r="L42" i="1" s="1"/>
  <c r="S42" i="1"/>
  <c r="U42" i="1"/>
  <c r="P42" i="1"/>
  <c r="R42" i="1"/>
  <c r="W36" i="4"/>
  <c r="X36" i="4"/>
  <c r="AP32" i="9"/>
  <c r="Y32" i="7"/>
  <c r="AP31" i="10"/>
  <c r="AO31" i="10"/>
  <c r="Z32" i="10"/>
  <c r="AT32" i="10" s="1"/>
  <c r="AV33" i="12"/>
  <c r="D34" i="12" s="1"/>
  <c r="U34" i="12" s="1"/>
  <c r="AY33" i="12"/>
  <c r="G34" i="12" s="1"/>
  <c r="X34" i="12" s="1"/>
  <c r="AO32" i="9"/>
  <c r="D39" i="9"/>
  <c r="U39" i="9" s="1"/>
  <c r="AW33" i="12"/>
  <c r="E34" i="12" s="1"/>
  <c r="V34" i="12" s="1"/>
  <c r="AT32" i="12"/>
  <c r="B33" i="12" s="1"/>
  <c r="Z32" i="12"/>
  <c r="I50" i="4"/>
  <c r="B10" i="8" s="1"/>
  <c r="K36" i="4"/>
  <c r="X40" i="1"/>
  <c r="W40" i="1"/>
  <c r="B34" i="9"/>
  <c r="Z33" i="9"/>
  <c r="AH33" i="9" s="1"/>
  <c r="D8" i="13"/>
  <c r="J33" i="7"/>
  <c r="K33" i="7" s="1"/>
  <c r="L33" i="7" s="1"/>
  <c r="R33" i="7"/>
  <c r="V33" i="7"/>
  <c r="U33" i="7"/>
  <c r="S33" i="7"/>
  <c r="E39" i="9"/>
  <c r="V39" i="9" s="1"/>
  <c r="Y39" i="1"/>
  <c r="AR36" i="4"/>
  <c r="H37" i="4" s="1"/>
  <c r="AQ36" i="4"/>
  <c r="G37" i="4" s="1"/>
  <c r="AN36" i="4"/>
  <c r="D37" i="4" s="1"/>
  <c r="AO36" i="4"/>
  <c r="E37" i="4" s="1"/>
  <c r="AL36" i="4"/>
  <c r="B37" i="4" s="1"/>
  <c r="AQ31" i="12"/>
  <c r="AZ33" i="12"/>
  <c r="H34" i="12" s="1"/>
  <c r="Y34" i="12" s="1"/>
  <c r="O40" i="9"/>
  <c r="O41" i="9" s="1"/>
  <c r="X39" i="9"/>
  <c r="B34" i="7"/>
  <c r="AI33" i="7"/>
  <c r="AJ33" i="7" s="1"/>
  <c r="H39" i="9"/>
  <c r="Y39" i="9" s="1"/>
  <c r="Y45" i="16" l="1"/>
  <c r="AP35" i="37"/>
  <c r="AO35" i="37"/>
  <c r="BL35" i="37"/>
  <c r="I36" i="37"/>
  <c r="J36" i="37" s="1"/>
  <c r="K36" i="37" s="1"/>
  <c r="L36" i="37" s="1"/>
  <c r="P44" i="1"/>
  <c r="C19" i="13"/>
  <c r="J44" i="1"/>
  <c r="K44" i="1" s="1"/>
  <c r="L44" i="1" s="1"/>
  <c r="S44" i="1"/>
  <c r="U44" i="1"/>
  <c r="V44" i="1"/>
  <c r="R44" i="1"/>
  <c r="AQ34" i="20"/>
  <c r="I45" i="1"/>
  <c r="D46" i="1"/>
  <c r="I46" i="1" s="1"/>
  <c r="C6" i="8" s="1"/>
  <c r="I35" i="27"/>
  <c r="AQ35" i="19"/>
  <c r="E46" i="19"/>
  <c r="V46" i="19"/>
  <c r="I51" i="19"/>
  <c r="L36" i="19"/>
  <c r="AD35" i="20"/>
  <c r="BA35" i="20"/>
  <c r="AA35" i="20"/>
  <c r="AB35" i="20" s="1"/>
  <c r="AC35" i="20" s="1"/>
  <c r="BK35" i="20"/>
  <c r="BD35" i="20"/>
  <c r="B36" i="20" s="1"/>
  <c r="BF35" i="20"/>
  <c r="D36" i="20" s="1"/>
  <c r="U36" i="20" s="1"/>
  <c r="BJ35" i="20"/>
  <c r="H36" i="20" s="1"/>
  <c r="Y36" i="20" s="1"/>
  <c r="BI35" i="20"/>
  <c r="G36" i="20" s="1"/>
  <c r="X36" i="20" s="1"/>
  <c r="BG35" i="20"/>
  <c r="E36" i="20" s="1"/>
  <c r="V36" i="20" s="1"/>
  <c r="AK35" i="20"/>
  <c r="AW35" i="20"/>
  <c r="AV35" i="20"/>
  <c r="AZ35" i="20"/>
  <c r="AJ35" i="20"/>
  <c r="AN35" i="20"/>
  <c r="AY35" i="20"/>
  <c r="AM35" i="20"/>
  <c r="AD36" i="19"/>
  <c r="AA36" i="19"/>
  <c r="AB36" i="19" s="1"/>
  <c r="AC36" i="19" s="1"/>
  <c r="AJ36" i="19"/>
  <c r="AK36" i="19"/>
  <c r="AM36" i="19"/>
  <c r="AN36" i="19"/>
  <c r="AH35" i="20"/>
  <c r="H46" i="19"/>
  <c r="Y46" i="19"/>
  <c r="AT35" i="20"/>
  <c r="G46" i="19"/>
  <c r="X46" i="19"/>
  <c r="I52" i="19"/>
  <c r="I55" i="19"/>
  <c r="BB35" i="21"/>
  <c r="AD35" i="21"/>
  <c r="BA35" i="21"/>
  <c r="BP35" i="21"/>
  <c r="AA35" i="21"/>
  <c r="AB35" i="21" s="1"/>
  <c r="AC35" i="21" s="1"/>
  <c r="BS35" i="21"/>
  <c r="BV35" i="21"/>
  <c r="AK35" i="21"/>
  <c r="AJ35" i="21"/>
  <c r="BU35" i="21"/>
  <c r="AN35" i="21"/>
  <c r="AM35" i="21"/>
  <c r="S37" i="19"/>
  <c r="I37" i="19"/>
  <c r="J37" i="19" s="1"/>
  <c r="K37" i="19" s="1"/>
  <c r="L37" i="19" s="1"/>
  <c r="I36" i="21"/>
  <c r="J36" i="21" s="1"/>
  <c r="K36" i="21" s="1"/>
  <c r="L36" i="21" s="1"/>
  <c r="S36" i="21"/>
  <c r="AH36" i="19"/>
  <c r="BO35" i="21"/>
  <c r="D46" i="19"/>
  <c r="U46" i="19"/>
  <c r="AP36" i="22"/>
  <c r="AO36" i="22"/>
  <c r="AH35" i="21"/>
  <c r="B38" i="22"/>
  <c r="Z37" i="22"/>
  <c r="Y43" i="1"/>
  <c r="I54" i="1"/>
  <c r="Y43" i="17"/>
  <c r="H44" i="17" s="1"/>
  <c r="Y44" i="17" s="1"/>
  <c r="H45" i="17" s="1"/>
  <c r="Y45" i="17" s="1"/>
  <c r="O46" i="17"/>
  <c r="O47" i="17"/>
  <c r="I36" i="17"/>
  <c r="J36" i="17" s="1"/>
  <c r="AA35" i="17"/>
  <c r="AB35" i="17" s="1"/>
  <c r="AC35" i="17" s="1"/>
  <c r="AD35" i="17"/>
  <c r="AK35" i="17"/>
  <c r="AM35" i="17"/>
  <c r="AJ35" i="17"/>
  <c r="AN35" i="17"/>
  <c r="Y36" i="4"/>
  <c r="X42" i="1"/>
  <c r="W42" i="1"/>
  <c r="O42" i="9"/>
  <c r="O43" i="9" s="1"/>
  <c r="O44" i="9" s="1"/>
  <c r="X41" i="9"/>
  <c r="AH32" i="10"/>
  <c r="Y40" i="1"/>
  <c r="X33" i="7"/>
  <c r="AQ32" i="9"/>
  <c r="AQ31" i="10"/>
  <c r="W33" i="7"/>
  <c r="I34" i="7"/>
  <c r="P34" i="7" s="1"/>
  <c r="AB34" i="7"/>
  <c r="AL37" i="4"/>
  <c r="B38" i="4" s="1"/>
  <c r="I37" i="4"/>
  <c r="AH37" i="4" s="1"/>
  <c r="E40" i="9"/>
  <c r="V40" i="9" s="1"/>
  <c r="E41" i="9" s="1"/>
  <c r="V41" i="9" s="1"/>
  <c r="BV32" i="12"/>
  <c r="BP32" i="12"/>
  <c r="AA32" i="12"/>
  <c r="AB32" i="12" s="1"/>
  <c r="AC32" i="12" s="1"/>
  <c r="BS32" i="12"/>
  <c r="AD32" i="12"/>
  <c r="BA32" i="12"/>
  <c r="BB32" i="12"/>
  <c r="AK32" i="12"/>
  <c r="AM32" i="12"/>
  <c r="AN32" i="12"/>
  <c r="AJ32" i="12"/>
  <c r="BU32" i="12"/>
  <c r="AW34" i="12"/>
  <c r="E35" i="12" s="1"/>
  <c r="V35" i="12" s="1"/>
  <c r="AO37" i="4"/>
  <c r="E38" i="4" s="1"/>
  <c r="AT36" i="4"/>
  <c r="AD33" i="9"/>
  <c r="AA33" i="9"/>
  <c r="AB33" i="9" s="1"/>
  <c r="AC33" i="9" s="1"/>
  <c r="AK33" i="9"/>
  <c r="AN33" i="9"/>
  <c r="AM33" i="9"/>
  <c r="AJ33" i="9"/>
  <c r="I33" i="12"/>
  <c r="S33" i="12"/>
  <c r="D40" i="9"/>
  <c r="U40" i="9" s="1"/>
  <c r="D41" i="9" s="1"/>
  <c r="U41" i="9" s="1"/>
  <c r="AV34" i="12"/>
  <c r="D35" i="12" s="1"/>
  <c r="U35" i="12" s="1"/>
  <c r="AZ34" i="12"/>
  <c r="H35" i="12" s="1"/>
  <c r="Y35" i="12" s="1"/>
  <c r="AR37" i="4"/>
  <c r="H38" i="4" s="1"/>
  <c r="H40" i="9"/>
  <c r="Y40" i="9" s="1"/>
  <c r="H41" i="9" s="1"/>
  <c r="Y41" i="9" s="1"/>
  <c r="AN37" i="4"/>
  <c r="D38" i="4" s="1"/>
  <c r="S34" i="9"/>
  <c r="I34" i="9"/>
  <c r="J34" i="9" s="1"/>
  <c r="K34" i="9" s="1"/>
  <c r="L34" i="9" s="1"/>
  <c r="I51" i="4"/>
  <c r="B11" i="8" s="1"/>
  <c r="L36" i="4"/>
  <c r="AH32" i="12"/>
  <c r="AY34" i="12"/>
  <c r="G35" i="12" s="1"/>
  <c r="X35" i="12" s="1"/>
  <c r="X40" i="9"/>
  <c r="AQ37" i="4"/>
  <c r="G38" i="4" s="1"/>
  <c r="U37" i="4"/>
  <c r="H10" i="8"/>
  <c r="BO32" i="12"/>
  <c r="BK32" i="10"/>
  <c r="BA32" i="10"/>
  <c r="AD32" i="10"/>
  <c r="AA32" i="10"/>
  <c r="BJ32" i="10"/>
  <c r="H33" i="10" s="1"/>
  <c r="Y33" i="10" s="1"/>
  <c r="BF32" i="10"/>
  <c r="D33" i="10" s="1"/>
  <c r="U33" i="10" s="1"/>
  <c r="BI32" i="10"/>
  <c r="G33" i="10" s="1"/>
  <c r="X33" i="10" s="1"/>
  <c r="BD32" i="10"/>
  <c r="B33" i="10" s="1"/>
  <c r="BG32" i="10"/>
  <c r="E33" i="10" s="1"/>
  <c r="V33" i="10" s="1"/>
  <c r="AV32" i="10"/>
  <c r="AY32" i="10"/>
  <c r="AN32" i="10"/>
  <c r="AK32" i="10"/>
  <c r="AJ32" i="10"/>
  <c r="AM32" i="10"/>
  <c r="AZ32" i="10"/>
  <c r="AW32" i="10"/>
  <c r="AQ35" i="37" l="1"/>
  <c r="Z36" i="37"/>
  <c r="I52" i="1"/>
  <c r="O45" i="9"/>
  <c r="X45" i="9" s="1"/>
  <c r="X44" i="9"/>
  <c r="AQ36" i="22"/>
  <c r="W44" i="1"/>
  <c r="Y44" i="1" s="1"/>
  <c r="X44" i="1"/>
  <c r="I47" i="1"/>
  <c r="C7" i="8" s="1"/>
  <c r="V45" i="1"/>
  <c r="C13" i="8" s="1"/>
  <c r="C20" i="13"/>
  <c r="J45" i="1"/>
  <c r="K45" i="1" s="1"/>
  <c r="L45" i="1" s="1"/>
  <c r="I48" i="1" s="1"/>
  <c r="C8" i="8" s="1"/>
  <c r="S45" i="1"/>
  <c r="U45" i="1"/>
  <c r="P45" i="1"/>
  <c r="I53" i="1"/>
  <c r="AB35" i="27"/>
  <c r="R45" i="1"/>
  <c r="P35" i="27"/>
  <c r="AS35" i="27"/>
  <c r="AI35" i="27"/>
  <c r="J35" i="27"/>
  <c r="K35" i="27" s="1"/>
  <c r="L35" i="27" s="1"/>
  <c r="R35" i="27"/>
  <c r="AH35" i="27"/>
  <c r="V35" i="27"/>
  <c r="U35" i="27"/>
  <c r="AD35" i="27"/>
  <c r="S35" i="27"/>
  <c r="AG35" i="27"/>
  <c r="AE35" i="27"/>
  <c r="AO36" i="19"/>
  <c r="AP36" i="19"/>
  <c r="Z36" i="21"/>
  <c r="AH36" i="21" s="1"/>
  <c r="AP35" i="20"/>
  <c r="AO35" i="20"/>
  <c r="I38" i="22"/>
  <c r="J38" i="22" s="1"/>
  <c r="K38" i="22" s="1"/>
  <c r="L38" i="22" s="1"/>
  <c r="S38" i="22"/>
  <c r="AP35" i="21"/>
  <c r="AO35" i="21"/>
  <c r="B38" i="19"/>
  <c r="Z37" i="19"/>
  <c r="AH37" i="19" s="1"/>
  <c r="S36" i="20"/>
  <c r="I36" i="20"/>
  <c r="J36" i="20" s="1"/>
  <c r="K36" i="20" s="1"/>
  <c r="L36" i="20" s="1"/>
  <c r="AD37" i="22"/>
  <c r="AA37" i="22"/>
  <c r="AB37" i="22" s="1"/>
  <c r="AC37" i="22" s="1"/>
  <c r="AH37" i="22"/>
  <c r="BL35" i="20"/>
  <c r="I49" i="1"/>
  <c r="C9" i="8" s="1"/>
  <c r="J33" i="12"/>
  <c r="K33" i="12" s="1"/>
  <c r="L33" i="12" s="1"/>
  <c r="X43" i="9"/>
  <c r="AP35" i="17"/>
  <c r="AO35" i="17"/>
  <c r="E46" i="17"/>
  <c r="V46" i="17"/>
  <c r="I50" i="17"/>
  <c r="K36" i="17"/>
  <c r="Y46" i="17"/>
  <c r="H46" i="17"/>
  <c r="I52" i="17"/>
  <c r="I55" i="17"/>
  <c r="Z36" i="17"/>
  <c r="AH36" i="17" s="1"/>
  <c r="B37" i="17"/>
  <c r="S37" i="17" s="1"/>
  <c r="Y42" i="1"/>
  <c r="X42" i="9"/>
  <c r="O47" i="9"/>
  <c r="I55" i="9" s="1"/>
  <c r="AB32" i="10"/>
  <c r="AC32" i="10" s="1"/>
  <c r="AE37" i="4"/>
  <c r="D42" i="9"/>
  <c r="U42" i="9" s="1"/>
  <c r="D43" i="9" s="1"/>
  <c r="U43" i="9" s="1"/>
  <c r="D44" i="9" s="1"/>
  <c r="U44" i="9" s="1"/>
  <c r="E42" i="9"/>
  <c r="V42" i="9" s="1"/>
  <c r="E43" i="9" s="1"/>
  <c r="V43" i="9" s="1"/>
  <c r="E44" i="9" s="1"/>
  <c r="V44" i="9" s="1"/>
  <c r="H42" i="9"/>
  <c r="Y42" i="9" s="1"/>
  <c r="H43" i="9" s="1"/>
  <c r="Y43" i="9" s="1"/>
  <c r="H44" i="9" s="1"/>
  <c r="Y44" i="9" s="1"/>
  <c r="Y33" i="7"/>
  <c r="P37" i="4"/>
  <c r="AD37" i="4"/>
  <c r="S37" i="4"/>
  <c r="R37" i="4"/>
  <c r="V37" i="4"/>
  <c r="AB37" i="4"/>
  <c r="AG37" i="4"/>
  <c r="AP32" i="10"/>
  <c r="AP33" i="9"/>
  <c r="AO33" i="9"/>
  <c r="BI33" i="10"/>
  <c r="G34" i="10" s="1"/>
  <c r="X34" i="10" s="1"/>
  <c r="AY35" i="12"/>
  <c r="G36" i="12" s="1"/>
  <c r="X36" i="12" s="1"/>
  <c r="H11" i="8"/>
  <c r="AW35" i="12"/>
  <c r="E36" i="12" s="1"/>
  <c r="V36" i="12" s="1"/>
  <c r="BF33" i="10"/>
  <c r="D34" i="10" s="1"/>
  <c r="U34" i="10" s="1"/>
  <c r="AZ35" i="12"/>
  <c r="H36" i="12" s="1"/>
  <c r="Y36" i="12" s="1"/>
  <c r="B12" i="13"/>
  <c r="J37" i="4"/>
  <c r="K37" i="4" s="1"/>
  <c r="L37" i="4" s="1"/>
  <c r="AS37" i="4"/>
  <c r="AT37" i="4" s="1"/>
  <c r="AI37" i="4"/>
  <c r="B35" i="7"/>
  <c r="AI34" i="7"/>
  <c r="AJ34" i="7" s="1"/>
  <c r="AV35" i="12"/>
  <c r="D36" i="12" s="1"/>
  <c r="U36" i="12" s="1"/>
  <c r="BG33" i="10"/>
  <c r="E34" i="10" s="1"/>
  <c r="V34" i="10" s="1"/>
  <c r="BJ33" i="10"/>
  <c r="H34" i="10" s="1"/>
  <c r="Y34" i="10" s="1"/>
  <c r="AO32" i="10"/>
  <c r="AP32" i="12"/>
  <c r="AO32" i="12"/>
  <c r="B35" i="9"/>
  <c r="Z34" i="9"/>
  <c r="AH34" i="9" s="1"/>
  <c r="S33" i="10"/>
  <c r="I33" i="10"/>
  <c r="J33" i="10" s="1"/>
  <c r="K33" i="10" s="1"/>
  <c r="L33" i="10" s="1"/>
  <c r="BL32" i="10"/>
  <c r="AT33" i="12"/>
  <c r="B34" i="12" s="1"/>
  <c r="Z33" i="12"/>
  <c r="AH33" i="12" s="1"/>
  <c r="I38" i="4"/>
  <c r="D9" i="13"/>
  <c r="J34" i="7"/>
  <c r="K34" i="7" s="1"/>
  <c r="L34" i="7" s="1"/>
  <c r="V34" i="7"/>
  <c r="U34" i="7"/>
  <c r="S34" i="7"/>
  <c r="R34" i="7"/>
  <c r="BJ36" i="37" l="1"/>
  <c r="BD36" i="37"/>
  <c r="AH36" i="37"/>
  <c r="AZ36" i="37"/>
  <c r="AT36" i="37"/>
  <c r="BK36" i="37"/>
  <c r="AD36" i="37"/>
  <c r="AA36" i="37"/>
  <c r="BA36" i="37"/>
  <c r="B37" i="37"/>
  <c r="S37" i="37" s="1"/>
  <c r="H37" i="37"/>
  <c r="Y37" i="37" s="1"/>
  <c r="AN36" i="37"/>
  <c r="W45" i="1"/>
  <c r="X45" i="1"/>
  <c r="E45" i="9"/>
  <c r="V45" i="9" s="1"/>
  <c r="C12" i="8"/>
  <c r="C14" i="8" s="1"/>
  <c r="H45" i="9"/>
  <c r="Y45" i="9" s="1"/>
  <c r="D45" i="9"/>
  <c r="U45" i="9" s="1"/>
  <c r="AR35" i="27"/>
  <c r="H36" i="27" s="1"/>
  <c r="AL35" i="27"/>
  <c r="W35" i="27"/>
  <c r="X35" i="27"/>
  <c r="AQ35" i="21"/>
  <c r="AO37" i="22"/>
  <c r="AP37" i="22"/>
  <c r="BO36" i="21"/>
  <c r="Z38" i="22"/>
  <c r="AH38" i="22" s="1"/>
  <c r="B39" i="22"/>
  <c r="Z36" i="20"/>
  <c r="AH36" i="20" s="1"/>
  <c r="AA36" i="21"/>
  <c r="BP36" i="21"/>
  <c r="AZ36" i="21"/>
  <c r="H37" i="21" s="1"/>
  <c r="BA36" i="21"/>
  <c r="BS36" i="21"/>
  <c r="BV36" i="21"/>
  <c r="AD36" i="21"/>
  <c r="AN36" i="21"/>
  <c r="AM36" i="21"/>
  <c r="AK36" i="21"/>
  <c r="AJ36" i="21"/>
  <c r="BU36" i="21"/>
  <c r="AD37" i="19"/>
  <c r="AA37" i="19"/>
  <c r="AB37" i="19" s="1"/>
  <c r="AC37" i="19" s="1"/>
  <c r="AM37" i="19"/>
  <c r="AJ37" i="19"/>
  <c r="AK37" i="19"/>
  <c r="AN37" i="19"/>
  <c r="S38" i="19"/>
  <c r="I38" i="19"/>
  <c r="J38" i="19" s="1"/>
  <c r="K38" i="19" s="1"/>
  <c r="L38" i="19" s="1"/>
  <c r="AQ36" i="19"/>
  <c r="AQ35" i="20"/>
  <c r="E46" i="9"/>
  <c r="O46" i="9"/>
  <c r="AQ35" i="17"/>
  <c r="I37" i="17"/>
  <c r="J37" i="17" s="1"/>
  <c r="K37" i="17" s="1"/>
  <c r="L37" i="17" s="1"/>
  <c r="G46" i="17"/>
  <c r="X46" i="17"/>
  <c r="AA36" i="17"/>
  <c r="AB36" i="17" s="1"/>
  <c r="AC36" i="17" s="1"/>
  <c r="AD36" i="17"/>
  <c r="AM36" i="17"/>
  <c r="AJ36" i="17"/>
  <c r="AN36" i="17"/>
  <c r="AK36" i="17"/>
  <c r="D46" i="17"/>
  <c r="U46" i="17"/>
  <c r="I51" i="17"/>
  <c r="L36" i="17"/>
  <c r="I52" i="9"/>
  <c r="C25" i="8" s="1"/>
  <c r="G25" i="8" s="1"/>
  <c r="AQ32" i="10"/>
  <c r="AQ33" i="9"/>
  <c r="W37" i="4"/>
  <c r="X37" i="4"/>
  <c r="X34" i="7"/>
  <c r="BO33" i="12"/>
  <c r="J38" i="4"/>
  <c r="K38" i="4" s="1"/>
  <c r="L38" i="4" s="1"/>
  <c r="AS38" i="4"/>
  <c r="B13" i="13"/>
  <c r="AI38" i="4"/>
  <c r="AG38" i="4"/>
  <c r="BJ34" i="10"/>
  <c r="H35" i="10" s="1"/>
  <c r="Y35" i="10" s="1"/>
  <c r="AB35" i="7"/>
  <c r="I35" i="7"/>
  <c r="P35" i="7" s="1"/>
  <c r="V38" i="4"/>
  <c r="W34" i="7"/>
  <c r="AQ32" i="12"/>
  <c r="U38" i="4"/>
  <c r="AH38" i="4"/>
  <c r="BI34" i="10"/>
  <c r="G35" i="10" s="1"/>
  <c r="X35" i="10" s="1"/>
  <c r="AB38" i="4"/>
  <c r="BS33" i="12"/>
  <c r="AA33" i="12"/>
  <c r="AB33" i="12" s="1"/>
  <c r="AC33" i="12" s="1"/>
  <c r="BA33" i="12"/>
  <c r="BB33" i="12"/>
  <c r="BP33" i="12"/>
  <c r="AD33" i="12"/>
  <c r="BV33" i="12"/>
  <c r="AN33" i="12"/>
  <c r="AM33" i="12"/>
  <c r="AK33" i="12"/>
  <c r="BU33" i="12"/>
  <c r="AJ33" i="12"/>
  <c r="S38" i="4"/>
  <c r="AA34" i="9"/>
  <c r="AB34" i="9" s="1"/>
  <c r="AC34" i="9" s="1"/>
  <c r="AD34" i="9"/>
  <c r="AN34" i="9"/>
  <c r="AK34" i="9"/>
  <c r="AM34" i="9"/>
  <c r="AJ34" i="9"/>
  <c r="AD38" i="4"/>
  <c r="P38" i="4"/>
  <c r="I34" i="12"/>
  <c r="S34" i="12"/>
  <c r="Z33" i="10"/>
  <c r="AT33" i="10" s="1"/>
  <c r="BD33" i="10"/>
  <c r="B34" i="10" s="1"/>
  <c r="AE38" i="4"/>
  <c r="I35" i="9"/>
  <c r="J35" i="9" s="1"/>
  <c r="K35" i="9" s="1"/>
  <c r="L35" i="9" s="1"/>
  <c r="S35" i="9"/>
  <c r="BG34" i="10"/>
  <c r="E35" i="10" s="1"/>
  <c r="V35" i="10" s="1"/>
  <c r="R38" i="4"/>
  <c r="BF34" i="10"/>
  <c r="D35" i="10" s="1"/>
  <c r="U35" i="10" s="1"/>
  <c r="AO36" i="37" l="1"/>
  <c r="I37" i="37"/>
  <c r="J37" i="37" s="1"/>
  <c r="K37" i="37" s="1"/>
  <c r="L37" i="37" s="1"/>
  <c r="AB36" i="37"/>
  <c r="I50" i="37"/>
  <c r="BL36" i="37"/>
  <c r="AP36" i="37"/>
  <c r="AT36" i="20"/>
  <c r="Y35" i="27"/>
  <c r="Y45" i="1"/>
  <c r="B36" i="27"/>
  <c r="AT35" i="27"/>
  <c r="AO36" i="21"/>
  <c r="AO37" i="19"/>
  <c r="Y37" i="21"/>
  <c r="I37" i="21"/>
  <c r="J37" i="21" s="1"/>
  <c r="K37" i="21" s="1"/>
  <c r="L37" i="21" s="1"/>
  <c r="I50" i="21"/>
  <c r="AB36" i="21"/>
  <c r="AQ37" i="22"/>
  <c r="AP37" i="19"/>
  <c r="AQ37" i="19" s="1"/>
  <c r="AA38" i="22"/>
  <c r="AB38" i="22" s="1"/>
  <c r="AC38" i="22" s="1"/>
  <c r="AD38" i="22"/>
  <c r="AP36" i="21"/>
  <c r="AQ36" i="21" s="1"/>
  <c r="BB36" i="21"/>
  <c r="AA36" i="20"/>
  <c r="BA36" i="20"/>
  <c r="BK36" i="20"/>
  <c r="AD36" i="20"/>
  <c r="BF36" i="20"/>
  <c r="D37" i="20" s="1"/>
  <c r="U37" i="20" s="1"/>
  <c r="BD36" i="20"/>
  <c r="B37" i="20" s="1"/>
  <c r="BI36" i="20"/>
  <c r="G37" i="20" s="1"/>
  <c r="X37" i="20" s="1"/>
  <c r="BG36" i="20"/>
  <c r="E37" i="20" s="1"/>
  <c r="V37" i="20" s="1"/>
  <c r="BJ36" i="20"/>
  <c r="H37" i="20" s="1"/>
  <c r="Y37" i="20" s="1"/>
  <c r="AM36" i="20"/>
  <c r="AW36" i="20"/>
  <c r="AZ36" i="20"/>
  <c r="AY36" i="20"/>
  <c r="AN36" i="20"/>
  <c r="AV36" i="20"/>
  <c r="AJ36" i="20"/>
  <c r="AK36" i="20"/>
  <c r="B39" i="19"/>
  <c r="Z38" i="19"/>
  <c r="I39" i="22"/>
  <c r="J39" i="22" s="1"/>
  <c r="K39" i="22" s="1"/>
  <c r="L39" i="22" s="1"/>
  <c r="S39" i="22"/>
  <c r="V46" i="9"/>
  <c r="U46" i="9"/>
  <c r="X46" i="9"/>
  <c r="J34" i="12"/>
  <c r="K34" i="12" s="1"/>
  <c r="L34" i="12" s="1"/>
  <c r="D46" i="9"/>
  <c r="AP36" i="17"/>
  <c r="Z37" i="17"/>
  <c r="AH37" i="17" s="1"/>
  <c r="B38" i="17"/>
  <c r="S38" i="17" s="1"/>
  <c r="AO36" i="17"/>
  <c r="Y37" i="4"/>
  <c r="H46" i="9"/>
  <c r="Y46" i="9"/>
  <c r="Y34" i="7"/>
  <c r="AP34" i="9"/>
  <c r="AO33" i="12"/>
  <c r="AO34" i="9"/>
  <c r="B36" i="9"/>
  <c r="Z35" i="9"/>
  <c r="I34" i="10"/>
  <c r="J34" i="10" s="1"/>
  <c r="K34" i="10" s="1"/>
  <c r="L34" i="10" s="1"/>
  <c r="S34" i="10"/>
  <c r="AN38" i="4"/>
  <c r="D39" i="4" s="1"/>
  <c r="AO38" i="4"/>
  <c r="E39" i="4" s="1"/>
  <c r="AR38" i="4"/>
  <c r="H39" i="4" s="1"/>
  <c r="AQ38" i="4"/>
  <c r="G39" i="4" s="1"/>
  <c r="AL38" i="4"/>
  <c r="B39" i="4" s="1"/>
  <c r="X38" i="4"/>
  <c r="W38" i="4"/>
  <c r="AI35" i="7"/>
  <c r="AJ35" i="7" s="1"/>
  <c r="B36" i="7"/>
  <c r="AA33" i="10"/>
  <c r="AB33" i="10" s="1"/>
  <c r="AC33" i="10" s="1"/>
  <c r="BL33" i="10"/>
  <c r="BA33" i="10"/>
  <c r="BK33" i="10"/>
  <c r="AD33" i="10"/>
  <c r="AZ33" i="10"/>
  <c r="AM33" i="10"/>
  <c r="AW33" i="10"/>
  <c r="AN33" i="10"/>
  <c r="AV33" i="10"/>
  <c r="AK33" i="10"/>
  <c r="AY33" i="10"/>
  <c r="AJ33" i="10"/>
  <c r="AP33" i="12"/>
  <c r="AH33" i="10"/>
  <c r="AT34" i="12"/>
  <c r="B35" i="12" s="1"/>
  <c r="Z34" i="12"/>
  <c r="AH34" i="12" s="1"/>
  <c r="D10" i="13"/>
  <c r="J35" i="7"/>
  <c r="K35" i="7" s="1"/>
  <c r="L35" i="7" s="1"/>
  <c r="R35" i="7"/>
  <c r="V35" i="7"/>
  <c r="S35" i="7"/>
  <c r="U35" i="7"/>
  <c r="AQ36" i="37" l="1"/>
  <c r="Z37" i="37"/>
  <c r="AC36" i="37"/>
  <c r="I51" i="37"/>
  <c r="I36" i="27"/>
  <c r="AB36" i="27"/>
  <c r="AO38" i="22"/>
  <c r="AO36" i="20"/>
  <c r="AD38" i="19"/>
  <c r="AA38" i="19"/>
  <c r="AB38" i="19" s="1"/>
  <c r="AC38" i="19" s="1"/>
  <c r="AK38" i="19"/>
  <c r="AM38" i="19"/>
  <c r="AJ38" i="19"/>
  <c r="AN38" i="19"/>
  <c r="AH38" i="19"/>
  <c r="S39" i="19"/>
  <c r="I39" i="19"/>
  <c r="J39" i="19" s="1"/>
  <c r="K39" i="19" s="1"/>
  <c r="L39" i="19" s="1"/>
  <c r="Z37" i="21"/>
  <c r="BU37" i="21" s="1"/>
  <c r="BJ37" i="20"/>
  <c r="H38" i="20" s="1"/>
  <c r="Y38" i="20" s="1"/>
  <c r="BL36" i="20"/>
  <c r="AP38" i="22"/>
  <c r="BG37" i="20"/>
  <c r="E38" i="20" s="1"/>
  <c r="V38" i="20" s="1"/>
  <c r="I50" i="20"/>
  <c r="AB36" i="20"/>
  <c r="BI37" i="20"/>
  <c r="G38" i="20" s="1"/>
  <c r="X38" i="20" s="1"/>
  <c r="AP36" i="20"/>
  <c r="Z39" i="22"/>
  <c r="AH39" i="22" s="1"/>
  <c r="B40" i="22"/>
  <c r="I37" i="20"/>
  <c r="J37" i="20" s="1"/>
  <c r="K37" i="20" s="1"/>
  <c r="L37" i="20" s="1"/>
  <c r="S37" i="20"/>
  <c r="BF37" i="20"/>
  <c r="D38" i="20" s="1"/>
  <c r="U38" i="20" s="1"/>
  <c r="I51" i="21"/>
  <c r="AC36" i="21"/>
  <c r="AQ36" i="17"/>
  <c r="G46" i="9"/>
  <c r="I38" i="17"/>
  <c r="J38" i="17" s="1"/>
  <c r="K38" i="17" s="1"/>
  <c r="L38" i="17" s="1"/>
  <c r="AA37" i="17"/>
  <c r="AB37" i="17" s="1"/>
  <c r="AC37" i="17" s="1"/>
  <c r="AD37" i="17"/>
  <c r="AN37" i="17"/>
  <c r="AK37" i="17"/>
  <c r="AJ37" i="17"/>
  <c r="AM37" i="17"/>
  <c r="AQ33" i="12"/>
  <c r="AQ34" i="9"/>
  <c r="BO34" i="12"/>
  <c r="X35" i="7"/>
  <c r="Y38" i="4"/>
  <c r="I36" i="7"/>
  <c r="AR39" i="4"/>
  <c r="H40" i="4" s="1"/>
  <c r="W35" i="7"/>
  <c r="AA35" i="9"/>
  <c r="AB35" i="9" s="1"/>
  <c r="AC35" i="9" s="1"/>
  <c r="AD35" i="9"/>
  <c r="AM35" i="9"/>
  <c r="AJ35" i="9"/>
  <c r="AN35" i="9"/>
  <c r="AK35" i="9"/>
  <c r="I35" i="12"/>
  <c r="J35" i="12" s="1"/>
  <c r="K35" i="12" s="1"/>
  <c r="L35" i="12" s="1"/>
  <c r="S35" i="12"/>
  <c r="AO39" i="4"/>
  <c r="E40" i="4" s="1"/>
  <c r="AH35" i="9"/>
  <c r="AL39" i="4"/>
  <c r="B40" i="4" s="1"/>
  <c r="I39" i="4"/>
  <c r="S39" i="4" s="1"/>
  <c r="AN39" i="4"/>
  <c r="D40" i="4" s="1"/>
  <c r="Z34" i="10"/>
  <c r="BD34" i="10"/>
  <c r="B35" i="10" s="1"/>
  <c r="S36" i="9"/>
  <c r="I36" i="9"/>
  <c r="J36" i="9" s="1"/>
  <c r="BV34" i="12"/>
  <c r="BB34" i="12"/>
  <c r="BA34" i="12"/>
  <c r="BP34" i="12"/>
  <c r="BS34" i="12"/>
  <c r="AA34" i="12"/>
  <c r="AB34" i="12" s="1"/>
  <c r="AC34" i="12" s="1"/>
  <c r="AD34" i="12"/>
  <c r="AK34" i="12"/>
  <c r="AJ34" i="12"/>
  <c r="BU34" i="12"/>
  <c r="AM34" i="12"/>
  <c r="AN34" i="12"/>
  <c r="AO33" i="10"/>
  <c r="AP33" i="10"/>
  <c r="AQ39" i="4"/>
  <c r="G40" i="4" s="1"/>
  <c r="AT38" i="4"/>
  <c r="BJ37" i="37" l="1"/>
  <c r="H38" i="37" s="1"/>
  <c r="Y38" i="37" s="1"/>
  <c r="BD37" i="37"/>
  <c r="B38" i="37" s="1"/>
  <c r="S38" i="37" s="1"/>
  <c r="AT37" i="37"/>
  <c r="AZ37" i="37"/>
  <c r="BL37" i="37"/>
  <c r="BA37" i="37"/>
  <c r="AD37" i="37"/>
  <c r="BK37" i="37"/>
  <c r="AA37" i="37"/>
  <c r="AB37" i="37" s="1"/>
  <c r="AC37" i="37" s="1"/>
  <c r="AN37" i="37"/>
  <c r="AH37" i="37"/>
  <c r="I38" i="37"/>
  <c r="J38" i="37" s="1"/>
  <c r="K38" i="37" s="1"/>
  <c r="L38" i="37" s="1"/>
  <c r="AQ36" i="20"/>
  <c r="AQ38" i="22"/>
  <c r="AD36" i="27"/>
  <c r="S36" i="27"/>
  <c r="AS36" i="27"/>
  <c r="R36" i="27"/>
  <c r="X36" i="27" s="1"/>
  <c r="J36" i="27"/>
  <c r="AE36" i="27"/>
  <c r="AG36" i="27"/>
  <c r="AI36" i="27"/>
  <c r="U36" i="27"/>
  <c r="V36" i="27"/>
  <c r="AH36" i="27"/>
  <c r="P36" i="27"/>
  <c r="W36" i="27" s="1"/>
  <c r="AN37" i="21"/>
  <c r="I51" i="20"/>
  <c r="AC36" i="20"/>
  <c r="S40" i="22"/>
  <c r="I40" i="22"/>
  <c r="J40" i="22" s="1"/>
  <c r="K40" i="22" s="1"/>
  <c r="L40" i="22" s="1"/>
  <c r="AD39" i="22"/>
  <c r="AA39" i="22"/>
  <c r="AB39" i="22" s="1"/>
  <c r="AC39" i="22" s="1"/>
  <c r="BP37" i="21"/>
  <c r="AV37" i="21"/>
  <c r="D38" i="21" s="1"/>
  <c r="U38" i="21" s="1"/>
  <c r="AK37" i="21"/>
  <c r="BV37" i="21"/>
  <c r="AY37" i="21"/>
  <c r="G38" i="21" s="1"/>
  <c r="X38" i="21" s="1"/>
  <c r="AM37" i="21"/>
  <c r="AW37" i="21"/>
  <c r="E38" i="21" s="1"/>
  <c r="V38" i="21" s="1"/>
  <c r="AJ37" i="21"/>
  <c r="AZ37" i="21"/>
  <c r="H38" i="21" s="1"/>
  <c r="Y38" i="21" s="1"/>
  <c r="AA37" i="21"/>
  <c r="AB37" i="21" s="1"/>
  <c r="AC37" i="21" s="1"/>
  <c r="BA37" i="21"/>
  <c r="AD37" i="21"/>
  <c r="AH37" i="21"/>
  <c r="BT37" i="21"/>
  <c r="BO37" i="21"/>
  <c r="AT37" i="21"/>
  <c r="B38" i="21" s="1"/>
  <c r="B40" i="19"/>
  <c r="Z39" i="19"/>
  <c r="AH39" i="19"/>
  <c r="Z37" i="20"/>
  <c r="AH37" i="20" s="1"/>
  <c r="AT37" i="20"/>
  <c r="BD37" i="20"/>
  <c r="B38" i="20" s="1"/>
  <c r="AO38" i="19"/>
  <c r="AP38" i="19"/>
  <c r="AP37" i="17"/>
  <c r="Z38" i="17"/>
  <c r="AH38" i="17" s="1"/>
  <c r="B39" i="17"/>
  <c r="S39" i="17" s="1"/>
  <c r="AO37" i="17"/>
  <c r="AB39" i="4"/>
  <c r="U39" i="4"/>
  <c r="AH39" i="4"/>
  <c r="P39" i="4"/>
  <c r="AG39" i="4"/>
  <c r="R39" i="4"/>
  <c r="Y35" i="7"/>
  <c r="AQ33" i="10"/>
  <c r="AP34" i="12"/>
  <c r="Z36" i="9"/>
  <c r="AH36" i="9" s="1"/>
  <c r="B37" i="9"/>
  <c r="BK34" i="10"/>
  <c r="BL34" i="10"/>
  <c r="AA34" i="10"/>
  <c r="AB34" i="10" s="1"/>
  <c r="AC34" i="10" s="1"/>
  <c r="BA34" i="10"/>
  <c r="AD34" i="10"/>
  <c r="AZ34" i="10"/>
  <c r="AM34" i="10"/>
  <c r="AK34" i="10"/>
  <c r="AJ34" i="10"/>
  <c r="AY34" i="10"/>
  <c r="AW34" i="10"/>
  <c r="AN34" i="10"/>
  <c r="AV34" i="10"/>
  <c r="AP35" i="9"/>
  <c r="AO35" i="9"/>
  <c r="Z35" i="12"/>
  <c r="BO35" i="12" s="1"/>
  <c r="AT35" i="12"/>
  <c r="B36" i="12" s="1"/>
  <c r="AH36" i="7"/>
  <c r="D11" i="13"/>
  <c r="J36" i="7"/>
  <c r="R36" i="7"/>
  <c r="S36" i="7"/>
  <c r="U36" i="7"/>
  <c r="V36" i="7"/>
  <c r="AT34" i="10"/>
  <c r="AN40" i="4"/>
  <c r="D41" i="4" s="1"/>
  <c r="B14" i="13"/>
  <c r="AI39" i="4"/>
  <c r="J39" i="4"/>
  <c r="K39" i="4" s="1"/>
  <c r="L39" i="4" s="1"/>
  <c r="AS39" i="4"/>
  <c r="AT39" i="4" s="1"/>
  <c r="AE39" i="4"/>
  <c r="V39" i="4"/>
  <c r="P36" i="7"/>
  <c r="AH34" i="10"/>
  <c r="AO34" i="12"/>
  <c r="AQ40" i="4"/>
  <c r="G41" i="4" s="1"/>
  <c r="K36" i="9"/>
  <c r="I50" i="9"/>
  <c r="C23" i="8" s="1"/>
  <c r="S35" i="10"/>
  <c r="I35" i="10"/>
  <c r="J35" i="10" s="1"/>
  <c r="K35" i="10" s="1"/>
  <c r="L35" i="10" s="1"/>
  <c r="AD39" i="4"/>
  <c r="AL40" i="4"/>
  <c r="B41" i="4" s="1"/>
  <c r="I40" i="4"/>
  <c r="AB40" i="4" s="1"/>
  <c r="AO40" i="4"/>
  <c r="E41" i="4" s="1"/>
  <c r="AR40" i="4"/>
  <c r="H41" i="4" s="1"/>
  <c r="Z38" i="37" l="1"/>
  <c r="AP37" i="37"/>
  <c r="AO37" i="37"/>
  <c r="AQ37" i="17"/>
  <c r="Y36" i="27"/>
  <c r="AR36" i="27"/>
  <c r="H37" i="27" s="1"/>
  <c r="AL36" i="27"/>
  <c r="AN36" i="27"/>
  <c r="D37" i="27" s="1"/>
  <c r="AO36" i="27"/>
  <c r="E37" i="27" s="1"/>
  <c r="AQ36" i="27"/>
  <c r="G37" i="27" s="1"/>
  <c r="I50" i="27"/>
  <c r="K36" i="27"/>
  <c r="AO39" i="22"/>
  <c r="BB37" i="21"/>
  <c r="AQ38" i="19"/>
  <c r="AA39" i="19"/>
  <c r="AB39" i="19" s="1"/>
  <c r="AC39" i="19" s="1"/>
  <c r="AD39" i="19"/>
  <c r="AM39" i="19"/>
  <c r="AN39" i="19"/>
  <c r="AJ39" i="19"/>
  <c r="AK39" i="19"/>
  <c r="S40" i="19"/>
  <c r="I40" i="19"/>
  <c r="J40" i="19" s="1"/>
  <c r="K40" i="19" s="1"/>
  <c r="L40" i="19" s="1"/>
  <c r="AV38" i="21"/>
  <c r="D39" i="21" s="1"/>
  <c r="U39" i="21" s="1"/>
  <c r="I38" i="21"/>
  <c r="J38" i="21" s="1"/>
  <c r="K38" i="21" s="1"/>
  <c r="L38" i="21" s="1"/>
  <c r="S38" i="21"/>
  <c r="AZ38" i="21"/>
  <c r="H39" i="21" s="1"/>
  <c r="Y39" i="21" s="1"/>
  <c r="B41" i="22"/>
  <c r="Z40" i="22"/>
  <c r="S38" i="20"/>
  <c r="I38" i="20"/>
  <c r="J38" i="20" s="1"/>
  <c r="K38" i="20" s="1"/>
  <c r="L38" i="20" s="1"/>
  <c r="AO37" i="21"/>
  <c r="AP37" i="21"/>
  <c r="AP39" i="22"/>
  <c r="AA37" i="20"/>
  <c r="AB37" i="20" s="1"/>
  <c r="AC37" i="20" s="1"/>
  <c r="BL37" i="20"/>
  <c r="BK37" i="20"/>
  <c r="AD37" i="20"/>
  <c r="BA37" i="20"/>
  <c r="AZ37" i="20"/>
  <c r="AM37" i="20"/>
  <c r="AV37" i="20"/>
  <c r="AY37" i="20"/>
  <c r="AJ37" i="20"/>
  <c r="AW37" i="20"/>
  <c r="AK37" i="20"/>
  <c r="AN37" i="20"/>
  <c r="AY38" i="21"/>
  <c r="G39" i="21" s="1"/>
  <c r="X39" i="21" s="1"/>
  <c r="AW38" i="21"/>
  <c r="E39" i="21" s="1"/>
  <c r="V39" i="21" s="1"/>
  <c r="I39" i="17"/>
  <c r="J39" i="17" s="1"/>
  <c r="K39" i="17" s="1"/>
  <c r="L39" i="17" s="1"/>
  <c r="AA38" i="17"/>
  <c r="AB38" i="17" s="1"/>
  <c r="AC38" i="17" s="1"/>
  <c r="AD38" i="17"/>
  <c r="AM38" i="17"/>
  <c r="AN38" i="17"/>
  <c r="AK38" i="17"/>
  <c r="AJ38" i="17"/>
  <c r="X39" i="4"/>
  <c r="AQ34" i="12"/>
  <c r="I41" i="4"/>
  <c r="AH41" i="4" s="1"/>
  <c r="S40" i="4"/>
  <c r="AH35" i="12"/>
  <c r="W39" i="4"/>
  <c r="AE40" i="4"/>
  <c r="AD40" i="4"/>
  <c r="AH40" i="4"/>
  <c r="AQ35" i="9"/>
  <c r="I51" i="9"/>
  <c r="C24" i="8" s="1"/>
  <c r="L36" i="9"/>
  <c r="AS40" i="4"/>
  <c r="AT40" i="4" s="1"/>
  <c r="B15" i="13"/>
  <c r="AI40" i="4"/>
  <c r="J40" i="4"/>
  <c r="K40" i="4" s="1"/>
  <c r="L40" i="4" s="1"/>
  <c r="AG40" i="4"/>
  <c r="AO34" i="10"/>
  <c r="AP34" i="10"/>
  <c r="R40" i="4"/>
  <c r="K36" i="7"/>
  <c r="I50" i="7"/>
  <c r="D10" i="8" s="1"/>
  <c r="I36" i="12"/>
  <c r="J36" i="12" s="1"/>
  <c r="K36" i="12" s="1"/>
  <c r="L36" i="12" s="1"/>
  <c r="S36" i="12"/>
  <c r="Z35" i="10"/>
  <c r="AH35" i="10" s="1"/>
  <c r="X36" i="7"/>
  <c r="W36" i="7"/>
  <c r="S37" i="9"/>
  <c r="I37" i="9"/>
  <c r="J37" i="9" s="1"/>
  <c r="K37" i="9" s="1"/>
  <c r="L37" i="9" s="1"/>
  <c r="V40" i="4"/>
  <c r="P40" i="4"/>
  <c r="U40" i="4"/>
  <c r="H37" i="7"/>
  <c r="AI36" i="7"/>
  <c r="AJ36" i="7" s="1"/>
  <c r="BS35" i="12"/>
  <c r="BV35" i="12"/>
  <c r="AD35" i="12"/>
  <c r="BA35" i="12"/>
  <c r="BP35" i="12"/>
  <c r="AA35" i="12"/>
  <c r="AB35" i="12" s="1"/>
  <c r="AC35" i="12" s="1"/>
  <c r="BB35" i="12"/>
  <c r="AK35" i="12"/>
  <c r="AM35" i="12"/>
  <c r="BU35" i="12"/>
  <c r="AN35" i="12"/>
  <c r="AJ35" i="12"/>
  <c r="AD36" i="9"/>
  <c r="AA36" i="9"/>
  <c r="AB36" i="9" s="1"/>
  <c r="AC36" i="9" s="1"/>
  <c r="AM36" i="9"/>
  <c r="AK36" i="9"/>
  <c r="AN36" i="9"/>
  <c r="AJ36" i="9"/>
  <c r="BJ38" i="37" l="1"/>
  <c r="BD38" i="37"/>
  <c r="B39" i="37" s="1"/>
  <c r="S39" i="37" s="1"/>
  <c r="AZ38" i="37"/>
  <c r="AT38" i="37"/>
  <c r="AQ37" i="37"/>
  <c r="BA38" i="37"/>
  <c r="AD38" i="37"/>
  <c r="BK38" i="37"/>
  <c r="AA38" i="37"/>
  <c r="AB38" i="37" s="1"/>
  <c r="AC38" i="37" s="1"/>
  <c r="H39" i="37"/>
  <c r="Y39" i="37" s="1"/>
  <c r="AN38" i="37"/>
  <c r="AH38" i="37"/>
  <c r="AQ39" i="22"/>
  <c r="AN37" i="27"/>
  <c r="D38" i="27" s="1"/>
  <c r="AO37" i="27"/>
  <c r="E38" i="27" s="1"/>
  <c r="B37" i="27"/>
  <c r="AT36" i="27"/>
  <c r="L36" i="27"/>
  <c r="I51" i="27"/>
  <c r="AQ37" i="27"/>
  <c r="G38" i="27" s="1"/>
  <c r="AO37" i="20"/>
  <c r="AO39" i="19"/>
  <c r="AP39" i="19"/>
  <c r="AW39" i="21"/>
  <c r="E40" i="21" s="1"/>
  <c r="V40" i="21" s="1"/>
  <c r="Z38" i="20"/>
  <c r="AT38" i="20" s="1"/>
  <c r="AV39" i="21"/>
  <c r="D40" i="21" s="1"/>
  <c r="U40" i="21" s="1"/>
  <c r="I41" i="22"/>
  <c r="J41" i="22" s="1"/>
  <c r="K41" i="22" s="1"/>
  <c r="L41" i="22" s="1"/>
  <c r="S41" i="22"/>
  <c r="B41" i="19"/>
  <c r="Z40" i="19"/>
  <c r="AD40" i="22"/>
  <c r="AA40" i="22"/>
  <c r="AB40" i="22" s="1"/>
  <c r="AC40" i="22" s="1"/>
  <c r="AH40" i="22"/>
  <c r="AY39" i="21"/>
  <c r="G40" i="21" s="1"/>
  <c r="X40" i="21" s="1"/>
  <c r="AZ39" i="21"/>
  <c r="H40" i="21" s="1"/>
  <c r="Y40" i="21" s="1"/>
  <c r="AP37" i="20"/>
  <c r="AQ37" i="20" s="1"/>
  <c r="Z38" i="21"/>
  <c r="AH38" i="21" s="1"/>
  <c r="BO38" i="21"/>
  <c r="AT38" i="21"/>
  <c r="B39" i="21" s="1"/>
  <c r="AQ37" i="21"/>
  <c r="AP38" i="17"/>
  <c r="Z39" i="17"/>
  <c r="AH39" i="17" s="1"/>
  <c r="B40" i="17"/>
  <c r="S40" i="17" s="1"/>
  <c r="AO38" i="17"/>
  <c r="AQ38" i="17" s="1"/>
  <c r="R41" i="4"/>
  <c r="AD41" i="4"/>
  <c r="U41" i="4"/>
  <c r="V41" i="4"/>
  <c r="Y39" i="4"/>
  <c r="J41" i="4"/>
  <c r="K41" i="4" s="1"/>
  <c r="L41" i="4" s="1"/>
  <c r="B16" i="13"/>
  <c r="AS41" i="4"/>
  <c r="AI41" i="4"/>
  <c r="AG41" i="4"/>
  <c r="P41" i="4"/>
  <c r="S41" i="4"/>
  <c r="AB41" i="4"/>
  <c r="AE41" i="4"/>
  <c r="AQ34" i="10"/>
  <c r="AO35" i="12"/>
  <c r="AP36" i="9"/>
  <c r="Y36" i="7"/>
  <c r="AO36" i="9"/>
  <c r="AP35" i="12"/>
  <c r="W40" i="4"/>
  <c r="X40" i="4"/>
  <c r="G10" i="8"/>
  <c r="F10" i="8"/>
  <c r="L36" i="7"/>
  <c r="I51" i="7"/>
  <c r="D11" i="8" s="1"/>
  <c r="I37" i="7"/>
  <c r="Z37" i="9"/>
  <c r="AH37" i="9" s="1"/>
  <c r="B38" i="9"/>
  <c r="AD35" i="10"/>
  <c r="BK35" i="10"/>
  <c r="AA35" i="10"/>
  <c r="AB35" i="10" s="1"/>
  <c r="AC35" i="10" s="1"/>
  <c r="BA35" i="10"/>
  <c r="BD35" i="10"/>
  <c r="B36" i="10" s="1"/>
  <c r="BG35" i="10"/>
  <c r="E36" i="10" s="1"/>
  <c r="V36" i="10" s="1"/>
  <c r="BJ35" i="10"/>
  <c r="H36" i="10" s="1"/>
  <c r="Y36" i="10" s="1"/>
  <c r="BF35" i="10"/>
  <c r="D36" i="10" s="1"/>
  <c r="U36" i="10" s="1"/>
  <c r="BI35" i="10"/>
  <c r="G36" i="10" s="1"/>
  <c r="X36" i="10" s="1"/>
  <c r="AN35" i="10"/>
  <c r="AZ35" i="10"/>
  <c r="AV35" i="10"/>
  <c r="AK35" i="10"/>
  <c r="AY35" i="10"/>
  <c r="AJ35" i="10"/>
  <c r="AW35" i="10"/>
  <c r="AM35" i="10"/>
  <c r="Z36" i="12"/>
  <c r="AH36" i="12" s="1"/>
  <c r="AT35" i="10"/>
  <c r="AP38" i="37" l="1"/>
  <c r="AO38" i="37"/>
  <c r="I39" i="37"/>
  <c r="J39" i="37" s="1"/>
  <c r="K39" i="37" s="1"/>
  <c r="L39" i="37" s="1"/>
  <c r="BL38" i="37"/>
  <c r="I37" i="27"/>
  <c r="AQ39" i="19"/>
  <c r="AA38" i="20"/>
  <c r="AB38" i="20" s="1"/>
  <c r="AC38" i="20" s="1"/>
  <c r="BK38" i="20"/>
  <c r="BA38" i="20"/>
  <c r="AD38" i="20"/>
  <c r="BF38" i="20"/>
  <c r="D39" i="20" s="1"/>
  <c r="U39" i="20" s="1"/>
  <c r="BD38" i="20"/>
  <c r="B39" i="20" s="1"/>
  <c r="BI38" i="20"/>
  <c r="G39" i="20" s="1"/>
  <c r="X39" i="20" s="1"/>
  <c r="BJ38" i="20"/>
  <c r="H39" i="20" s="1"/>
  <c r="Y39" i="20" s="1"/>
  <c r="BG38" i="20"/>
  <c r="E39" i="20" s="1"/>
  <c r="V39" i="20" s="1"/>
  <c r="AV38" i="20"/>
  <c r="AW38" i="20"/>
  <c r="AK38" i="20"/>
  <c r="AJ38" i="20"/>
  <c r="AY38" i="20"/>
  <c r="AM38" i="20"/>
  <c r="AN38" i="20"/>
  <c r="AZ38" i="20"/>
  <c r="AZ40" i="21"/>
  <c r="H41" i="21" s="1"/>
  <c r="Y41" i="21" s="1"/>
  <c r="AY40" i="21"/>
  <c r="G41" i="21" s="1"/>
  <c r="X41" i="21" s="1"/>
  <c r="AD40" i="19"/>
  <c r="AA40" i="19"/>
  <c r="AB40" i="19" s="1"/>
  <c r="AC40" i="19" s="1"/>
  <c r="AN40" i="19"/>
  <c r="AM40" i="19"/>
  <c r="AJ40" i="19"/>
  <c r="AK40" i="19"/>
  <c r="BV38" i="21"/>
  <c r="BB38" i="21"/>
  <c r="BA38" i="21"/>
  <c r="AD38" i="21"/>
  <c r="BP38" i="21"/>
  <c r="AA38" i="21"/>
  <c r="AB38" i="21" s="1"/>
  <c r="AC38" i="21" s="1"/>
  <c r="BU38" i="21"/>
  <c r="AM38" i="21"/>
  <c r="AN38" i="21"/>
  <c r="AK38" i="21"/>
  <c r="AJ38" i="21"/>
  <c r="AO38" i="21" s="1"/>
  <c r="BT38" i="21"/>
  <c r="AP40" i="22"/>
  <c r="AO40" i="22"/>
  <c r="AH40" i="19"/>
  <c r="I41" i="19"/>
  <c r="J41" i="19" s="1"/>
  <c r="K41" i="19" s="1"/>
  <c r="L41" i="19" s="1"/>
  <c r="S41" i="19"/>
  <c r="AH38" i="20"/>
  <c r="AW40" i="21"/>
  <c r="E41" i="21" s="1"/>
  <c r="V41" i="21" s="1"/>
  <c r="B42" i="22"/>
  <c r="Z41" i="22"/>
  <c r="I39" i="21"/>
  <c r="J39" i="21" s="1"/>
  <c r="K39" i="21" s="1"/>
  <c r="L39" i="21" s="1"/>
  <c r="S39" i="21"/>
  <c r="AV40" i="21"/>
  <c r="D41" i="21" s="1"/>
  <c r="U41" i="21" s="1"/>
  <c r="I40" i="17"/>
  <c r="J40" i="17" s="1"/>
  <c r="K40" i="17" s="1"/>
  <c r="L40" i="17" s="1"/>
  <c r="AA39" i="17"/>
  <c r="AB39" i="17" s="1"/>
  <c r="AC39" i="17" s="1"/>
  <c r="AD39" i="17"/>
  <c r="AJ39" i="17"/>
  <c r="AK39" i="17"/>
  <c r="AM39" i="17"/>
  <c r="AN39" i="17"/>
  <c r="AQ36" i="9"/>
  <c r="W41" i="4"/>
  <c r="X41" i="4"/>
  <c r="AO41" i="4"/>
  <c r="E42" i="4" s="1"/>
  <c r="AN41" i="4"/>
  <c r="AQ41" i="4"/>
  <c r="G42" i="4" s="1"/>
  <c r="AL41" i="4"/>
  <c r="B42" i="4" s="1"/>
  <c r="AR41" i="4"/>
  <c r="H42" i="4" s="1"/>
  <c r="AQ35" i="12"/>
  <c r="AP35" i="10"/>
  <c r="AO35" i="10"/>
  <c r="I36" i="10"/>
  <c r="J36" i="10" s="1"/>
  <c r="K36" i="10" s="1"/>
  <c r="L36" i="10" s="1"/>
  <c r="S36" i="10"/>
  <c r="BL35" i="10"/>
  <c r="D12" i="13"/>
  <c r="AD37" i="7"/>
  <c r="D38" i="7" s="1"/>
  <c r="AE37" i="7"/>
  <c r="E38" i="7" s="1"/>
  <c r="AG37" i="7"/>
  <c r="G38" i="7" s="1"/>
  <c r="J37" i="7"/>
  <c r="K37" i="7" s="1"/>
  <c r="L37" i="7" s="1"/>
  <c r="AH37" i="7"/>
  <c r="H38" i="7" s="1"/>
  <c r="AB37" i="7"/>
  <c r="P37" i="7"/>
  <c r="S37" i="7"/>
  <c r="U37" i="7"/>
  <c r="R37" i="7"/>
  <c r="BV36" i="12"/>
  <c r="AZ36" i="12"/>
  <c r="H37" i="12" s="1"/>
  <c r="BS36" i="12"/>
  <c r="BA36" i="12"/>
  <c r="AA36" i="12"/>
  <c r="AD36" i="12"/>
  <c r="BP36" i="12"/>
  <c r="AN36" i="12"/>
  <c r="AJ36" i="12"/>
  <c r="AM36" i="12"/>
  <c r="BU36" i="12"/>
  <c r="AK36" i="12"/>
  <c r="I38" i="9"/>
  <c r="J38" i="9" s="1"/>
  <c r="K38" i="9" s="1"/>
  <c r="L38" i="9" s="1"/>
  <c r="S38" i="9"/>
  <c r="V37" i="7"/>
  <c r="Y40" i="4"/>
  <c r="BO36" i="12"/>
  <c r="AA37" i="9"/>
  <c r="AB37" i="9" s="1"/>
  <c r="AC37" i="9" s="1"/>
  <c r="AD37" i="9"/>
  <c r="AM37" i="9"/>
  <c r="AJ37" i="9"/>
  <c r="AK37" i="9"/>
  <c r="AN37" i="9"/>
  <c r="G11" i="8"/>
  <c r="F11" i="8"/>
  <c r="AQ38" i="37" l="1"/>
  <c r="Z39" i="37"/>
  <c r="AQ40" i="22"/>
  <c r="AB37" i="27"/>
  <c r="AI37" i="27"/>
  <c r="J37" i="27"/>
  <c r="K37" i="27" s="1"/>
  <c r="L37" i="27" s="1"/>
  <c r="AS37" i="27"/>
  <c r="S37" i="27"/>
  <c r="U37" i="27"/>
  <c r="AH37" i="27"/>
  <c r="AD37" i="27"/>
  <c r="AE37" i="27"/>
  <c r="V37" i="27"/>
  <c r="R37" i="27"/>
  <c r="AG37" i="27"/>
  <c r="P37" i="27"/>
  <c r="S42" i="22"/>
  <c r="I42" i="22"/>
  <c r="J42" i="22" s="1"/>
  <c r="K42" i="22" s="1"/>
  <c r="L42" i="22" s="1"/>
  <c r="AZ41" i="21"/>
  <c r="H42" i="21" s="1"/>
  <c r="Y42" i="21" s="1"/>
  <c r="BI39" i="20"/>
  <c r="G40" i="20" s="1"/>
  <c r="X40" i="20" s="1"/>
  <c r="AP38" i="21"/>
  <c r="AQ38" i="21" s="1"/>
  <c r="B42" i="19"/>
  <c r="Z41" i="19"/>
  <c r="S39" i="20"/>
  <c r="I39" i="20"/>
  <c r="J39" i="20" s="1"/>
  <c r="K39" i="20" s="1"/>
  <c r="L39" i="20" s="1"/>
  <c r="AD41" i="22"/>
  <c r="AA41" i="22"/>
  <c r="AB41" i="22" s="1"/>
  <c r="AC41" i="22" s="1"/>
  <c r="AY41" i="21"/>
  <c r="G42" i="21" s="1"/>
  <c r="X42" i="21" s="1"/>
  <c r="BF39" i="20"/>
  <c r="D40" i="20" s="1"/>
  <c r="U40" i="20" s="1"/>
  <c r="AV41" i="21"/>
  <c r="D42" i="21" s="1"/>
  <c r="U42" i="21" s="1"/>
  <c r="BG39" i="20"/>
  <c r="E40" i="20" s="1"/>
  <c r="V40" i="20" s="1"/>
  <c r="AW41" i="21"/>
  <c r="E42" i="21" s="1"/>
  <c r="V42" i="21" s="1"/>
  <c r="BJ39" i="20"/>
  <c r="H40" i="20" s="1"/>
  <c r="Y40" i="20" s="1"/>
  <c r="AT39" i="21"/>
  <c r="B40" i="21" s="1"/>
  <c r="Z39" i="21"/>
  <c r="BO39" i="21"/>
  <c r="AO38" i="20"/>
  <c r="AP38" i="20"/>
  <c r="AH41" i="22"/>
  <c r="AP40" i="19"/>
  <c r="AO40" i="19"/>
  <c r="BL38" i="20"/>
  <c r="AP39" i="17"/>
  <c r="Z40" i="17"/>
  <c r="AH40" i="17" s="1"/>
  <c r="B41" i="17"/>
  <c r="S41" i="17" s="1"/>
  <c r="AO39" i="17"/>
  <c r="AR42" i="4"/>
  <c r="H43" i="4" s="1"/>
  <c r="AL42" i="4"/>
  <c r="B43" i="4" s="1"/>
  <c r="AQ42" i="4"/>
  <c r="G43" i="4" s="1"/>
  <c r="AT41" i="4"/>
  <c r="D42" i="4"/>
  <c r="I42" i="4" s="1"/>
  <c r="B17" i="13" s="1"/>
  <c r="AO42" i="4"/>
  <c r="E43" i="4" s="1"/>
  <c r="Y41" i="4"/>
  <c r="AQ35" i="10"/>
  <c r="AP37" i="9"/>
  <c r="AP36" i="12"/>
  <c r="X37" i="7"/>
  <c r="W37" i="7"/>
  <c r="AG38" i="7"/>
  <c r="G39" i="7" s="1"/>
  <c r="AO37" i="9"/>
  <c r="Y37" i="12"/>
  <c r="I37" i="12"/>
  <c r="J37" i="12" s="1"/>
  <c r="K37" i="12" s="1"/>
  <c r="L37" i="12" s="1"/>
  <c r="AI37" i="7"/>
  <c r="AJ37" i="7" s="1"/>
  <c r="B38" i="7"/>
  <c r="AE38" i="7"/>
  <c r="E39" i="7" s="1"/>
  <c r="Z38" i="9"/>
  <c r="AH38" i="9" s="1"/>
  <c r="B39" i="9"/>
  <c r="I50" i="12"/>
  <c r="D23" i="8" s="1"/>
  <c r="G23" i="8" s="1"/>
  <c r="AB36" i="12"/>
  <c r="AH38" i="7"/>
  <c r="H39" i="7" s="1"/>
  <c r="AD38" i="7"/>
  <c r="D39" i="7" s="1"/>
  <c r="AO36" i="12"/>
  <c r="BB36" i="12"/>
  <c r="Z36" i="10"/>
  <c r="AH36" i="10" s="1"/>
  <c r="BJ39" i="37" l="1"/>
  <c r="H40" i="37" s="1"/>
  <c r="Y40" i="37" s="1"/>
  <c r="BD39" i="37"/>
  <c r="B40" i="37" s="1"/>
  <c r="S40" i="37" s="1"/>
  <c r="AZ39" i="37"/>
  <c r="AT39" i="37"/>
  <c r="AD39" i="37"/>
  <c r="BL39" i="37"/>
  <c r="AA39" i="37"/>
  <c r="AB39" i="37" s="1"/>
  <c r="AC39" i="37" s="1"/>
  <c r="BK39" i="37"/>
  <c r="BA39" i="37"/>
  <c r="AN39" i="37"/>
  <c r="AH39" i="37"/>
  <c r="I40" i="37"/>
  <c r="J40" i="37" s="1"/>
  <c r="K40" i="37" s="1"/>
  <c r="L40" i="37" s="1"/>
  <c r="W37" i="27"/>
  <c r="Y37" i="27" s="1"/>
  <c r="X37" i="27"/>
  <c r="AR37" i="27"/>
  <c r="H38" i="27" s="1"/>
  <c r="AL37" i="27"/>
  <c r="AV42" i="21"/>
  <c r="D43" i="21" s="1"/>
  <c r="U43" i="21" s="1"/>
  <c r="AA41" i="19"/>
  <c r="AB41" i="19" s="1"/>
  <c r="AC41" i="19" s="1"/>
  <c r="AD41" i="19"/>
  <c r="AJ41" i="19"/>
  <c r="AM41" i="19"/>
  <c r="AN41" i="19"/>
  <c r="AK41" i="19"/>
  <c r="AP41" i="22"/>
  <c r="AO41" i="22"/>
  <c r="BJ40" i="20"/>
  <c r="H41" i="20" s="1"/>
  <c r="Y41" i="20" s="1"/>
  <c r="I42" i="19"/>
  <c r="J42" i="19" s="1"/>
  <c r="K42" i="19" s="1"/>
  <c r="L42" i="19" s="1"/>
  <c r="S42" i="19"/>
  <c r="Z42" i="22"/>
  <c r="B43" i="22"/>
  <c r="AH42" i="22"/>
  <c r="AQ38" i="20"/>
  <c r="BI40" i="20"/>
  <c r="G41" i="20" s="1"/>
  <c r="X41" i="20" s="1"/>
  <c r="AW42" i="21"/>
  <c r="E43" i="21" s="1"/>
  <c r="V43" i="21" s="1"/>
  <c r="BF40" i="20"/>
  <c r="D41" i="20" s="1"/>
  <c r="U41" i="20" s="1"/>
  <c r="BV39" i="21"/>
  <c r="BA39" i="21"/>
  <c r="AD39" i="21"/>
  <c r="BB39" i="21"/>
  <c r="AA39" i="21"/>
  <c r="AB39" i="21" s="1"/>
  <c r="AC39" i="21" s="1"/>
  <c r="AM39" i="21"/>
  <c r="BQ39" i="21"/>
  <c r="BU39" i="21"/>
  <c r="AK39" i="21"/>
  <c r="AN39" i="21"/>
  <c r="BT39" i="21"/>
  <c r="AJ39" i="21"/>
  <c r="BR39" i="21"/>
  <c r="AY42" i="21"/>
  <c r="G43" i="21" s="1"/>
  <c r="X43" i="21" s="1"/>
  <c r="I40" i="21"/>
  <c r="J40" i="21" s="1"/>
  <c r="K40" i="21" s="1"/>
  <c r="L40" i="21" s="1"/>
  <c r="S40" i="21"/>
  <c r="BG40" i="20"/>
  <c r="E41" i="20" s="1"/>
  <c r="V41" i="20" s="1"/>
  <c r="BD39" i="20"/>
  <c r="B40" i="20" s="1"/>
  <c r="Z39" i="20"/>
  <c r="AH39" i="20"/>
  <c r="AT39" i="20"/>
  <c r="AZ42" i="21"/>
  <c r="H43" i="21" s="1"/>
  <c r="Y43" i="21" s="1"/>
  <c r="AQ40" i="19"/>
  <c r="AH39" i="21"/>
  <c r="AH41" i="19"/>
  <c r="AQ39" i="17"/>
  <c r="I41" i="17"/>
  <c r="J41" i="17" s="1"/>
  <c r="K41" i="17" s="1"/>
  <c r="L41" i="17" s="1"/>
  <c r="AA40" i="17"/>
  <c r="AB40" i="17" s="1"/>
  <c r="AC40" i="17" s="1"/>
  <c r="AD40" i="17"/>
  <c r="AM40" i="17"/>
  <c r="AK40" i="17"/>
  <c r="AN40" i="17"/>
  <c r="AJ40" i="17"/>
  <c r="AL43" i="4"/>
  <c r="B44" i="4" s="1"/>
  <c r="AO43" i="4"/>
  <c r="E44" i="4" s="1"/>
  <c r="AQ43" i="4"/>
  <c r="G44" i="4" s="1"/>
  <c r="AR43" i="4"/>
  <c r="H44" i="4" s="1"/>
  <c r="U42" i="4"/>
  <c r="AE42" i="4"/>
  <c r="AB42" i="4"/>
  <c r="AG42" i="4"/>
  <c r="P42" i="4"/>
  <c r="S42" i="4"/>
  <c r="V42" i="4"/>
  <c r="R42" i="4"/>
  <c r="AI42" i="4"/>
  <c r="AS42" i="4"/>
  <c r="J42" i="4"/>
  <c r="K42" i="4" s="1"/>
  <c r="L42" i="4" s="1"/>
  <c r="AN42" i="4"/>
  <c r="D43" i="4" s="1"/>
  <c r="I43" i="4" s="1"/>
  <c r="B18" i="13" s="1"/>
  <c r="AD42" i="4"/>
  <c r="AQ37" i="9"/>
  <c r="AH42" i="4"/>
  <c r="Y37" i="7"/>
  <c r="AQ36" i="12"/>
  <c r="AH39" i="7"/>
  <c r="H40" i="7" s="1"/>
  <c r="S39" i="9"/>
  <c r="I39" i="9"/>
  <c r="J39" i="9" s="1"/>
  <c r="K39" i="9" s="1"/>
  <c r="L39" i="9" s="1"/>
  <c r="AE39" i="7"/>
  <c r="E40" i="7" s="1"/>
  <c r="AG39" i="7"/>
  <c r="G40" i="7" s="1"/>
  <c r="AA36" i="10"/>
  <c r="BK36" i="10"/>
  <c r="BA36" i="10"/>
  <c r="AD36" i="10"/>
  <c r="BI36" i="10"/>
  <c r="G37" i="10" s="1"/>
  <c r="X37" i="10" s="1"/>
  <c r="BF36" i="10"/>
  <c r="D37" i="10" s="1"/>
  <c r="U37" i="10" s="1"/>
  <c r="BJ36" i="10"/>
  <c r="H37" i="10" s="1"/>
  <c r="Y37" i="10" s="1"/>
  <c r="BD36" i="10"/>
  <c r="B37" i="10" s="1"/>
  <c r="BG36" i="10"/>
  <c r="E37" i="10" s="1"/>
  <c r="V37" i="10" s="1"/>
  <c r="AM36" i="10"/>
  <c r="AY36" i="10"/>
  <c r="AV36" i="10"/>
  <c r="AZ36" i="10"/>
  <c r="AK36" i="10"/>
  <c r="AJ36" i="10"/>
  <c r="AN36" i="10"/>
  <c r="AW36" i="10"/>
  <c r="AD39" i="7"/>
  <c r="D40" i="7" s="1"/>
  <c r="I51" i="12"/>
  <c r="D24" i="8" s="1"/>
  <c r="G24" i="8" s="1"/>
  <c r="AC36" i="12"/>
  <c r="AA38" i="9"/>
  <c r="AB38" i="9" s="1"/>
  <c r="AC38" i="9" s="1"/>
  <c r="AD38" i="9"/>
  <c r="AM38" i="9"/>
  <c r="AK38" i="9"/>
  <c r="AN38" i="9"/>
  <c r="AJ38" i="9"/>
  <c r="Z37" i="12"/>
  <c r="AN37" i="12" s="1"/>
  <c r="AT36" i="10"/>
  <c r="I38" i="7"/>
  <c r="P38" i="7" s="1"/>
  <c r="AB38" i="7"/>
  <c r="AP39" i="37" l="1"/>
  <c r="AO39" i="37"/>
  <c r="Z40" i="37"/>
  <c r="B38" i="27"/>
  <c r="AT37" i="27"/>
  <c r="AQ41" i="22"/>
  <c r="AP39" i="21"/>
  <c r="AO39" i="21"/>
  <c r="I40" i="20"/>
  <c r="J40" i="20" s="1"/>
  <c r="K40" i="20" s="1"/>
  <c r="L40" i="20" s="1"/>
  <c r="S40" i="20"/>
  <c r="AV43" i="21"/>
  <c r="D44" i="21" s="1"/>
  <c r="U44" i="21" s="1"/>
  <c r="S43" i="22"/>
  <c r="I43" i="22"/>
  <c r="J43" i="22" s="1"/>
  <c r="K43" i="22" s="1"/>
  <c r="L43" i="22" s="1"/>
  <c r="AW43" i="21"/>
  <c r="E44" i="21" s="1"/>
  <c r="V44" i="21" s="1"/>
  <c r="AA42" i="22"/>
  <c r="AB42" i="22" s="1"/>
  <c r="AC42" i="22" s="1"/>
  <c r="AD42" i="22"/>
  <c r="BG41" i="20"/>
  <c r="E42" i="20" s="1"/>
  <c r="V42" i="20" s="1"/>
  <c r="Z42" i="19"/>
  <c r="AH42" i="19" s="1"/>
  <c r="B43" i="19"/>
  <c r="AZ43" i="21"/>
  <c r="H44" i="21" s="1"/>
  <c r="Y44" i="21" s="1"/>
  <c r="Z40" i="21"/>
  <c r="AT40" i="21"/>
  <c r="B41" i="21" s="1"/>
  <c r="BI41" i="20"/>
  <c r="G42" i="20" s="1"/>
  <c r="X42" i="20" s="1"/>
  <c r="BJ41" i="20"/>
  <c r="H42" i="20" s="1"/>
  <c r="Y42" i="20" s="1"/>
  <c r="AO41" i="19"/>
  <c r="AP41" i="19"/>
  <c r="BK39" i="20"/>
  <c r="BL39" i="20"/>
  <c r="BA39" i="20"/>
  <c r="AD39" i="20"/>
  <c r="AA39" i="20"/>
  <c r="AB39" i="20" s="1"/>
  <c r="AC39" i="20" s="1"/>
  <c r="AK39" i="20"/>
  <c r="AY39" i="20"/>
  <c r="AW39" i="20"/>
  <c r="AM39" i="20"/>
  <c r="AV39" i="20"/>
  <c r="AJ39" i="20"/>
  <c r="AZ39" i="20"/>
  <c r="AN39" i="20"/>
  <c r="AY43" i="21"/>
  <c r="G44" i="21" s="1"/>
  <c r="X44" i="21" s="1"/>
  <c r="BF41" i="20"/>
  <c r="D42" i="20" s="1"/>
  <c r="U42" i="20" s="1"/>
  <c r="AR44" i="4"/>
  <c r="H45" i="4" s="1"/>
  <c r="AO44" i="4"/>
  <c r="E45" i="4" s="1"/>
  <c r="AQ44" i="4"/>
  <c r="G45" i="4" s="1"/>
  <c r="AL44" i="4"/>
  <c r="B45" i="4" s="1"/>
  <c r="J43" i="4"/>
  <c r="K43" i="4" s="1"/>
  <c r="L43" i="4" s="1"/>
  <c r="AP40" i="17"/>
  <c r="Z41" i="17"/>
  <c r="AH41" i="17" s="1"/>
  <c r="B42" i="17"/>
  <c r="S42" i="17" s="1"/>
  <c r="AO40" i="17"/>
  <c r="AN43" i="4"/>
  <c r="D44" i="4" s="1"/>
  <c r="AD43" i="4"/>
  <c r="X42" i="4"/>
  <c r="W42" i="4"/>
  <c r="AT42" i="4"/>
  <c r="AP36" i="10"/>
  <c r="BU37" i="12"/>
  <c r="AP38" i="9"/>
  <c r="BG37" i="10"/>
  <c r="E38" i="10" s="1"/>
  <c r="V38" i="10" s="1"/>
  <c r="BI37" i="10"/>
  <c r="G38" i="10" s="1"/>
  <c r="X38" i="10" s="1"/>
  <c r="I37" i="10"/>
  <c r="J37" i="10" s="1"/>
  <c r="K37" i="10" s="1"/>
  <c r="L37" i="10" s="1"/>
  <c r="S37" i="10"/>
  <c r="BL36" i="10"/>
  <c r="I50" i="10"/>
  <c r="B23" i="8" s="1"/>
  <c r="AB36" i="10"/>
  <c r="AE40" i="7"/>
  <c r="E41" i="7" s="1"/>
  <c r="AH40" i="7"/>
  <c r="H41" i="7" s="1"/>
  <c r="AI38" i="7"/>
  <c r="AJ38" i="7" s="1"/>
  <c r="B39" i="7"/>
  <c r="BJ37" i="10"/>
  <c r="H38" i="10" s="1"/>
  <c r="Y38" i="10" s="1"/>
  <c r="AO38" i="9"/>
  <c r="AO36" i="10"/>
  <c r="AQ36" i="10" s="1"/>
  <c r="D13" i="13"/>
  <c r="J38" i="7"/>
  <c r="K38" i="7" s="1"/>
  <c r="L38" i="7" s="1"/>
  <c r="R38" i="7"/>
  <c r="S38" i="7"/>
  <c r="V38" i="7"/>
  <c r="U38" i="7"/>
  <c r="BT37" i="12"/>
  <c r="BO37" i="12"/>
  <c r="AW37" i="12"/>
  <c r="E38" i="12" s="1"/>
  <c r="V38" i="12" s="1"/>
  <c r="AH37" i="12"/>
  <c r="BV37" i="12"/>
  <c r="AT37" i="12"/>
  <c r="B38" i="12" s="1"/>
  <c r="AK37" i="12"/>
  <c r="AD37" i="12"/>
  <c r="AA37" i="12"/>
  <c r="AB37" i="12" s="1"/>
  <c r="AC37" i="12" s="1"/>
  <c r="AZ37" i="12"/>
  <c r="H38" i="12" s="1"/>
  <c r="Y38" i="12" s="1"/>
  <c r="BP37" i="12"/>
  <c r="AV37" i="12"/>
  <c r="D38" i="12" s="1"/>
  <c r="U38" i="12" s="1"/>
  <c r="BA37" i="12"/>
  <c r="AM37" i="12"/>
  <c r="AJ37" i="12"/>
  <c r="AY37" i="12"/>
  <c r="G38" i="12" s="1"/>
  <c r="X38" i="12" s="1"/>
  <c r="AD40" i="7"/>
  <c r="D41" i="7" s="1"/>
  <c r="BF37" i="10"/>
  <c r="D38" i="10" s="1"/>
  <c r="U38" i="10" s="1"/>
  <c r="AG40" i="7"/>
  <c r="G41" i="7" s="1"/>
  <c r="B40" i="9"/>
  <c r="Z39" i="9"/>
  <c r="AH39" i="9" s="1"/>
  <c r="BJ40" i="37" l="1"/>
  <c r="H41" i="37" s="1"/>
  <c r="Y41" i="37" s="1"/>
  <c r="BD40" i="37"/>
  <c r="B41" i="37" s="1"/>
  <c r="S41" i="37" s="1"/>
  <c r="AZ40" i="37"/>
  <c r="AT40" i="37"/>
  <c r="AQ39" i="37"/>
  <c r="I41" i="37"/>
  <c r="J41" i="37" s="1"/>
  <c r="K41" i="37" s="1"/>
  <c r="L41" i="37" s="1"/>
  <c r="AD40" i="37"/>
  <c r="BL40" i="37"/>
  <c r="AA40" i="37"/>
  <c r="AB40" i="37" s="1"/>
  <c r="AC40" i="37" s="1"/>
  <c r="BK40" i="37"/>
  <c r="BA40" i="37"/>
  <c r="AN40" i="37"/>
  <c r="AH40" i="37"/>
  <c r="AO39" i="20"/>
  <c r="I38" i="27"/>
  <c r="AP42" i="22"/>
  <c r="AP39" i="20"/>
  <c r="AQ41" i="19"/>
  <c r="AQ39" i="20"/>
  <c r="AA42" i="19"/>
  <c r="AB42" i="19" s="1"/>
  <c r="AC42" i="19" s="1"/>
  <c r="AD42" i="19"/>
  <c r="AM42" i="19"/>
  <c r="AN42" i="19"/>
  <c r="AJ42" i="19"/>
  <c r="AK42" i="19"/>
  <c r="BB40" i="21"/>
  <c r="BV40" i="21"/>
  <c r="BA40" i="21"/>
  <c r="AD40" i="21"/>
  <c r="AA40" i="21"/>
  <c r="AB40" i="21" s="1"/>
  <c r="AC40" i="21" s="1"/>
  <c r="AN40" i="21"/>
  <c r="AM40" i="21"/>
  <c r="AK40" i="21"/>
  <c r="BQ40" i="21"/>
  <c r="BU40" i="21"/>
  <c r="BT40" i="21"/>
  <c r="AJ40" i="21"/>
  <c r="BR40" i="21"/>
  <c r="AW44" i="21"/>
  <c r="E45" i="21" s="1"/>
  <c r="V45" i="21" s="1"/>
  <c r="B44" i="22"/>
  <c r="Z43" i="22"/>
  <c r="AH43" i="22" s="1"/>
  <c r="S43" i="19"/>
  <c r="I43" i="19"/>
  <c r="J43" i="19" s="1"/>
  <c r="K43" i="19" s="1"/>
  <c r="L43" i="19" s="1"/>
  <c r="AV44" i="21"/>
  <c r="D45" i="21" s="1"/>
  <c r="U45" i="21" s="1"/>
  <c r="AY44" i="21"/>
  <c r="G45" i="21" s="1"/>
  <c r="X45" i="21" s="1"/>
  <c r="S41" i="21"/>
  <c r="I41" i="21"/>
  <c r="J41" i="21" s="1"/>
  <c r="K41" i="21" s="1"/>
  <c r="L41" i="21" s="1"/>
  <c r="AO42" i="22"/>
  <c r="AQ42" i="22" s="1"/>
  <c r="BO40" i="21"/>
  <c r="Z40" i="20"/>
  <c r="AH40" i="20"/>
  <c r="BD40" i="20"/>
  <c r="B41" i="20" s="1"/>
  <c r="AH40" i="21"/>
  <c r="AZ44" i="21"/>
  <c r="H45" i="21" s="1"/>
  <c r="Y45" i="21" s="1"/>
  <c r="AQ39" i="21"/>
  <c r="AQ40" i="17"/>
  <c r="AN44" i="4"/>
  <c r="D45" i="4" s="1"/>
  <c r="I45" i="4" s="1"/>
  <c r="AL45" i="4"/>
  <c r="B46" i="4" s="1"/>
  <c r="AO45" i="4"/>
  <c r="E46" i="4" s="1"/>
  <c r="AR45" i="4"/>
  <c r="H46" i="4" s="1"/>
  <c r="I44" i="4"/>
  <c r="B19" i="13" s="1"/>
  <c r="AQ45" i="4"/>
  <c r="G46" i="4" s="1"/>
  <c r="I42" i="17"/>
  <c r="J42" i="17" s="1"/>
  <c r="K42" i="17" s="1"/>
  <c r="L42" i="17" s="1"/>
  <c r="AA41" i="17"/>
  <c r="AB41" i="17" s="1"/>
  <c r="AC41" i="17" s="1"/>
  <c r="AD41" i="17"/>
  <c r="AM41" i="17"/>
  <c r="AK41" i="17"/>
  <c r="AN41" i="17"/>
  <c r="AJ41" i="17"/>
  <c r="AS43" i="4"/>
  <c r="AT43" i="4" s="1"/>
  <c r="AI43" i="4"/>
  <c r="U43" i="4"/>
  <c r="V43" i="4"/>
  <c r="AG43" i="4"/>
  <c r="P43" i="4"/>
  <c r="AH43" i="4"/>
  <c r="AB43" i="4"/>
  <c r="S43" i="4"/>
  <c r="AE43" i="4"/>
  <c r="R43" i="4"/>
  <c r="Y42" i="4"/>
  <c r="AH41" i="7"/>
  <c r="AG41" i="7"/>
  <c r="AD41" i="7"/>
  <c r="AQ38" i="9"/>
  <c r="AE41" i="7"/>
  <c r="X38" i="7"/>
  <c r="BB37" i="12"/>
  <c r="W38" i="7"/>
  <c r="S38" i="12"/>
  <c r="I38" i="12"/>
  <c r="J38" i="12" s="1"/>
  <c r="K38" i="12" s="1"/>
  <c r="L38" i="12" s="1"/>
  <c r="F23" i="8"/>
  <c r="H23" i="8"/>
  <c r="S40" i="9"/>
  <c r="B41" i="9" s="1"/>
  <c r="I40" i="9"/>
  <c r="J40" i="9" s="1"/>
  <c r="K40" i="9" s="1"/>
  <c r="L40" i="9" s="1"/>
  <c r="AY38" i="12"/>
  <c r="G39" i="12" s="1"/>
  <c r="X39" i="12" s="1"/>
  <c r="AV38" i="12"/>
  <c r="D39" i="12" s="1"/>
  <c r="U39" i="12" s="1"/>
  <c r="I39" i="7"/>
  <c r="P39" i="7" s="1"/>
  <c r="AB39" i="7"/>
  <c r="AO37" i="12"/>
  <c r="AP37" i="12"/>
  <c r="Z37" i="10"/>
  <c r="AT37" i="10" s="1"/>
  <c r="BD37" i="10"/>
  <c r="B38" i="10" s="1"/>
  <c r="AD39" i="9"/>
  <c r="AA39" i="9"/>
  <c r="AB39" i="9" s="1"/>
  <c r="AC39" i="9" s="1"/>
  <c r="AK39" i="9"/>
  <c r="AN39" i="9"/>
  <c r="AM39" i="9"/>
  <c r="AJ39" i="9"/>
  <c r="AZ38" i="12"/>
  <c r="H39" i="12" s="1"/>
  <c r="Y39" i="12" s="1"/>
  <c r="AW38" i="12"/>
  <c r="E39" i="12" s="1"/>
  <c r="V39" i="12" s="1"/>
  <c r="AC36" i="10"/>
  <c r="I51" i="10"/>
  <c r="B24" i="8" s="1"/>
  <c r="AO40" i="37" l="1"/>
  <c r="AP40" i="37"/>
  <c r="Z41" i="37"/>
  <c r="B20" i="13"/>
  <c r="S45" i="4"/>
  <c r="AH45" i="4"/>
  <c r="P45" i="4"/>
  <c r="X45" i="4" s="1"/>
  <c r="U45" i="4"/>
  <c r="P38" i="27"/>
  <c r="AS38" i="27"/>
  <c r="S38" i="27"/>
  <c r="AI38" i="27"/>
  <c r="R38" i="27"/>
  <c r="J38" i="27"/>
  <c r="K38" i="27" s="1"/>
  <c r="L38" i="27" s="1"/>
  <c r="U38" i="27"/>
  <c r="AD38" i="27"/>
  <c r="AG38" i="27"/>
  <c r="AE38" i="27"/>
  <c r="AH38" i="27"/>
  <c r="V38" i="27"/>
  <c r="AB38" i="27"/>
  <c r="AP42" i="19"/>
  <c r="AP40" i="21"/>
  <c r="AO40" i="21"/>
  <c r="AQ40" i="21" s="1"/>
  <c r="X46" i="21"/>
  <c r="AY45" i="21"/>
  <c r="G46" i="21" s="1"/>
  <c r="V46" i="21"/>
  <c r="AW45" i="21"/>
  <c r="E46" i="21" s="1"/>
  <c r="U46" i="21"/>
  <c r="AV45" i="21"/>
  <c r="D46" i="21" s="1"/>
  <c r="I41" i="20"/>
  <c r="J41" i="20" s="1"/>
  <c r="K41" i="20" s="1"/>
  <c r="L41" i="20" s="1"/>
  <c r="S41" i="20"/>
  <c r="AT41" i="21"/>
  <c r="B42" i="21" s="1"/>
  <c r="Z41" i="21"/>
  <c r="AH41" i="21" s="1"/>
  <c r="B44" i="19"/>
  <c r="Z43" i="19"/>
  <c r="AH43" i="19" s="1"/>
  <c r="Y46" i="21"/>
  <c r="AZ45" i="21"/>
  <c r="H46" i="21" s="1"/>
  <c r="BL40" i="20"/>
  <c r="BA40" i="20"/>
  <c r="AD40" i="20"/>
  <c r="BK40" i="20"/>
  <c r="AA40" i="20"/>
  <c r="AB40" i="20" s="1"/>
  <c r="AC40" i="20" s="1"/>
  <c r="AZ40" i="20"/>
  <c r="AJ40" i="20"/>
  <c r="AN40" i="20"/>
  <c r="AM40" i="20"/>
  <c r="AY40" i="20"/>
  <c r="AK40" i="20"/>
  <c r="AW40" i="20"/>
  <c r="AV40" i="20"/>
  <c r="AO42" i="19"/>
  <c r="AQ42" i="19" s="1"/>
  <c r="AD43" i="22"/>
  <c r="AA43" i="22"/>
  <c r="AB43" i="22" s="1"/>
  <c r="AC43" i="22" s="1"/>
  <c r="AT40" i="20"/>
  <c r="S44" i="22"/>
  <c r="B45" i="22" s="1"/>
  <c r="I44" i="22"/>
  <c r="J44" i="22" s="1"/>
  <c r="K44" i="22" s="1"/>
  <c r="L44" i="22" s="1"/>
  <c r="J44" i="4"/>
  <c r="K44" i="4" s="1"/>
  <c r="L44" i="4" s="1"/>
  <c r="AS44" i="4"/>
  <c r="AT44" i="4" s="1"/>
  <c r="AI44" i="4"/>
  <c r="V44" i="4"/>
  <c r="AB44" i="4"/>
  <c r="AG44" i="4"/>
  <c r="P44" i="4"/>
  <c r="AH44" i="4"/>
  <c r="S44" i="4"/>
  <c r="AE44" i="4"/>
  <c r="U44" i="4"/>
  <c r="J45" i="4"/>
  <c r="K45" i="4" s="1"/>
  <c r="L45" i="4" s="1"/>
  <c r="I48" i="4" s="1"/>
  <c r="B8" i="8" s="1"/>
  <c r="H8" i="8" s="1"/>
  <c r="AS45" i="4"/>
  <c r="AI45" i="4"/>
  <c r="AB45" i="4"/>
  <c r="AE45" i="4"/>
  <c r="R45" i="4"/>
  <c r="AN45" i="4"/>
  <c r="D46" i="4" s="1"/>
  <c r="AD45" i="4"/>
  <c r="V45" i="4"/>
  <c r="B13" i="8" s="1"/>
  <c r="AD44" i="4"/>
  <c r="AG45" i="4"/>
  <c r="R44" i="4"/>
  <c r="AP41" i="17"/>
  <c r="Z42" i="17"/>
  <c r="AH42" i="17" s="1"/>
  <c r="B43" i="17"/>
  <c r="S43" i="17" s="1"/>
  <c r="AO41" i="17"/>
  <c r="AQ41" i="17" s="1"/>
  <c r="I54" i="4"/>
  <c r="I46" i="4"/>
  <c r="I47" i="4" s="1"/>
  <c r="X43" i="4"/>
  <c r="W43" i="4"/>
  <c r="Y38" i="7"/>
  <c r="I41" i="9"/>
  <c r="J41" i="9" s="1"/>
  <c r="K41" i="9" s="1"/>
  <c r="L41" i="9" s="1"/>
  <c r="S41" i="9"/>
  <c r="AO39" i="9"/>
  <c r="AP39" i="9"/>
  <c r="AQ37" i="12"/>
  <c r="AZ39" i="12"/>
  <c r="H40" i="12" s="1"/>
  <c r="Y40" i="12" s="1"/>
  <c r="F24" i="8"/>
  <c r="H24" i="8"/>
  <c r="I38" i="10"/>
  <c r="J38" i="10" s="1"/>
  <c r="K38" i="10" s="1"/>
  <c r="L38" i="10" s="1"/>
  <c r="S38" i="10"/>
  <c r="AI39" i="7"/>
  <c r="AJ39" i="7" s="1"/>
  <c r="B40" i="7"/>
  <c r="AV39" i="12"/>
  <c r="D40" i="12" s="1"/>
  <c r="U40" i="12" s="1"/>
  <c r="BA37" i="10"/>
  <c r="AA37" i="10"/>
  <c r="AB37" i="10" s="1"/>
  <c r="AC37" i="10" s="1"/>
  <c r="BL37" i="10"/>
  <c r="BK37" i="10"/>
  <c r="AD37" i="10"/>
  <c r="AK37" i="10"/>
  <c r="AM37" i="10"/>
  <c r="AZ37" i="10"/>
  <c r="AW37" i="10"/>
  <c r="AY37" i="10"/>
  <c r="AJ37" i="10"/>
  <c r="AV37" i="10"/>
  <c r="AN37" i="10"/>
  <c r="Z40" i="9"/>
  <c r="AT38" i="12"/>
  <c r="B39" i="12" s="1"/>
  <c r="Z38" i="12"/>
  <c r="AW39" i="12"/>
  <c r="E40" i="12" s="1"/>
  <c r="V40" i="12" s="1"/>
  <c r="AH37" i="10"/>
  <c r="J39" i="7"/>
  <c r="K39" i="7" s="1"/>
  <c r="L39" i="7" s="1"/>
  <c r="D14" i="13"/>
  <c r="U39" i="7"/>
  <c r="R39" i="7"/>
  <c r="V39" i="7"/>
  <c r="S39" i="7"/>
  <c r="AY39" i="12"/>
  <c r="G40" i="12" s="1"/>
  <c r="X40" i="12" s="1"/>
  <c r="BJ41" i="37" l="1"/>
  <c r="H42" i="37" s="1"/>
  <c r="Y42" i="37" s="1"/>
  <c r="BD41" i="37"/>
  <c r="B42" i="37" s="1"/>
  <c r="S42" i="37" s="1"/>
  <c r="AZ41" i="37"/>
  <c r="AT41" i="37"/>
  <c r="AH41" i="37"/>
  <c r="I42" i="37"/>
  <c r="J42" i="37" s="1"/>
  <c r="K42" i="37" s="1"/>
  <c r="L42" i="37" s="1"/>
  <c r="AD41" i="37"/>
  <c r="AA41" i="37"/>
  <c r="AB41" i="37" s="1"/>
  <c r="AC41" i="37" s="1"/>
  <c r="BA41" i="37"/>
  <c r="BL41" i="37"/>
  <c r="BK41" i="37"/>
  <c r="AN41" i="37"/>
  <c r="AQ40" i="37"/>
  <c r="X38" i="27"/>
  <c r="W38" i="27"/>
  <c r="Y38" i="27" s="1"/>
  <c r="AR38" i="27"/>
  <c r="H39" i="27" s="1"/>
  <c r="AO38" i="27"/>
  <c r="E39" i="27" s="1"/>
  <c r="AL38" i="27"/>
  <c r="AN38" i="27"/>
  <c r="D39" i="27" s="1"/>
  <c r="AQ38" i="27"/>
  <c r="G39" i="27" s="1"/>
  <c r="AO43" i="22"/>
  <c r="AP40" i="20"/>
  <c r="AA43" i="19"/>
  <c r="AB43" i="19" s="1"/>
  <c r="AC43" i="19" s="1"/>
  <c r="AD43" i="19"/>
  <c r="AN43" i="19"/>
  <c r="AJ43" i="19"/>
  <c r="AK43" i="19"/>
  <c r="AM43" i="19"/>
  <c r="AO41" i="21"/>
  <c r="AP43" i="22"/>
  <c r="BD41" i="20"/>
  <c r="B42" i="20" s="1"/>
  <c r="Z41" i="20"/>
  <c r="S45" i="22"/>
  <c r="I45" i="22"/>
  <c r="S44" i="19"/>
  <c r="I44" i="19"/>
  <c r="J44" i="19" s="1"/>
  <c r="K44" i="19" s="1"/>
  <c r="L44" i="19" s="1"/>
  <c r="BB41" i="21"/>
  <c r="BA41" i="21"/>
  <c r="AA41" i="21"/>
  <c r="AB41" i="21" s="1"/>
  <c r="AC41" i="21" s="1"/>
  <c r="AD41" i="21"/>
  <c r="AN41" i="21"/>
  <c r="AM41" i="21"/>
  <c r="AK41" i="21"/>
  <c r="AJ41" i="21"/>
  <c r="AP41" i="21" s="1"/>
  <c r="AO40" i="20"/>
  <c r="AQ40" i="20" s="1"/>
  <c r="S42" i="21"/>
  <c r="I42" i="21"/>
  <c r="J42" i="21" s="1"/>
  <c r="K42" i="21" s="1"/>
  <c r="L42" i="21" s="1"/>
  <c r="W44" i="4"/>
  <c r="X44" i="4"/>
  <c r="W45" i="4"/>
  <c r="Y45" i="4" s="1"/>
  <c r="AT45" i="4"/>
  <c r="Y43" i="4"/>
  <c r="I43" i="17"/>
  <c r="J43" i="17" s="1"/>
  <c r="K43" i="17" s="1"/>
  <c r="L43" i="17" s="1"/>
  <c r="B44" i="17"/>
  <c r="AA42" i="17"/>
  <c r="AB42" i="17" s="1"/>
  <c r="AC42" i="17" s="1"/>
  <c r="AD42" i="17"/>
  <c r="AJ42" i="17"/>
  <c r="AN42" i="17"/>
  <c r="AK42" i="17"/>
  <c r="AM42" i="17"/>
  <c r="B6" i="8"/>
  <c r="H6" i="8" s="1"/>
  <c r="B12" i="8"/>
  <c r="B14" i="8" s="1"/>
  <c r="I49" i="4"/>
  <c r="B9" i="8" s="1"/>
  <c r="H9" i="8" s="1"/>
  <c r="B7" i="8"/>
  <c r="H7" i="8" s="1"/>
  <c r="I52" i="4"/>
  <c r="I53" i="4"/>
  <c r="B42" i="9"/>
  <c r="Z41" i="9"/>
  <c r="AH41" i="9" s="1"/>
  <c r="W39" i="7"/>
  <c r="AQ39" i="9"/>
  <c r="AY40" i="12"/>
  <c r="BV38" i="12"/>
  <c r="BP38" i="12"/>
  <c r="BB38" i="12"/>
  <c r="BA38" i="12"/>
  <c r="AA38" i="12"/>
  <c r="AB38" i="12" s="1"/>
  <c r="AC38" i="12" s="1"/>
  <c r="AD38" i="12"/>
  <c r="AK38" i="12"/>
  <c r="BU38" i="12"/>
  <c r="BT38" i="12"/>
  <c r="AJ38" i="12"/>
  <c r="AN38" i="12"/>
  <c r="AM38" i="12"/>
  <c r="AA40" i="9"/>
  <c r="AB40" i="9" s="1"/>
  <c r="AC40" i="9" s="1"/>
  <c r="AD40" i="9"/>
  <c r="AN40" i="9"/>
  <c r="AK40" i="9"/>
  <c r="AJ40" i="9"/>
  <c r="AM40" i="9"/>
  <c r="AW40" i="12"/>
  <c r="S39" i="12"/>
  <c r="I39" i="12"/>
  <c r="J39" i="12" s="1"/>
  <c r="K39" i="12" s="1"/>
  <c r="L39" i="12" s="1"/>
  <c r="AH40" i="9"/>
  <c r="X39" i="7"/>
  <c r="BO38" i="12"/>
  <c r="I40" i="7"/>
  <c r="P40" i="7" s="1"/>
  <c r="AB40" i="7"/>
  <c r="B41" i="7" s="1"/>
  <c r="AO37" i="10"/>
  <c r="AP37" i="10"/>
  <c r="AV40" i="12"/>
  <c r="AZ40" i="12"/>
  <c r="AH38" i="12"/>
  <c r="Z38" i="10"/>
  <c r="AH38" i="10" s="1"/>
  <c r="AP41" i="37" l="1"/>
  <c r="AO41" i="37"/>
  <c r="Z42" i="37"/>
  <c r="AQ43" i="22"/>
  <c r="AT38" i="27"/>
  <c r="B39" i="27"/>
  <c r="AO39" i="27"/>
  <c r="E40" i="27" s="1"/>
  <c r="AQ39" i="27"/>
  <c r="G40" i="27" s="1"/>
  <c r="AN39" i="27"/>
  <c r="D40" i="27" s="1"/>
  <c r="AP43" i="19"/>
  <c r="AQ41" i="21"/>
  <c r="S46" i="22"/>
  <c r="Z46" i="22" s="1"/>
  <c r="I47" i="22" s="1"/>
  <c r="B46" i="22"/>
  <c r="I46" i="22" s="1"/>
  <c r="AT42" i="21"/>
  <c r="B43" i="21" s="1"/>
  <c r="Z42" i="21"/>
  <c r="AH42" i="21" s="1"/>
  <c r="Z44" i="19"/>
  <c r="AH44" i="19"/>
  <c r="B45" i="19"/>
  <c r="J45" i="22"/>
  <c r="K45" i="22" s="1"/>
  <c r="L45" i="22" s="1"/>
  <c r="I56" i="22"/>
  <c r="BL41" i="20"/>
  <c r="BA41" i="20"/>
  <c r="AD41" i="20"/>
  <c r="AA41" i="20"/>
  <c r="AB41" i="20" s="1"/>
  <c r="AC41" i="20" s="1"/>
  <c r="BK41" i="20"/>
  <c r="AM41" i="20"/>
  <c r="AW41" i="20"/>
  <c r="AK41" i="20"/>
  <c r="AZ41" i="20"/>
  <c r="AJ41" i="20"/>
  <c r="AY41" i="20"/>
  <c r="AV41" i="20"/>
  <c r="AN41" i="20"/>
  <c r="AT41" i="20"/>
  <c r="AH41" i="20"/>
  <c r="S42" i="20"/>
  <c r="I42" i="20"/>
  <c r="J42" i="20" s="1"/>
  <c r="K42" i="20" s="1"/>
  <c r="L42" i="20" s="1"/>
  <c r="AO43" i="19"/>
  <c r="Y44" i="4"/>
  <c r="I44" i="17"/>
  <c r="J44" i="17" s="1"/>
  <c r="K44" i="17" s="1"/>
  <c r="L44" i="17" s="1"/>
  <c r="S44" i="17"/>
  <c r="B45" i="17" s="1"/>
  <c r="AP42" i="17"/>
  <c r="Z43" i="17"/>
  <c r="AH43" i="17" s="1"/>
  <c r="AO42" i="17"/>
  <c r="Y39" i="7"/>
  <c r="AD41" i="9"/>
  <c r="AA41" i="9"/>
  <c r="AB41" i="9" s="1"/>
  <c r="AC41" i="9" s="1"/>
  <c r="AK41" i="9"/>
  <c r="AN41" i="9"/>
  <c r="AM41" i="9"/>
  <c r="AJ41" i="9"/>
  <c r="AB41" i="7"/>
  <c r="AI41" i="7" s="1"/>
  <c r="I41" i="7"/>
  <c r="P41" i="7" s="1"/>
  <c r="S42" i="9"/>
  <c r="B43" i="9" s="1"/>
  <c r="I42" i="9"/>
  <c r="J42" i="9" s="1"/>
  <c r="K42" i="9" s="1"/>
  <c r="L42" i="9" s="1"/>
  <c r="D41" i="12"/>
  <c r="U41" i="12" s="1"/>
  <c r="G41" i="12"/>
  <c r="X41" i="12" s="1"/>
  <c r="E41" i="12"/>
  <c r="V41" i="12" s="1"/>
  <c r="H41" i="12"/>
  <c r="Y41" i="12" s="1"/>
  <c r="AT38" i="10"/>
  <c r="AQ37" i="10"/>
  <c r="AO38" i="12"/>
  <c r="AP38" i="12"/>
  <c r="AI40" i="7"/>
  <c r="AJ40" i="7" s="1"/>
  <c r="AP40" i="9"/>
  <c r="AO40" i="9"/>
  <c r="AA38" i="10"/>
  <c r="AB38" i="10" s="1"/>
  <c r="AC38" i="10" s="1"/>
  <c r="BK38" i="10"/>
  <c r="BA38" i="10"/>
  <c r="AD38" i="10"/>
  <c r="BF38" i="10"/>
  <c r="D39" i="10" s="1"/>
  <c r="U39" i="10" s="1"/>
  <c r="BG38" i="10"/>
  <c r="E39" i="10" s="1"/>
  <c r="V39" i="10" s="1"/>
  <c r="BI38" i="10"/>
  <c r="G39" i="10" s="1"/>
  <c r="X39" i="10" s="1"/>
  <c r="BJ38" i="10"/>
  <c r="H39" i="10" s="1"/>
  <c r="Y39" i="10" s="1"/>
  <c r="BD38" i="10"/>
  <c r="B39" i="10" s="1"/>
  <c r="AV38" i="10"/>
  <c r="AM38" i="10"/>
  <c r="AK38" i="10"/>
  <c r="AZ38" i="10"/>
  <c r="AJ38" i="10"/>
  <c r="AY38" i="10"/>
  <c r="AW38" i="10"/>
  <c r="AN38" i="10"/>
  <c r="D15" i="13"/>
  <c r="J40" i="7"/>
  <c r="K40" i="7" s="1"/>
  <c r="L40" i="7" s="1"/>
  <c r="V40" i="7"/>
  <c r="U40" i="7"/>
  <c r="S40" i="7"/>
  <c r="R40" i="7"/>
  <c r="Z39" i="12"/>
  <c r="AH39" i="12" s="1"/>
  <c r="AT39" i="12"/>
  <c r="B40" i="12" s="1"/>
  <c r="BJ42" i="37" l="1"/>
  <c r="BD42" i="37"/>
  <c r="B43" i="37" s="1"/>
  <c r="S43" i="37" s="1"/>
  <c r="AH42" i="37"/>
  <c r="AZ42" i="37"/>
  <c r="AT42" i="37"/>
  <c r="AQ41" i="37"/>
  <c r="AA42" i="37"/>
  <c r="AB42" i="37" s="1"/>
  <c r="AC42" i="37" s="1"/>
  <c r="BA42" i="37"/>
  <c r="AD42" i="37"/>
  <c r="BK42" i="37"/>
  <c r="H43" i="37"/>
  <c r="Y43" i="37" s="1"/>
  <c r="AN42" i="37"/>
  <c r="AQ43" i="19"/>
  <c r="BO42" i="21"/>
  <c r="AN40" i="27"/>
  <c r="D41" i="27" s="1"/>
  <c r="AO40" i="27"/>
  <c r="E41" i="27" s="1"/>
  <c r="AQ40" i="27"/>
  <c r="G41" i="27" s="1"/>
  <c r="I39" i="27"/>
  <c r="I43" i="21"/>
  <c r="J43" i="21" s="1"/>
  <c r="K43" i="21" s="1"/>
  <c r="L43" i="21" s="1"/>
  <c r="S43" i="21"/>
  <c r="Z42" i="20"/>
  <c r="AP41" i="20"/>
  <c r="AO41" i="20"/>
  <c r="AQ41" i="20" s="1"/>
  <c r="I45" i="19"/>
  <c r="S45" i="19"/>
  <c r="I49" i="22"/>
  <c r="I48" i="22"/>
  <c r="I53" i="22"/>
  <c r="AA44" i="19"/>
  <c r="AB44" i="19" s="1"/>
  <c r="AC44" i="19" s="1"/>
  <c r="AD44" i="19"/>
  <c r="AK44" i="19"/>
  <c r="AJ44" i="19"/>
  <c r="AN44" i="19"/>
  <c r="AM44" i="19"/>
  <c r="AO44" i="19" s="1"/>
  <c r="BB42" i="21"/>
  <c r="BA42" i="21"/>
  <c r="AD42" i="21"/>
  <c r="BV42" i="21"/>
  <c r="AA42" i="21"/>
  <c r="AB42" i="21" s="1"/>
  <c r="AC42" i="21" s="1"/>
  <c r="BT42" i="21"/>
  <c r="AK42" i="21"/>
  <c r="AN42" i="21"/>
  <c r="AJ42" i="21"/>
  <c r="BU42" i="21"/>
  <c r="BQ42" i="21"/>
  <c r="BR42" i="21"/>
  <c r="AM42" i="21"/>
  <c r="S43" i="9"/>
  <c r="B44" i="9" s="1"/>
  <c r="I43" i="9"/>
  <c r="J43" i="9" s="1"/>
  <c r="K43" i="9" s="1"/>
  <c r="L43" i="9" s="1"/>
  <c r="S45" i="17"/>
  <c r="I45" i="17"/>
  <c r="J45" i="17" s="1"/>
  <c r="K45" i="17" s="1"/>
  <c r="L45" i="17" s="1"/>
  <c r="AQ42" i="17"/>
  <c r="AA43" i="17"/>
  <c r="AB43" i="17" s="1"/>
  <c r="AC43" i="17" s="1"/>
  <c r="AD43" i="17"/>
  <c r="AK43" i="17"/>
  <c r="AN43" i="17"/>
  <c r="AM43" i="17"/>
  <c r="AJ43" i="17"/>
  <c r="AO41" i="9"/>
  <c r="AJ41" i="7"/>
  <c r="AV41" i="12"/>
  <c r="Z42" i="9"/>
  <c r="AH42" i="9" s="1"/>
  <c r="AW41" i="12"/>
  <c r="E42" i="12" s="1"/>
  <c r="V42" i="12" s="1"/>
  <c r="AY41" i="12"/>
  <c r="G42" i="12" s="1"/>
  <c r="X42" i="12" s="1"/>
  <c r="AP41" i="9"/>
  <c r="AZ41" i="12"/>
  <c r="H42" i="12" s="1"/>
  <c r="Y42" i="12" s="1"/>
  <c r="J41" i="7"/>
  <c r="K41" i="7" s="1"/>
  <c r="L41" i="7" s="1"/>
  <c r="D16" i="13"/>
  <c r="U41" i="7"/>
  <c r="S41" i="7"/>
  <c r="R41" i="7"/>
  <c r="V41" i="7"/>
  <c r="W40" i="7"/>
  <c r="AQ40" i="9"/>
  <c r="AP38" i="10"/>
  <c r="BO39" i="12"/>
  <c r="S40" i="12"/>
  <c r="I40" i="12"/>
  <c r="J40" i="12" s="1"/>
  <c r="K40" i="12" s="1"/>
  <c r="L40" i="12" s="1"/>
  <c r="BI39" i="10"/>
  <c r="G40" i="10" s="1"/>
  <c r="X40" i="10" s="1"/>
  <c r="I39" i="10"/>
  <c r="J39" i="10" s="1"/>
  <c r="K39" i="10" s="1"/>
  <c r="L39" i="10" s="1"/>
  <c r="S39" i="10"/>
  <c r="BF39" i="10"/>
  <c r="D40" i="10" s="1"/>
  <c r="U40" i="10" s="1"/>
  <c r="AO38" i="10"/>
  <c r="AQ38" i="10" s="1"/>
  <c r="BJ39" i="10"/>
  <c r="H40" i="10" s="1"/>
  <c r="Y40" i="10" s="1"/>
  <c r="X40" i="7"/>
  <c r="BV39" i="12"/>
  <c r="AA39" i="12"/>
  <c r="AB39" i="12" s="1"/>
  <c r="AC39" i="12" s="1"/>
  <c r="AD39" i="12"/>
  <c r="BB39" i="12"/>
  <c r="BA39" i="12"/>
  <c r="AN39" i="12"/>
  <c r="AJ39" i="12"/>
  <c r="AK39" i="12"/>
  <c r="BT39" i="12"/>
  <c r="BU39" i="12"/>
  <c r="BR39" i="12"/>
  <c r="AM39" i="12"/>
  <c r="BQ39" i="12"/>
  <c r="BG39" i="10"/>
  <c r="E40" i="10" s="1"/>
  <c r="V40" i="10" s="1"/>
  <c r="BL38" i="10"/>
  <c r="AQ38" i="12"/>
  <c r="AO42" i="37" l="1"/>
  <c r="I43" i="37"/>
  <c r="J43" i="37" s="1"/>
  <c r="K43" i="37" s="1"/>
  <c r="L43" i="37" s="1"/>
  <c r="BL42" i="37"/>
  <c r="AP42" i="37"/>
  <c r="I54" i="22"/>
  <c r="AO42" i="21"/>
  <c r="S44" i="9"/>
  <c r="I44" i="9"/>
  <c r="J44" i="9" s="1"/>
  <c r="K44" i="9" s="1"/>
  <c r="L44" i="9" s="1"/>
  <c r="J39" i="27"/>
  <c r="K39" i="27" s="1"/>
  <c r="L39" i="27" s="1"/>
  <c r="AI39" i="27"/>
  <c r="AS39" i="27"/>
  <c r="AE39" i="27"/>
  <c r="V39" i="27"/>
  <c r="AD39" i="27"/>
  <c r="R39" i="27"/>
  <c r="AH39" i="27"/>
  <c r="U39" i="27"/>
  <c r="AG39" i="27"/>
  <c r="S39" i="27"/>
  <c r="AB39" i="27"/>
  <c r="P39" i="27"/>
  <c r="AP42" i="21"/>
  <c r="AQ42" i="21"/>
  <c r="AP44" i="19"/>
  <c r="AQ44" i="19" s="1"/>
  <c r="BA42" i="20"/>
  <c r="AA42" i="20"/>
  <c r="AB42" i="20" s="1"/>
  <c r="AC42" i="20" s="1"/>
  <c r="BK42" i="20"/>
  <c r="AD42" i="20"/>
  <c r="BF42" i="20"/>
  <c r="D43" i="20" s="1"/>
  <c r="U43" i="20" s="1"/>
  <c r="BD42" i="20"/>
  <c r="B43" i="20" s="1"/>
  <c r="BI42" i="20"/>
  <c r="G43" i="20" s="1"/>
  <c r="X43" i="20" s="1"/>
  <c r="BG42" i="20"/>
  <c r="E43" i="20" s="1"/>
  <c r="V43" i="20" s="1"/>
  <c r="BJ42" i="20"/>
  <c r="H43" i="20" s="1"/>
  <c r="Y43" i="20" s="1"/>
  <c r="AV42" i="20"/>
  <c r="AM42" i="20"/>
  <c r="AN42" i="20"/>
  <c r="AW42" i="20"/>
  <c r="AZ42" i="20"/>
  <c r="AJ42" i="20"/>
  <c r="AK42" i="20"/>
  <c r="AY42" i="20"/>
  <c r="AT42" i="20"/>
  <c r="Z45" i="19"/>
  <c r="AH45" i="19" s="1"/>
  <c r="B46" i="19"/>
  <c r="I46" i="19" s="1"/>
  <c r="S46" i="19"/>
  <c r="Z46" i="19" s="1"/>
  <c r="I47" i="19" s="1"/>
  <c r="AH42" i="20"/>
  <c r="J45" i="19"/>
  <c r="K45" i="19" s="1"/>
  <c r="L45" i="19" s="1"/>
  <c r="I56" i="19"/>
  <c r="AT43" i="21"/>
  <c r="B44" i="21" s="1"/>
  <c r="Z43" i="21"/>
  <c r="AH43" i="21" s="1"/>
  <c r="Z43" i="9"/>
  <c r="AP43" i="17"/>
  <c r="AO43" i="17"/>
  <c r="S46" i="17"/>
  <c r="Z46" i="17" s="1"/>
  <c r="I47" i="17" s="1"/>
  <c r="Z45" i="17"/>
  <c r="B46" i="17"/>
  <c r="I46" i="17" s="1"/>
  <c r="I56" i="17"/>
  <c r="AQ41" i="9"/>
  <c r="X41" i="7"/>
  <c r="BG40" i="10"/>
  <c r="AY42" i="12"/>
  <c r="G43" i="12" s="1"/>
  <c r="X43" i="12" s="1"/>
  <c r="BJ40" i="10"/>
  <c r="AW42" i="12"/>
  <c r="E43" i="12" s="1"/>
  <c r="V43" i="12" s="1"/>
  <c r="BF40" i="10"/>
  <c r="AZ42" i="12"/>
  <c r="H43" i="12" s="1"/>
  <c r="Y43" i="12" s="1"/>
  <c r="AM42" i="9"/>
  <c r="AD42" i="9"/>
  <c r="AA42" i="9"/>
  <c r="AB42" i="9" s="1"/>
  <c r="AC42" i="9" s="1"/>
  <c r="AJ42" i="9"/>
  <c r="AN42" i="9"/>
  <c r="AK42" i="9"/>
  <c r="Y40" i="7"/>
  <c r="BI40" i="10"/>
  <c r="D42" i="12"/>
  <c r="U42" i="12" s="1"/>
  <c r="W41" i="7"/>
  <c r="Y41" i="7" s="1"/>
  <c r="AP39" i="12"/>
  <c r="AT40" i="12"/>
  <c r="B41" i="12" s="1"/>
  <c r="Z40" i="12"/>
  <c r="BO40" i="12" s="1"/>
  <c r="AO39" i="12"/>
  <c r="Z39" i="10"/>
  <c r="BD39" i="10"/>
  <c r="B40" i="10" s="1"/>
  <c r="AQ42" i="37" l="1"/>
  <c r="Z43" i="37"/>
  <c r="B45" i="9"/>
  <c r="Z44" i="9"/>
  <c r="AH44" i="9"/>
  <c r="X39" i="27"/>
  <c r="AR39" i="27"/>
  <c r="H40" i="27" s="1"/>
  <c r="AL39" i="27"/>
  <c r="W39" i="27"/>
  <c r="Y39" i="27" s="1"/>
  <c r="BJ43" i="20"/>
  <c r="H44" i="20" s="1"/>
  <c r="Y44" i="20" s="1"/>
  <c r="BG43" i="20"/>
  <c r="E44" i="20" s="1"/>
  <c r="V44" i="20" s="1"/>
  <c r="BI43" i="20"/>
  <c r="G44" i="20" s="1"/>
  <c r="X44" i="20" s="1"/>
  <c r="I44" i="21"/>
  <c r="J44" i="21" s="1"/>
  <c r="K44" i="21" s="1"/>
  <c r="L44" i="21" s="1"/>
  <c r="S44" i="21"/>
  <c r="BL42" i="20"/>
  <c r="AO42" i="20"/>
  <c r="AP42" i="20"/>
  <c r="I43" i="20"/>
  <c r="J43" i="20" s="1"/>
  <c r="K43" i="20" s="1"/>
  <c r="L43" i="20" s="1"/>
  <c r="S43" i="20"/>
  <c r="I49" i="19"/>
  <c r="AA43" i="21"/>
  <c r="AB43" i="21" s="1"/>
  <c r="AC43" i="21" s="1"/>
  <c r="BB43" i="21"/>
  <c r="BA43" i="21"/>
  <c r="AD43" i="21"/>
  <c r="AK43" i="21"/>
  <c r="AM43" i="21"/>
  <c r="AJ43" i="21"/>
  <c r="AN43" i="21"/>
  <c r="I53" i="19"/>
  <c r="BF43" i="20"/>
  <c r="D44" i="20" s="1"/>
  <c r="U44" i="20" s="1"/>
  <c r="AA45" i="19"/>
  <c r="AB45" i="19" s="1"/>
  <c r="AC45" i="19" s="1"/>
  <c r="I48" i="19" s="1"/>
  <c r="AD45" i="19"/>
  <c r="AK45" i="19"/>
  <c r="AM45" i="19"/>
  <c r="AJ45" i="19"/>
  <c r="AN45" i="19"/>
  <c r="AZ43" i="12"/>
  <c r="AW43" i="12"/>
  <c r="AY43" i="12"/>
  <c r="G44" i="12" s="1"/>
  <c r="X44" i="12" s="1"/>
  <c r="AA43" i="9"/>
  <c r="AB43" i="9" s="1"/>
  <c r="AC43" i="9" s="1"/>
  <c r="AD43" i="9"/>
  <c r="AJ43" i="9"/>
  <c r="AN43" i="9"/>
  <c r="AK43" i="9"/>
  <c r="AM43" i="9"/>
  <c r="AH43" i="9"/>
  <c r="AQ43" i="17"/>
  <c r="I53" i="17"/>
  <c r="AA45" i="17"/>
  <c r="AB45" i="17" s="1"/>
  <c r="AC45" i="17" s="1"/>
  <c r="I48" i="17" s="1"/>
  <c r="AD45" i="17"/>
  <c r="AK45" i="17"/>
  <c r="AN45" i="17"/>
  <c r="AM45" i="17"/>
  <c r="AJ45" i="17"/>
  <c r="I49" i="17"/>
  <c r="AH45" i="17"/>
  <c r="AQ39" i="12"/>
  <c r="AP42" i="9"/>
  <c r="I40" i="10"/>
  <c r="J40" i="10" s="1"/>
  <c r="K40" i="10" s="1"/>
  <c r="L40" i="10" s="1"/>
  <c r="S40" i="10"/>
  <c r="AV42" i="12"/>
  <c r="D43" i="12" s="1"/>
  <c r="U43" i="12" s="1"/>
  <c r="I41" i="12"/>
  <c r="J41" i="12" s="1"/>
  <c r="K41" i="12" s="1"/>
  <c r="L41" i="12" s="1"/>
  <c r="S41" i="12"/>
  <c r="AO42" i="9"/>
  <c r="D41" i="10"/>
  <c r="U41" i="10" s="1"/>
  <c r="BF41" i="10" s="1"/>
  <c r="D42" i="10" s="1"/>
  <c r="U42" i="10" s="1"/>
  <c r="G41" i="10"/>
  <c r="X41" i="10" s="1"/>
  <c r="BI41" i="10" s="1"/>
  <c r="G42" i="10" s="1"/>
  <c r="X42" i="10" s="1"/>
  <c r="E41" i="10"/>
  <c r="V41" i="10" s="1"/>
  <c r="BG41" i="10" s="1"/>
  <c r="E42" i="10" s="1"/>
  <c r="V42" i="10" s="1"/>
  <c r="H41" i="10"/>
  <c r="Y41" i="10" s="1"/>
  <c r="BJ41" i="10" s="1"/>
  <c r="H42" i="10" s="1"/>
  <c r="Y42" i="10" s="1"/>
  <c r="BL39" i="10"/>
  <c r="BK39" i="10"/>
  <c r="AA39" i="10"/>
  <c r="AB39" i="10" s="1"/>
  <c r="AC39" i="10" s="1"/>
  <c r="BA39" i="10"/>
  <c r="AD39" i="10"/>
  <c r="AM39" i="10"/>
  <c r="AZ39" i="10"/>
  <c r="AY39" i="10"/>
  <c r="AN39" i="10"/>
  <c r="AK39" i="10"/>
  <c r="AW39" i="10"/>
  <c r="AV39" i="10"/>
  <c r="AJ39" i="10"/>
  <c r="BV40" i="12"/>
  <c r="AD40" i="12"/>
  <c r="BB40" i="12"/>
  <c r="AA40" i="12"/>
  <c r="AB40" i="12" s="1"/>
  <c r="AC40" i="12" s="1"/>
  <c r="BA40" i="12"/>
  <c r="BR40" i="12"/>
  <c r="AN40" i="12"/>
  <c r="AM40" i="12"/>
  <c r="AJ40" i="12"/>
  <c r="AK40" i="12"/>
  <c r="BQ40" i="12"/>
  <c r="BU40" i="12"/>
  <c r="BT40" i="12"/>
  <c r="AT39" i="10"/>
  <c r="AH40" i="12"/>
  <c r="AH39" i="10"/>
  <c r="BJ43" i="37" l="1"/>
  <c r="H44" i="37" s="1"/>
  <c r="Y44" i="37" s="1"/>
  <c r="BD43" i="37"/>
  <c r="B44" i="37" s="1"/>
  <c r="S44" i="37" s="1"/>
  <c r="AH43" i="37"/>
  <c r="AZ43" i="37"/>
  <c r="AT43" i="37"/>
  <c r="U46" i="37"/>
  <c r="D46" i="37"/>
  <c r="G46" i="37"/>
  <c r="X46" i="37"/>
  <c r="I44" i="37"/>
  <c r="J44" i="37" s="1"/>
  <c r="K44" i="37" s="1"/>
  <c r="L44" i="37" s="1"/>
  <c r="AA43" i="37"/>
  <c r="AB43" i="37" s="1"/>
  <c r="AC43" i="37" s="1"/>
  <c r="BL43" i="37"/>
  <c r="BK43" i="37"/>
  <c r="AD43" i="37"/>
  <c r="BA43" i="37"/>
  <c r="AN43" i="37"/>
  <c r="E46" i="37"/>
  <c r="V46" i="37"/>
  <c r="AM44" i="9"/>
  <c r="AD44" i="9"/>
  <c r="AA44" i="9"/>
  <c r="AB44" i="9" s="1"/>
  <c r="AC44" i="9" s="1"/>
  <c r="AJ44" i="9"/>
  <c r="AO44" i="9" s="1"/>
  <c r="AN44" i="9"/>
  <c r="AK44" i="9"/>
  <c r="AO43" i="21"/>
  <c r="S45" i="9"/>
  <c r="I45" i="9"/>
  <c r="J45" i="9" s="1"/>
  <c r="K45" i="9" s="1"/>
  <c r="L45" i="9" s="1"/>
  <c r="B40" i="27"/>
  <c r="AT39" i="27"/>
  <c r="AP43" i="21"/>
  <c r="AQ43" i="21" s="1"/>
  <c r="AO45" i="19"/>
  <c r="I54" i="19"/>
  <c r="AP45" i="19"/>
  <c r="AQ45" i="19" s="1"/>
  <c r="BI44" i="20"/>
  <c r="G45" i="20" s="1"/>
  <c r="X45" i="20" s="1"/>
  <c r="BG44" i="20"/>
  <c r="E45" i="20" s="1"/>
  <c r="V45" i="20" s="1"/>
  <c r="BF44" i="20"/>
  <c r="D45" i="20" s="1"/>
  <c r="U45" i="20" s="1"/>
  <c r="AQ42" i="20"/>
  <c r="Z44" i="21"/>
  <c r="AT44" i="21"/>
  <c r="B45" i="21" s="1"/>
  <c r="BD43" i="20"/>
  <c r="B44" i="20" s="1"/>
  <c r="Z43" i="20"/>
  <c r="AT43" i="20" s="1"/>
  <c r="BJ44" i="20"/>
  <c r="H45" i="20" s="1"/>
  <c r="Y45" i="20" s="1"/>
  <c r="AY44" i="12"/>
  <c r="G45" i="12" s="1"/>
  <c r="X45" i="12" s="1"/>
  <c r="E44" i="12"/>
  <c r="V44" i="12" s="1"/>
  <c r="H44" i="12"/>
  <c r="Y44" i="12" s="1"/>
  <c r="S46" i="9"/>
  <c r="Z46" i="9" s="1"/>
  <c r="I47" i="9" s="1"/>
  <c r="C20" i="8" s="1"/>
  <c r="B46" i="9"/>
  <c r="I46" i="9" s="1"/>
  <c r="C19" i="8" s="1"/>
  <c r="I56" i="9"/>
  <c r="AO43" i="9"/>
  <c r="AP43" i="9"/>
  <c r="AV43" i="12"/>
  <c r="D44" i="12" s="1"/>
  <c r="U44" i="12" s="1"/>
  <c r="X46" i="12"/>
  <c r="I54" i="17"/>
  <c r="AP45" i="17"/>
  <c r="AO45" i="17"/>
  <c r="AQ45" i="17" s="1"/>
  <c r="AQ42" i="9"/>
  <c r="BD40" i="10"/>
  <c r="B41" i="10" s="1"/>
  <c r="Z40" i="10"/>
  <c r="AT40" i="10" s="1"/>
  <c r="Z41" i="12"/>
  <c r="AH41" i="12" s="1"/>
  <c r="AT41" i="12"/>
  <c r="B42" i="12" s="1"/>
  <c r="AO40" i="12"/>
  <c r="AP40" i="12"/>
  <c r="AP39" i="10"/>
  <c r="AO39" i="10"/>
  <c r="AP43" i="37" l="1"/>
  <c r="Z44" i="37"/>
  <c r="AO43" i="37"/>
  <c r="Z45" i="9"/>
  <c r="AH45" i="9"/>
  <c r="AP44" i="9"/>
  <c r="AQ44" i="9" s="1"/>
  <c r="I40" i="27"/>
  <c r="AB40" i="27"/>
  <c r="P40" i="27"/>
  <c r="AH43" i="20"/>
  <c r="U46" i="20"/>
  <c r="BF45" i="20"/>
  <c r="D46" i="20" s="1"/>
  <c r="BG45" i="20"/>
  <c r="E46" i="20" s="1"/>
  <c r="V46" i="20"/>
  <c r="S44" i="20"/>
  <c r="I44" i="20"/>
  <c r="J44" i="20" s="1"/>
  <c r="K44" i="20" s="1"/>
  <c r="L44" i="20" s="1"/>
  <c r="I45" i="21"/>
  <c r="S45" i="21"/>
  <c r="Y46" i="20"/>
  <c r="BJ45" i="20"/>
  <c r="H46" i="20" s="1"/>
  <c r="BB44" i="21"/>
  <c r="BA44" i="21"/>
  <c r="AA44" i="21"/>
  <c r="AB44" i="21" s="1"/>
  <c r="AC44" i="21" s="1"/>
  <c r="AD44" i="21"/>
  <c r="AN44" i="21"/>
  <c r="AK44" i="21"/>
  <c r="AM44" i="21"/>
  <c r="AJ44" i="21"/>
  <c r="AH44" i="21"/>
  <c r="BK43" i="20"/>
  <c r="AA43" i="20"/>
  <c r="AB43" i="20" s="1"/>
  <c r="AC43" i="20" s="1"/>
  <c r="BL43" i="20"/>
  <c r="BA43" i="20"/>
  <c r="AD43" i="20"/>
  <c r="AM43" i="20"/>
  <c r="AZ43" i="20"/>
  <c r="AN43" i="20"/>
  <c r="AV43" i="20"/>
  <c r="AK43" i="20"/>
  <c r="AW43" i="20"/>
  <c r="AY43" i="20"/>
  <c r="AJ43" i="20"/>
  <c r="BI45" i="20"/>
  <c r="G46" i="20" s="1"/>
  <c r="X46" i="20"/>
  <c r="AW44" i="12"/>
  <c r="E45" i="12" s="1"/>
  <c r="V45" i="12" s="1"/>
  <c r="AV44" i="12"/>
  <c r="D45" i="12" s="1"/>
  <c r="U45" i="12" s="1"/>
  <c r="U46" i="12" s="1"/>
  <c r="AY45" i="12"/>
  <c r="G46" i="12" s="1"/>
  <c r="AZ44" i="12"/>
  <c r="H45" i="12" s="1"/>
  <c r="Y45" i="12" s="1"/>
  <c r="I49" i="9"/>
  <c r="C22" i="8" s="1"/>
  <c r="I53" i="9"/>
  <c r="AQ43" i="9"/>
  <c r="AH40" i="10"/>
  <c r="S42" i="12"/>
  <c r="I42" i="12"/>
  <c r="J42" i="12" s="1"/>
  <c r="K42" i="12" s="1"/>
  <c r="L42" i="12" s="1"/>
  <c r="AD40" i="10"/>
  <c r="BK40" i="10"/>
  <c r="BA40" i="10"/>
  <c r="BL40" i="10"/>
  <c r="AA40" i="10"/>
  <c r="AB40" i="10" s="1"/>
  <c r="AC40" i="10" s="1"/>
  <c r="AN40" i="10"/>
  <c r="AW40" i="10"/>
  <c r="AK40" i="10"/>
  <c r="AY40" i="10"/>
  <c r="AV40" i="10"/>
  <c r="AM40" i="10"/>
  <c r="AJ40" i="10"/>
  <c r="AZ40" i="10"/>
  <c r="BA41" i="12"/>
  <c r="AD41" i="12"/>
  <c r="AA41" i="12"/>
  <c r="AB41" i="12" s="1"/>
  <c r="AC41" i="12" s="1"/>
  <c r="AJ41" i="12"/>
  <c r="AK41" i="12"/>
  <c r="AN41" i="12"/>
  <c r="AM41" i="12"/>
  <c r="BB41" i="12"/>
  <c r="I41" i="10"/>
  <c r="J41" i="10" s="1"/>
  <c r="K41" i="10" s="1"/>
  <c r="L41" i="10" s="1"/>
  <c r="S41" i="10"/>
  <c r="BD41" i="10" s="1"/>
  <c r="AQ39" i="10"/>
  <c r="AQ40" i="12"/>
  <c r="BJ44" i="37" l="1"/>
  <c r="H45" i="37" s="1"/>
  <c r="Y45" i="37" s="1"/>
  <c r="Y46" i="37" s="1"/>
  <c r="BD44" i="37"/>
  <c r="B45" i="37" s="1"/>
  <c r="S45" i="37" s="1"/>
  <c r="AH44" i="37"/>
  <c r="AZ44" i="37"/>
  <c r="AT44" i="37"/>
  <c r="AQ43" i="37"/>
  <c r="BK44" i="37"/>
  <c r="AA44" i="37"/>
  <c r="AB44" i="37" s="1"/>
  <c r="AC44" i="37" s="1"/>
  <c r="BA44" i="37"/>
  <c r="BL44" i="37"/>
  <c r="AD44" i="37"/>
  <c r="AN44" i="37"/>
  <c r="AA45" i="9"/>
  <c r="AB45" i="9" s="1"/>
  <c r="AC45" i="9" s="1"/>
  <c r="I48" i="9" s="1"/>
  <c r="C21" i="8" s="1"/>
  <c r="AD45" i="9"/>
  <c r="AM45" i="9"/>
  <c r="AN45" i="9"/>
  <c r="C27" i="8" s="1"/>
  <c r="AJ45" i="9"/>
  <c r="AO45" i="9" s="1"/>
  <c r="AK45" i="9"/>
  <c r="AS40" i="27"/>
  <c r="J40" i="27"/>
  <c r="K40" i="27" s="1"/>
  <c r="L40" i="27" s="1"/>
  <c r="AI40" i="27"/>
  <c r="AE40" i="27"/>
  <c r="AG40" i="27"/>
  <c r="U40" i="27"/>
  <c r="R40" i="27"/>
  <c r="S40" i="27"/>
  <c r="W40" i="27" s="1"/>
  <c r="AD40" i="27"/>
  <c r="AH40" i="27"/>
  <c r="V40" i="27"/>
  <c r="AP43" i="20"/>
  <c r="S46" i="21"/>
  <c r="Z46" i="21" s="1"/>
  <c r="I47" i="21" s="1"/>
  <c r="I49" i="21" s="1"/>
  <c r="AT45" i="21"/>
  <c r="B46" i="21" s="1"/>
  <c r="I46" i="21" s="1"/>
  <c r="Z45" i="21"/>
  <c r="J45" i="21"/>
  <c r="K45" i="21" s="1"/>
  <c r="L45" i="21" s="1"/>
  <c r="I56" i="21"/>
  <c r="AP44" i="21"/>
  <c r="AO44" i="21"/>
  <c r="AQ44" i="21" s="1"/>
  <c r="Z44" i="20"/>
  <c r="AT44" i="20" s="1"/>
  <c r="BD44" i="20"/>
  <c r="B45" i="20" s="1"/>
  <c r="AO43" i="20"/>
  <c r="AQ43" i="20" s="1"/>
  <c r="AZ45" i="12"/>
  <c r="H46" i="12" s="1"/>
  <c r="Y46" i="12"/>
  <c r="AV45" i="12"/>
  <c r="D46" i="12" s="1"/>
  <c r="AW45" i="12"/>
  <c r="E46" i="12" s="1"/>
  <c r="V46" i="12"/>
  <c r="I54" i="9"/>
  <c r="AP40" i="10"/>
  <c r="AO41" i="12"/>
  <c r="AT42" i="12"/>
  <c r="B43" i="12" s="1"/>
  <c r="Z42" i="12"/>
  <c r="AH42" i="12" s="1"/>
  <c r="AO40" i="10"/>
  <c r="AP41" i="12"/>
  <c r="Z41" i="10"/>
  <c r="AT41" i="10" s="1"/>
  <c r="B42" i="10"/>
  <c r="I45" i="37" l="1"/>
  <c r="J45" i="37" s="1"/>
  <c r="K45" i="37" s="1"/>
  <c r="L45" i="37" s="1"/>
  <c r="AO44" i="37"/>
  <c r="AP44" i="37"/>
  <c r="S46" i="37"/>
  <c r="Z46" i="37" s="1"/>
  <c r="I47" i="37" s="1"/>
  <c r="I49" i="37" s="1"/>
  <c r="Z45" i="37"/>
  <c r="C26" i="8"/>
  <c r="C28" i="8" s="1"/>
  <c r="AP45" i="9"/>
  <c r="AQ45" i="9" s="1"/>
  <c r="X40" i="27"/>
  <c r="Y40" i="27" s="1"/>
  <c r="AR40" i="27"/>
  <c r="H41" i="27" s="1"/>
  <c r="AL40" i="27"/>
  <c r="I45" i="20"/>
  <c r="S45" i="20"/>
  <c r="BB45" i="21"/>
  <c r="BA45" i="21"/>
  <c r="AD45" i="21"/>
  <c r="AA45" i="21"/>
  <c r="AB45" i="21" s="1"/>
  <c r="AC45" i="21" s="1"/>
  <c r="I48" i="21" s="1"/>
  <c r="AK45" i="21"/>
  <c r="AJ45" i="21"/>
  <c r="AM45" i="21"/>
  <c r="AN45" i="21"/>
  <c r="AH44" i="20"/>
  <c r="I53" i="21"/>
  <c r="AH45" i="21"/>
  <c r="AA44" i="20"/>
  <c r="AB44" i="20" s="1"/>
  <c r="AC44" i="20" s="1"/>
  <c r="AD44" i="20"/>
  <c r="BA44" i="20"/>
  <c r="BL44" i="20"/>
  <c r="BK44" i="20"/>
  <c r="AJ44" i="20"/>
  <c r="AM44" i="20"/>
  <c r="AZ44" i="20"/>
  <c r="AY44" i="20"/>
  <c r="AN44" i="20"/>
  <c r="AK44" i="20"/>
  <c r="AV44" i="20"/>
  <c r="AW44" i="20"/>
  <c r="I43" i="12"/>
  <c r="J43" i="12" s="1"/>
  <c r="K43" i="12" s="1"/>
  <c r="L43" i="12" s="1"/>
  <c r="S43" i="12"/>
  <c r="AQ40" i="10"/>
  <c r="AQ41" i="12"/>
  <c r="AA42" i="12"/>
  <c r="AB42" i="12" s="1"/>
  <c r="AC42" i="12" s="1"/>
  <c r="BA42" i="12"/>
  <c r="AD42" i="12"/>
  <c r="AN42" i="12"/>
  <c r="AK42" i="12"/>
  <c r="AM42" i="12"/>
  <c r="AJ42" i="12"/>
  <c r="BB42" i="12"/>
  <c r="BQ42" i="12"/>
  <c r="BO42" i="12"/>
  <c r="BU42" i="12"/>
  <c r="BR42" i="12"/>
  <c r="BT42" i="12"/>
  <c r="BV42" i="12"/>
  <c r="AD41" i="10"/>
  <c r="AA41" i="10"/>
  <c r="AB41" i="10" s="1"/>
  <c r="AC41" i="10" s="1"/>
  <c r="AH41" i="10"/>
  <c r="BK41" i="10"/>
  <c r="BL41" i="10"/>
  <c r="I42" i="10"/>
  <c r="J42" i="10" s="1"/>
  <c r="K42" i="10" s="1"/>
  <c r="L42" i="10" s="1"/>
  <c r="S42" i="10"/>
  <c r="AV41" i="10"/>
  <c r="AW41" i="10"/>
  <c r="BA41" i="10"/>
  <c r="AY41" i="10"/>
  <c r="AJ41" i="10"/>
  <c r="AZ41" i="10"/>
  <c r="AK41" i="10"/>
  <c r="AM41" i="10"/>
  <c r="AN41" i="10"/>
  <c r="BJ45" i="37" l="1"/>
  <c r="H46" i="37" s="1"/>
  <c r="BD45" i="37"/>
  <c r="B46" i="37" s="1"/>
  <c r="I46" i="37" s="1"/>
  <c r="I53" i="37" s="1"/>
  <c r="I56" i="37"/>
  <c r="AZ45" i="37"/>
  <c r="AT45" i="37"/>
  <c r="AH45" i="37"/>
  <c r="AQ44" i="37"/>
  <c r="BA45" i="37"/>
  <c r="AD45" i="37"/>
  <c r="BK45" i="37"/>
  <c r="AA45" i="37"/>
  <c r="AB45" i="37" s="1"/>
  <c r="AC45" i="37" s="1"/>
  <c r="I48" i="37" s="1"/>
  <c r="AN45" i="37"/>
  <c r="B41" i="27"/>
  <c r="AT40" i="27"/>
  <c r="AP45" i="21"/>
  <c r="AO45" i="21"/>
  <c r="AQ45" i="21" s="1"/>
  <c r="Z45" i="20"/>
  <c r="S46" i="20"/>
  <c r="Z46" i="20" s="1"/>
  <c r="I47" i="20" s="1"/>
  <c r="I49" i="20" s="1"/>
  <c r="BD45" i="20"/>
  <c r="B46" i="20" s="1"/>
  <c r="I46" i="20" s="1"/>
  <c r="AT45" i="20"/>
  <c r="AH45" i="20"/>
  <c r="I54" i="21"/>
  <c r="AO44" i="20"/>
  <c r="AP44" i="20"/>
  <c r="J45" i="20"/>
  <c r="K45" i="20" s="1"/>
  <c r="L45" i="20" s="1"/>
  <c r="I56" i="20"/>
  <c r="Z43" i="12"/>
  <c r="AH43" i="12" s="1"/>
  <c r="AT43" i="12"/>
  <c r="B44" i="12" s="1"/>
  <c r="AO42" i="12"/>
  <c r="AP42" i="12"/>
  <c r="AP41" i="10"/>
  <c r="AO41" i="10"/>
  <c r="Z42" i="10"/>
  <c r="BL45" i="37" l="1"/>
  <c r="AP45" i="37"/>
  <c r="I54" i="37"/>
  <c r="AO45" i="37"/>
  <c r="I41" i="27"/>
  <c r="AB41" i="27"/>
  <c r="P41" i="27"/>
  <c r="I53" i="20"/>
  <c r="AA45" i="20"/>
  <c r="AB45" i="20" s="1"/>
  <c r="AC45" i="20" s="1"/>
  <c r="I48" i="20" s="1"/>
  <c r="BK45" i="20"/>
  <c r="AD45" i="20"/>
  <c r="BA45" i="20"/>
  <c r="BL45" i="20"/>
  <c r="AV45" i="20"/>
  <c r="AN45" i="20"/>
  <c r="AJ45" i="20"/>
  <c r="AZ45" i="20"/>
  <c r="AM45" i="20"/>
  <c r="AY45" i="20"/>
  <c r="AW45" i="20"/>
  <c r="AK45" i="20"/>
  <c r="AQ44" i="20"/>
  <c r="S44" i="12"/>
  <c r="I44" i="12"/>
  <c r="J44" i="12" s="1"/>
  <c r="K44" i="12" s="1"/>
  <c r="L44" i="12" s="1"/>
  <c r="AQ42" i="12"/>
  <c r="AD43" i="12"/>
  <c r="BA43" i="12"/>
  <c r="AA43" i="12"/>
  <c r="AB43" i="12" s="1"/>
  <c r="AC43" i="12" s="1"/>
  <c r="BB43" i="12"/>
  <c r="AN43" i="12"/>
  <c r="AK43" i="12"/>
  <c r="AM43" i="12"/>
  <c r="AJ43" i="12"/>
  <c r="AH42" i="10"/>
  <c r="BJ42" i="10"/>
  <c r="H43" i="10" s="1"/>
  <c r="Y43" i="10" s="1"/>
  <c r="BD42" i="10"/>
  <c r="B43" i="10" s="1"/>
  <c r="S43" i="10" s="1"/>
  <c r="BF42" i="10"/>
  <c r="D43" i="10" s="1"/>
  <c r="BG42" i="10"/>
  <c r="E43" i="10" s="1"/>
  <c r="V43" i="10" s="1"/>
  <c r="BI42" i="10"/>
  <c r="G43" i="10" s="1"/>
  <c r="X43" i="10" s="1"/>
  <c r="AQ41" i="10"/>
  <c r="BK42" i="10"/>
  <c r="AT42" i="10"/>
  <c r="AV42" i="10"/>
  <c r="AK42" i="10"/>
  <c r="AZ42" i="10"/>
  <c r="AM42" i="10"/>
  <c r="AN42" i="10"/>
  <c r="AW42" i="10"/>
  <c r="AJ42" i="10"/>
  <c r="AY42" i="10"/>
  <c r="BA42" i="10"/>
  <c r="AD42" i="10"/>
  <c r="AA42" i="10"/>
  <c r="AQ45" i="37" l="1"/>
  <c r="AI41" i="27"/>
  <c r="AE41" i="27"/>
  <c r="AS41" i="27"/>
  <c r="R41" i="27"/>
  <c r="S41" i="27"/>
  <c r="U41" i="27"/>
  <c r="AD41" i="27"/>
  <c r="J41" i="27"/>
  <c r="K41" i="27" s="1"/>
  <c r="L41" i="27" s="1"/>
  <c r="AG41" i="27"/>
  <c r="V41" i="27"/>
  <c r="AH41" i="27"/>
  <c r="AO45" i="20"/>
  <c r="I54" i="20"/>
  <c r="AP45" i="20"/>
  <c r="Z44" i="12"/>
  <c r="AH44" i="12" s="1"/>
  <c r="AT44" i="12"/>
  <c r="B45" i="12" s="1"/>
  <c r="AP43" i="12"/>
  <c r="AO43" i="12"/>
  <c r="BG43" i="10"/>
  <c r="BD43" i="10"/>
  <c r="B44" i="10" s="1"/>
  <c r="BI43" i="10"/>
  <c r="I43" i="10"/>
  <c r="J43" i="10" s="1"/>
  <c r="K43" i="10" s="1"/>
  <c r="L43" i="10" s="1"/>
  <c r="U43" i="10"/>
  <c r="Z43" i="10" s="1"/>
  <c r="BJ43" i="10"/>
  <c r="BL42" i="10"/>
  <c r="AB42" i="10"/>
  <c r="AC42" i="10" s="1"/>
  <c r="AP42" i="10"/>
  <c r="AO42" i="10"/>
  <c r="D42" i="7"/>
  <c r="AD42" i="7" s="1"/>
  <c r="D43" i="7" s="1"/>
  <c r="G42" i="7"/>
  <c r="AG42" i="7" s="1"/>
  <c r="G43" i="7" s="1"/>
  <c r="E42" i="7"/>
  <c r="AE42" i="7" s="1"/>
  <c r="E43" i="7" s="1"/>
  <c r="H42" i="7"/>
  <c r="AH42" i="7" s="1"/>
  <c r="H43" i="7" s="1"/>
  <c r="B42" i="7"/>
  <c r="AB42" i="7" s="1"/>
  <c r="B43" i="7" s="1"/>
  <c r="E44" i="10" l="1"/>
  <c r="V44" i="10" s="1"/>
  <c r="W41" i="27"/>
  <c r="H44" i="10"/>
  <c r="Y44" i="10" s="1"/>
  <c r="I44" i="10"/>
  <c r="J44" i="10" s="1"/>
  <c r="K44" i="10" s="1"/>
  <c r="L44" i="10" s="1"/>
  <c r="S44" i="10"/>
  <c r="G44" i="10"/>
  <c r="X44" i="10" s="1"/>
  <c r="AQ45" i="20"/>
  <c r="AR41" i="27"/>
  <c r="H42" i="27" s="1"/>
  <c r="AQ41" i="27"/>
  <c r="G42" i="27" s="1"/>
  <c r="AL41" i="27"/>
  <c r="AN41" i="27"/>
  <c r="D42" i="27" s="1"/>
  <c r="AO41" i="27"/>
  <c r="E42" i="27" s="1"/>
  <c r="X41" i="27"/>
  <c r="Y41" i="27" s="1"/>
  <c r="S45" i="12"/>
  <c r="I45" i="12"/>
  <c r="AA44" i="12"/>
  <c r="AB44" i="12" s="1"/>
  <c r="AC44" i="12" s="1"/>
  <c r="AD44" i="12"/>
  <c r="BA44" i="12"/>
  <c r="BB44" i="12"/>
  <c r="AM44" i="12"/>
  <c r="AK44" i="12"/>
  <c r="AJ44" i="12"/>
  <c r="AN44" i="12"/>
  <c r="AQ43" i="12"/>
  <c r="I43" i="7"/>
  <c r="D18" i="13" s="1"/>
  <c r="AB43" i="7"/>
  <c r="B44" i="7" s="1"/>
  <c r="AH43" i="7"/>
  <c r="H44" i="7" s="1"/>
  <c r="AE43" i="7"/>
  <c r="E44" i="7" s="1"/>
  <c r="AG43" i="7"/>
  <c r="G44" i="7" s="1"/>
  <c r="AD43" i="7"/>
  <c r="D44" i="7" s="1"/>
  <c r="AD43" i="10"/>
  <c r="BK43" i="10"/>
  <c r="BA43" i="10"/>
  <c r="AA43" i="10"/>
  <c r="AB43" i="10" s="1"/>
  <c r="AC43" i="10" s="1"/>
  <c r="AY43" i="10"/>
  <c r="AK43" i="10"/>
  <c r="AN43" i="10"/>
  <c r="AW43" i="10"/>
  <c r="AH43" i="10"/>
  <c r="AT43" i="10"/>
  <c r="AM43" i="10"/>
  <c r="AZ43" i="10"/>
  <c r="AJ43" i="10"/>
  <c r="AV43" i="10"/>
  <c r="BF43" i="10"/>
  <c r="D44" i="10" s="1"/>
  <c r="U44" i="10" s="1"/>
  <c r="I42" i="7"/>
  <c r="D17" i="13" s="1"/>
  <c r="AQ42" i="10"/>
  <c r="AI42" i="7"/>
  <c r="AO44" i="12" l="1"/>
  <c r="AE44" i="7"/>
  <c r="E45" i="7" s="1"/>
  <c r="BJ44" i="10"/>
  <c r="H45" i="10" s="1"/>
  <c r="Y45" i="10" s="1"/>
  <c r="AN44" i="10"/>
  <c r="AZ44" i="10"/>
  <c r="AD44" i="7"/>
  <c r="D45" i="7" s="1"/>
  <c r="R44" i="7"/>
  <c r="BD44" i="10"/>
  <c r="B45" i="10" s="1"/>
  <c r="Z44" i="10"/>
  <c r="AT44" i="10" s="1"/>
  <c r="AH44" i="10"/>
  <c r="AG44" i="7"/>
  <c r="G45" i="7" s="1"/>
  <c r="I44" i="7"/>
  <c r="AB44" i="7"/>
  <c r="AH44" i="7"/>
  <c r="H45" i="7" s="1"/>
  <c r="BG44" i="10"/>
  <c r="E45" i="10" s="1"/>
  <c r="V45" i="10" s="1"/>
  <c r="AW44" i="10"/>
  <c r="AK44" i="10"/>
  <c r="BF44" i="10"/>
  <c r="D45" i="10" s="1"/>
  <c r="U45" i="10" s="1"/>
  <c r="AV44" i="10"/>
  <c r="BI44" i="10"/>
  <c r="G45" i="10" s="1"/>
  <c r="X45" i="10" s="1"/>
  <c r="AY44" i="10"/>
  <c r="AM44" i="10"/>
  <c r="B42" i="27"/>
  <c r="AT41" i="27"/>
  <c r="AQ42" i="27"/>
  <c r="G43" i="27" s="1"/>
  <c r="AO42" i="27"/>
  <c r="E43" i="27" s="1"/>
  <c r="AN42" i="27"/>
  <c r="D43" i="27" s="1"/>
  <c r="J45" i="12"/>
  <c r="K45" i="12" s="1"/>
  <c r="L45" i="12" s="1"/>
  <c r="I56" i="12"/>
  <c r="AP44" i="12"/>
  <c r="AQ44" i="12" s="1"/>
  <c r="AT45" i="12"/>
  <c r="B46" i="12" s="1"/>
  <c r="I46" i="12" s="1"/>
  <c r="Z45" i="12"/>
  <c r="S46" i="12"/>
  <c r="Z46" i="12" s="1"/>
  <c r="I47" i="12" s="1"/>
  <c r="J43" i="7"/>
  <c r="K43" i="7" s="1"/>
  <c r="L43" i="7" s="1"/>
  <c r="S43" i="7"/>
  <c r="V43" i="7"/>
  <c r="R43" i="7"/>
  <c r="AI43" i="7"/>
  <c r="AJ43" i="7" s="1"/>
  <c r="U43" i="7"/>
  <c r="P43" i="7"/>
  <c r="AO43" i="10"/>
  <c r="AP43" i="10"/>
  <c r="BL43" i="10"/>
  <c r="AJ42" i="7"/>
  <c r="U42" i="7"/>
  <c r="S42" i="7"/>
  <c r="R42" i="7"/>
  <c r="J42" i="7"/>
  <c r="K42" i="7" s="1"/>
  <c r="L42" i="7" s="1"/>
  <c r="P42" i="7"/>
  <c r="V42" i="7"/>
  <c r="D19" i="13" l="1"/>
  <c r="J44" i="7"/>
  <c r="K44" i="7" s="1"/>
  <c r="L44" i="7" s="1"/>
  <c r="U44" i="7"/>
  <c r="AG45" i="7"/>
  <c r="G46" i="7" s="1"/>
  <c r="BJ45" i="10"/>
  <c r="H46" i="10" s="1"/>
  <c r="Y46" i="10"/>
  <c r="V44" i="7"/>
  <c r="S44" i="7"/>
  <c r="B45" i="7"/>
  <c r="AI44" i="7"/>
  <c r="AJ44" i="7" s="1"/>
  <c r="BF45" i="10"/>
  <c r="D46" i="10" s="1"/>
  <c r="BI45" i="10"/>
  <c r="G46" i="10" s="1"/>
  <c r="X46" i="10"/>
  <c r="AH45" i="7"/>
  <c r="H46" i="7" s="1"/>
  <c r="AA44" i="10"/>
  <c r="AB44" i="10" s="1"/>
  <c r="AC44" i="10" s="1"/>
  <c r="BK44" i="10"/>
  <c r="BA44" i="10"/>
  <c r="BL44" i="10"/>
  <c r="AD44" i="10"/>
  <c r="AE45" i="7"/>
  <c r="E46" i="7" s="1"/>
  <c r="AD45" i="7"/>
  <c r="D46" i="7" s="1"/>
  <c r="BG45" i="10"/>
  <c r="E46" i="10" s="1"/>
  <c r="V46" i="10"/>
  <c r="U46" i="10"/>
  <c r="AJ44" i="10"/>
  <c r="AP44" i="10" s="1"/>
  <c r="P44" i="7"/>
  <c r="S45" i="10"/>
  <c r="I45" i="10"/>
  <c r="J45" i="10" s="1"/>
  <c r="K45" i="10" s="1"/>
  <c r="L45" i="10" s="1"/>
  <c r="AO43" i="27"/>
  <c r="E44" i="27" s="1"/>
  <c r="I42" i="27"/>
  <c r="AN43" i="27"/>
  <c r="D44" i="27" s="1"/>
  <c r="AQ43" i="27"/>
  <c r="G44" i="27" s="1"/>
  <c r="AA45" i="12"/>
  <c r="AD45" i="12"/>
  <c r="BA45" i="12"/>
  <c r="BB45" i="12"/>
  <c r="AM45" i="12"/>
  <c r="AN45" i="12"/>
  <c r="D27" i="8" s="1"/>
  <c r="AK45" i="12"/>
  <c r="AJ45" i="12"/>
  <c r="AH45" i="12"/>
  <c r="I49" i="12"/>
  <c r="D22" i="8" s="1"/>
  <c r="G22" i="8" s="1"/>
  <c r="D20" i="8"/>
  <c r="G20" i="8" s="1"/>
  <c r="D19" i="8"/>
  <c r="I53" i="12"/>
  <c r="X43" i="7"/>
  <c r="W43" i="7"/>
  <c r="I56" i="10"/>
  <c r="AQ43" i="10"/>
  <c r="X42" i="7"/>
  <c r="W42" i="7"/>
  <c r="W44" i="7" l="1"/>
  <c r="Y44" i="7" s="1"/>
  <c r="X44" i="7"/>
  <c r="I45" i="7"/>
  <c r="AB45" i="7"/>
  <c r="P45" i="7"/>
  <c r="AO44" i="10"/>
  <c r="AQ44" i="10" s="1"/>
  <c r="Z45" i="10"/>
  <c r="BD45" i="10"/>
  <c r="B46" i="10" s="1"/>
  <c r="I46" i="10" s="1"/>
  <c r="B19" i="8" s="1"/>
  <c r="S46" i="10"/>
  <c r="Z46" i="10" s="1"/>
  <c r="AN44" i="27"/>
  <c r="D45" i="27" s="1"/>
  <c r="AN45" i="27" s="1"/>
  <c r="D46" i="27" s="1"/>
  <c r="AS42" i="27"/>
  <c r="AI42" i="27"/>
  <c r="J42" i="27"/>
  <c r="K42" i="27" s="1"/>
  <c r="L42" i="27" s="1"/>
  <c r="V42" i="27"/>
  <c r="S42" i="27"/>
  <c r="R42" i="27"/>
  <c r="AH42" i="27"/>
  <c r="U42" i="27"/>
  <c r="AE42" i="27"/>
  <c r="AG42" i="27"/>
  <c r="AD42" i="27"/>
  <c r="AQ44" i="27"/>
  <c r="G45" i="27" s="1"/>
  <c r="AQ45" i="27" s="1"/>
  <c r="G46" i="27" s="1"/>
  <c r="P42" i="27"/>
  <c r="AB42" i="27"/>
  <c r="AO44" i="27"/>
  <c r="E45" i="27" s="1"/>
  <c r="AO45" i="27" s="1"/>
  <c r="E46" i="27" s="1"/>
  <c r="K19" i="8"/>
  <c r="G19" i="8"/>
  <c r="AO45" i="12"/>
  <c r="AP45" i="12"/>
  <c r="D26" i="8"/>
  <c r="D28" i="8" s="1"/>
  <c r="AB45" i="12"/>
  <c r="AC45" i="12" s="1"/>
  <c r="I48" i="12" s="1"/>
  <c r="D21" i="8" s="1"/>
  <c r="G21" i="8" s="1"/>
  <c r="I54" i="12"/>
  <c r="Y43" i="7"/>
  <c r="I54" i="7"/>
  <c r="Y42" i="7"/>
  <c r="J19" i="8"/>
  <c r="F19" i="8"/>
  <c r="H19" i="8"/>
  <c r="I47" i="10" l="1"/>
  <c r="I53" i="10"/>
  <c r="AI45" i="7"/>
  <c r="AJ45" i="7" s="1"/>
  <c r="B46" i="7"/>
  <c r="I46" i="7" s="1"/>
  <c r="J45" i="7"/>
  <c r="K45" i="7" s="1"/>
  <c r="L45" i="7" s="1"/>
  <c r="I48" i="7" s="1"/>
  <c r="D8" i="8" s="1"/>
  <c r="F8" i="8" s="1"/>
  <c r="D20" i="13"/>
  <c r="R45" i="7"/>
  <c r="X45" i="7" s="1"/>
  <c r="S45" i="7"/>
  <c r="D12" i="8" s="1"/>
  <c r="G12" i="8" s="1"/>
  <c r="U45" i="7"/>
  <c r="V45" i="7"/>
  <c r="D13" i="8" s="1"/>
  <c r="F13" i="8" s="1"/>
  <c r="AD45" i="10"/>
  <c r="AA45" i="10"/>
  <c r="BK45" i="10"/>
  <c r="BL45" i="10"/>
  <c r="BA45" i="10"/>
  <c r="AZ45" i="10"/>
  <c r="AJ45" i="10"/>
  <c r="AK45" i="10"/>
  <c r="AV45" i="10"/>
  <c r="AY45" i="10"/>
  <c r="AW45" i="10"/>
  <c r="AM45" i="10"/>
  <c r="AN45" i="10"/>
  <c r="B27" i="8" s="1"/>
  <c r="AT45" i="10"/>
  <c r="AH45" i="10"/>
  <c r="W42" i="27"/>
  <c r="AR42" i="27"/>
  <c r="H43" i="27" s="1"/>
  <c r="AL42" i="27"/>
  <c r="X42" i="27"/>
  <c r="AQ45" i="12"/>
  <c r="I53" i="7"/>
  <c r="G8" i="8"/>
  <c r="G13" i="8"/>
  <c r="Y42" i="27" l="1"/>
  <c r="AB45" i="10"/>
  <c r="AC45" i="10" s="1"/>
  <c r="I48" i="10" s="1"/>
  <c r="B21" i="8" s="1"/>
  <c r="I54" i="10"/>
  <c r="W45" i="7"/>
  <c r="Y45" i="7" s="1"/>
  <c r="D6" i="8"/>
  <c r="I52" i="7"/>
  <c r="I47" i="7"/>
  <c r="AP45" i="10"/>
  <c r="AQ45" i="10" s="1"/>
  <c r="B26" i="8"/>
  <c r="B28" i="8" s="1"/>
  <c r="AO45" i="10"/>
  <c r="B20" i="8"/>
  <c r="I49" i="10"/>
  <c r="B22" i="8" s="1"/>
  <c r="B43" i="27"/>
  <c r="AT42" i="27"/>
  <c r="D14" i="8"/>
  <c r="F12" i="8"/>
  <c r="I49" i="7" l="1"/>
  <c r="D9" i="8" s="1"/>
  <c r="D7" i="8"/>
  <c r="J6" i="8"/>
  <c r="K6" i="8"/>
  <c r="F6" i="8"/>
  <c r="G6" i="8"/>
  <c r="H21" i="8"/>
  <c r="F21" i="8"/>
  <c r="H22" i="8"/>
  <c r="F22" i="8"/>
  <c r="H20" i="8"/>
  <c r="F20" i="8"/>
  <c r="I43" i="27"/>
  <c r="P43" i="27" l="1"/>
  <c r="F7" i="8"/>
  <c r="G7" i="8"/>
  <c r="AB43" i="27"/>
  <c r="G9" i="8"/>
  <c r="F9" i="8"/>
  <c r="J43" i="27"/>
  <c r="AS43" i="27"/>
  <c r="AI43" i="27"/>
  <c r="R43" i="27"/>
  <c r="U43" i="27"/>
  <c r="S43" i="27"/>
  <c r="AD43" i="27"/>
  <c r="AE43" i="27"/>
  <c r="AG43" i="27"/>
  <c r="AH43" i="27"/>
  <c r="V43" i="27"/>
  <c r="X43" i="27" l="1"/>
  <c r="W43" i="27"/>
  <c r="Y43" i="27" s="1"/>
  <c r="AR43" i="27"/>
  <c r="H44" i="27" s="1"/>
  <c r="AL43" i="27"/>
  <c r="K43" i="27"/>
  <c r="L43" i="27" s="1"/>
  <c r="B44" i="27" l="1"/>
  <c r="AT43" i="27"/>
  <c r="I44" i="27" l="1"/>
  <c r="J44" i="27" l="1"/>
  <c r="AI44" i="27"/>
  <c r="AS44" i="27"/>
  <c r="U44" i="27"/>
  <c r="S44" i="27"/>
  <c r="AG44" i="27"/>
  <c r="R44" i="27"/>
  <c r="AE44" i="27"/>
  <c r="AD44" i="27"/>
  <c r="V44" i="27"/>
  <c r="AH44" i="27"/>
  <c r="AB44" i="27"/>
  <c r="P44" i="27"/>
  <c r="W44" i="27" l="1"/>
  <c r="X44" i="27"/>
  <c r="AR44" i="27"/>
  <c r="H45" i="27" s="1"/>
  <c r="AL44" i="27"/>
  <c r="K44" i="27"/>
  <c r="L44" i="27" s="1"/>
  <c r="B45" i="27" l="1"/>
  <c r="AT44" i="27"/>
  <c r="Y44" i="27"/>
  <c r="I45" i="27" l="1"/>
  <c r="P45" i="27"/>
  <c r="R45" i="27" l="1"/>
  <c r="AD45" i="27"/>
  <c r="AG45" i="27"/>
  <c r="AI45" i="27"/>
  <c r="U45" i="27"/>
  <c r="AS45" i="27"/>
  <c r="S45" i="27"/>
  <c r="J45" i="27"/>
  <c r="AE45" i="27"/>
  <c r="I54" i="27"/>
  <c r="V45" i="27"/>
  <c r="AH45" i="27"/>
  <c r="AB45" i="27"/>
  <c r="W45" i="27" l="1"/>
  <c r="AR45" i="27"/>
  <c r="H46" i="27" s="1"/>
  <c r="AL45" i="27"/>
  <c r="K45" i="27"/>
  <c r="L45" i="27" s="1"/>
  <c r="I48" i="27" s="1"/>
  <c r="X45" i="27"/>
  <c r="B46" i="27" l="1"/>
  <c r="I46" i="27" s="1"/>
  <c r="AT45" i="27"/>
  <c r="Y45" i="27"/>
  <c r="I52" i="27" l="1"/>
  <c r="I47" i="27"/>
  <c r="I49" i="27" s="1"/>
  <c r="I53" i="27"/>
</calcChain>
</file>

<file path=xl/sharedStrings.xml><?xml version="1.0" encoding="utf-8"?>
<sst xmlns="http://schemas.openxmlformats.org/spreadsheetml/2006/main" count="779" uniqueCount="171">
  <si>
    <t>Ending Equity Allocation</t>
  </si>
  <si>
    <t>Ending Fixed-Income Allocation</t>
  </si>
  <si>
    <t>Allocation Check</t>
  </si>
  <si>
    <t>Rebalance vs Panic</t>
  </si>
  <si>
    <t>No Change vs Panic</t>
  </si>
  <si>
    <t>Rebalance vs Not Rebalancing</t>
  </si>
  <si>
    <t>Equity</t>
  </si>
  <si>
    <t>Allocation</t>
  </si>
  <si>
    <t>Panic and Sell When S&amp;P 500 Falls &gt; 20%</t>
  </si>
  <si>
    <t>Table 2. Returns from Starting in 2000</t>
  </si>
  <si>
    <t>No Rebalancing</t>
  </si>
  <si>
    <t>2. Non-Rebalanced Strategy - End of Year Balance</t>
  </si>
  <si>
    <t>2. Rebalanced Strategy (5% Triggers) - End of Year Balance</t>
  </si>
  <si>
    <t>3. Allocations prior to Rebalancing</t>
  </si>
  <si>
    <t>2. Panic Strategy - End of Year Balance</t>
  </si>
  <si>
    <t>3. Panic Strategy - Annual Allocations</t>
  </si>
  <si>
    <t>4. Non-Rebalanced Strategy - Withdrawal Equal Amounts from All Funds</t>
  </si>
  <si>
    <t>4. Rebalanced Strategy - Withdrawal Equal Amounts from All Funds</t>
  </si>
  <si>
    <t>5. Rebalanced Strategy - Annual Allocations</t>
  </si>
  <si>
    <t>7. Rebalanced Strategy (5% Triggers) - Rebalance Grid</t>
  </si>
  <si>
    <t>4. Panic Strategy - Withdrawal Equal Amounts from All Funds</t>
  </si>
  <si>
    <t>5. Panic Strategy - Annual Allocations</t>
  </si>
  <si>
    <t>Total Withdrawals</t>
  </si>
  <si>
    <t>Return data from Morningstar; available in truncated form in AAII's Mutual Fund Guide</t>
  </si>
  <si>
    <t>CPI  (CPI-U - US city average all urban consumers ) seas adj data used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</si>
  <si>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</si>
  <si>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</si>
  <si>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</si>
  <si>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</si>
  <si>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</si>
  <si>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</si>
  <si>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</si>
  <si>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</si>
  <si>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</si>
  <si>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</si>
  <si>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</si>
  <si>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</si>
  <si>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</si>
  <si>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</si>
  <si>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</si>
  <si>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</si>
  <si>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</si>
  <si>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</si>
  <si>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</si>
  <si>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</si>
  <si>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</si>
  <si>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</si>
  <si>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</si>
  <si>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</si>
  <si>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</si>
  <si>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</si>
  <si>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</si>
  <si>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</si>
  <si>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</si>
  <si>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</si>
  <si>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</si>
  <si>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</si>
  <si>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</si>
  <si>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</si>
  <si>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</si>
  <si>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</si>
  <si>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</si>
  <si>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</si>
  <si>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</si>
  <si>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Annualized Return</t>
  </si>
  <si>
    <t>Largest Annual Loss</t>
  </si>
  <si>
    <t>Non-Rebalanced Portfolio</t>
  </si>
  <si>
    <t>1A. CPI Data from EconStats</t>
  </si>
  <si>
    <t>Final</t>
  </si>
  <si>
    <t>CPI</t>
  </si>
  <si>
    <t>Rebalancing is done manually; including blue shading of cells</t>
  </si>
  <si>
    <t>Rebalancing required at the end of 2013</t>
  </si>
  <si>
    <t>Portfolio Strategy</t>
  </si>
  <si>
    <t>Rebalance at 5% Thresholds</t>
  </si>
  <si>
    <t>Total Return</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</si>
  <si>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</si>
  <si>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</si>
  <si>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</si>
  <si>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</si>
  <si>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</si>
  <si>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</si>
  <si>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</si>
  <si>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</si>
  <si>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</si>
  <si>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</si>
  <si>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</si>
  <si>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</si>
  <si>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</si>
  <si>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</si>
  <si>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</si>
  <si>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</si>
  <si>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</si>
  <si>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</si>
  <si>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</si>
  <si>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</si>
  <si>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</si>
  <si>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</si>
  <si>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</si>
  <si>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</si>
  <si>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</si>
  <si>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</si>
  <si>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</si>
  <si>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</si>
  <si>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</si>
  <si>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</si>
  <si>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</si>
  <si>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</si>
  <si>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</si>
  <si>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</si>
  <si>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</si>
  <si>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</si>
  <si>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</si>
  <si>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</si>
  <si>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</si>
  <si>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</si>
  <si>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</si>
  <si>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</si>
  <si>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</si>
  <si>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</si>
  <si>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</si>
  <si>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</si>
  <si>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</si>
  <si>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</si>
  <si>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</si>
  <si>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Portfolio allocations - per fund dollar amount divided by portfolio's total balance</t>
  </si>
  <si>
    <t>1A. Geometric Mean of Fund Returns - Pulls from Non-Rebalanced Portfolio</t>
  </si>
  <si>
    <t>3. Non-Rebalanced Strategy Annual Allocations</t>
  </si>
  <si>
    <t>Annual return information for funds; data pulls from Non-Rebalanced Strategy tab</t>
  </si>
  <si>
    <t>End of year performance calculated as balances from prior year times fund return for current year in Table 5. 2000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</si>
  <si>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</si>
  <si>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</si>
  <si>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</si>
  <si>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times fund return for current year in Table 4. 2000 end of year balance based solely on annual fund performance.  Manually adjust standard deviation for number of periods</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</si>
  <si>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</si>
  <si>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</si>
  <si>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5. Non-Rebalanced Strategy - Annual Allocations</t>
  </si>
  <si>
    <t>Annual balances calculated using end of year post-withdrawal data for previous years times fund returns for current year (Table 4), since all data beyond 2000 factors in withdrawals. 2000 returns are pre-withdrawals. Largest drawdown and worse return calculated before withdrawals to show impact of market on the portfolio. No rebalancing occurs.</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</si>
  <si>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</si>
  <si>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</si>
  <si>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</si>
  <si>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 xml:space="preserve">Annual balances calculated using end of year post-withdrawal data for previous years times fund returns for current year (Table 7), since all data beyond 2000 factors in withdrawals and rebalancing. 2000 returns are pre-withdrawals. Returns calculated before any rebalancing adjustments are made for that specific year. Largest drawdown and worse return calculated before withdrawals and rebalancing to show impact of market on the portfolio. </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</si>
  <si>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</si>
  <si>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 xml:space="preserve">Annual balances calculated using end of year post-withdrawal data for previous years times fund returns for current year (Table 4), since all data beyond 2000 factors in withdrawals. 2000 returns are pre-withdrawals. Returns calculated before any panicking adjustments are made for that specific year. Starting values for 2001 and beyond are from Table 6, and reflect any adjustments for panicking. Largest drawdown and worse return calculated before withdrawals to show impact of market on the portfolio. </t>
  </si>
  <si>
    <t>https://research.stlouisfed.org/fred2/series/CPIAUCSL</t>
  </si>
  <si>
    <t>CPI Data from Econostats thru 2013, data from FRED for 2014 forward used</t>
  </si>
  <si>
    <t>Balance Check</t>
    <phoneticPr fontId="12" type="noConversion"/>
  </si>
  <si>
    <t>Gain/Loss Check</t>
  </si>
  <si>
    <t>Withdrawal Check</t>
  </si>
  <si>
    <t>Non-Withdrawal Portfolio Results (2000 - 2015)</t>
  </si>
  <si>
    <t>Withdrawal Portfolio Results (2000 - 2015)</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</si>
  <si>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</si>
  <si>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</si>
  <si>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</si>
  <si>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</si>
  <si>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Starting</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</si>
  <si>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</si>
  <si>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</si>
  <si>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</si>
  <si>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</si>
  <si>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Constant allocation to 60% large-cap stocks/40% bonds is used with annual rebalancing</t>
  </si>
  <si>
    <t>SP500 Only Portfolio</t>
  </si>
  <si>
    <t>End of year performance calculated as balances from prior year (Table 5) times fund return for current year (Table 1). 2000 end of year balance based solely on annual fund performance (Table 1).  Manually adjust standard deviation for number of periods.</t>
  </si>
  <si>
    <t>4.5% &amp; 4% Withdrawals-No Rebalancing</t>
  </si>
  <si>
    <t>Withdrawal amount starts at 4.5% (4%) of year-end 2000 balance. Initial amount is adjusted upwards annually based on change in CPI using data in Table 1A.</t>
  </si>
  <si>
    <t>Withdrawal amount starts at 4.5% (4%) of year-end 2000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</si>
  <si>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</si>
  <si>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</si>
  <si>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</si>
  <si>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</si>
  <si>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 xml:space="preserve">Annual balances calculated using end of year post-withdrawal data for previous years times fund returns for current year (Table 4), since all data beyond 1988 factors in withdrawals. 2000 returns are pre-withdrawals. Returns calculated before annual rebalancing back to a 60/40 allocation for each year. Starting values for 2001 and beyond are from Table 6, and reflect any adjustments for panicking. Largest drawdown and worse return calculated before withdrawals to show impact of market on the portfolio. </t>
  </si>
  <si>
    <t>Withdrawal amount starts at 4.5% of year-end 2000 balance. Initial amount is adjusted upwards annually based on change in CPI using data in Table 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</si>
</sst>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0.0%"/>
    <numFmt numFmtId="165" formatCode="_(* #,##0_);_(* \(#,##0\);_(* &quot;-&quot;??_);_(@_)"/>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cellStyleXfs>
  <cellXfs count="72">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0" fontId="0" fillId="6" borderId="0" xfId="0"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164" fontId="0" fillId="0" borderId="0" xfId="1" applyNumberFormat="1" applyFont="1" applyFill="1"/>
    <xf numFmtId="164" fontId="0" fillId="9" borderId="0" xfId="1" applyNumberFormat="1" applyFont="1" applyFill="1"/>
    <xf numFmtId="164" fontId="0" fillId="2" borderId="0" xfId="1" applyNumberFormat="1" applyFont="1" applyFill="1"/>
    <xf numFmtId="0" fontId="11" fillId="0" borderId="0" xfId="0" applyFont="1"/>
    <xf numFmtId="164" fontId="3" fillId="4" borderId="0" xfId="1" applyNumberFormat="1" applyFont="1" applyFill="1"/>
    <xf numFmtId="0" fontId="0" fillId="4" borderId="0" xfId="0" applyFill="1" applyAlignment="1">
      <alignment horizontal="right"/>
    </xf>
    <xf numFmtId="6" fontId="0" fillId="0" borderId="0" xfId="0" applyNumberFormat="1" applyAlignment="1">
      <alignment wrapText="1"/>
    </xf>
    <xf numFmtId="0" fontId="12" fillId="0" borderId="0" xfId="0" applyFont="1"/>
    <xf numFmtId="0" fontId="4" fillId="3" borderId="0" xfId="0" applyFont="1" applyFill="1"/>
    <xf numFmtId="0" fontId="0" fillId="0" borderId="1" xfId="0" applyBorder="1"/>
    <xf numFmtId="165" fontId="0" fillId="2" borderId="0" xfId="3" applyNumberFormat="1" applyFont="1" applyFill="1"/>
    <xf numFmtId="0" fontId="0" fillId="0" borderId="1" xfId="0" applyFill="1" applyBorder="1" applyAlignment="1">
      <alignment horizontal="right"/>
    </xf>
    <xf numFmtId="10" fontId="4" fillId="0" borderId="0" xfId="0" applyNumberFormat="1" applyFont="1"/>
    <xf numFmtId="6" fontId="0" fillId="0" borderId="0" xfId="0" applyNumberFormat="1" applyFill="1"/>
    <xf numFmtId="8" fontId="0" fillId="0" borderId="0" xfId="0" applyNumberFormat="1"/>
    <xf numFmtId="9" fontId="0" fillId="0" borderId="0" xfId="0" applyNumberFormat="1" applyFill="1"/>
  </cellXfs>
  <cellStyles count="4">
    <cellStyle name="Comma" xfId="3" builtinId="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1. Staying Invested</a:t>
            </a:r>
            <a:r>
              <a:rPr lang="en-US" baseline="0"/>
              <a:t>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spPr>
            <a:ln w="38100" cmpd="sng"/>
          </c:spPr>
          <c:marker>
            <c:symbol val="none"/>
          </c:marker>
          <c:cat>
            <c:strRef>
              <c:extLst>
                <c:ext xmlns:c15="http://schemas.microsoft.com/office/drawing/2012/chart" uri="{02D57815-91ED-43cb-92C2-25804820EDAC}">
                  <c15:fullRef>
                    <c15:sqref>'Chart Data'!$A$2:$A$20</c15:sqref>
                  </c15:fullRef>
                </c:ext>
              </c:extLst>
              <c:f>'Chart Data'!$A$3:$A$20</c:f>
              <c:strCach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strCache>
            </c:strRef>
          </c:cat>
          <c:val>
            <c:numRef>
              <c:extLst>
                <c:ext xmlns:c15="http://schemas.microsoft.com/office/drawing/2012/chart" uri="{02D57815-91ED-43cb-92C2-25804820EDAC}">
                  <c15:fullRef>
                    <c15:sqref>'Chart Data'!$B$2:$B$20</c15:sqref>
                  </c15:fullRef>
                </c:ext>
              </c:extLst>
              <c:f>'Chart Data'!$B$3:$B$20</c:f>
              <c:numCache>
                <c:formatCode>"$"#,##0_);[Red]\("$"#,##0\)</c:formatCode>
                <c:ptCount val="18"/>
                <c:pt idx="0">
                  <c:v>101835.3</c:v>
                </c:pt>
                <c:pt idx="1">
                  <c:v>99248.770080000002</c:v>
                </c:pt>
                <c:pt idx="2">
                  <c:v>89430.684748606087</c:v>
                </c:pt>
                <c:pt idx="3">
                  <c:v>111323.05157140639</c:v>
                </c:pt>
                <c:pt idx="4">
                  <c:v>126733.48205658728</c:v>
                </c:pt>
                <c:pt idx="5">
                  <c:v>137904.41028279898</c:v>
                </c:pt>
                <c:pt idx="6">
                  <c:v>158403.5956572069</c:v>
                </c:pt>
                <c:pt idx="7">
                  <c:v>170407.73694330134</c:v>
                </c:pt>
                <c:pt idx="8">
                  <c:v>124645.49166445051</c:v>
                </c:pt>
                <c:pt idx="9">
                  <c:v>157150.2936897226</c:v>
                </c:pt>
                <c:pt idx="10">
                  <c:v>181787.77591755227</c:v>
                </c:pt>
                <c:pt idx="11">
                  <c:v>180057.15629081719</c:v>
                </c:pt>
                <c:pt idx="12">
                  <c:v>202743.83443466548</c:v>
                </c:pt>
                <c:pt idx="13">
                  <c:v>242973.03281261772</c:v>
                </c:pt>
                <c:pt idx="14">
                  <c:v>260075.90459229791</c:v>
                </c:pt>
                <c:pt idx="15">
                  <c:v>257171.03077958533</c:v>
                </c:pt>
                <c:pt idx="16">
                  <c:v>278357.55094711116</c:v>
                </c:pt>
                <c:pt idx="17">
                  <c:v>324010.88717003312</c:v>
                </c:pt>
              </c:numCache>
            </c:numRef>
          </c:val>
          <c:smooth val="0"/>
          <c:extLst>
            <c:ext xmlns:c16="http://schemas.microsoft.com/office/drawing/2014/chart" uri="{C3380CC4-5D6E-409C-BE32-E72D297353CC}">
              <c16:uniqueId val="{00000000-3962-49B3-BD8A-4233B2A1025B}"/>
            </c:ext>
          </c:extLst>
        </c:ser>
        <c:ser>
          <c:idx val="1"/>
          <c:order val="1"/>
          <c:tx>
            <c:strRef>
              <c:f>'Chart Data'!$C$1</c:f>
              <c:strCache>
                <c:ptCount val="1"/>
                <c:pt idx="0">
                  <c:v>No Rebalancing</c:v>
                </c:pt>
              </c:strCache>
            </c:strRef>
          </c:tx>
          <c:spPr>
            <a:ln w="38100" cmpd="sng">
              <a:solidFill>
                <a:schemeClr val="accent4">
                  <a:lumMod val="75000"/>
                </a:schemeClr>
              </a:solidFill>
            </a:ln>
          </c:spPr>
          <c:marker>
            <c:symbol val="none"/>
          </c:marker>
          <c:cat>
            <c:strRef>
              <c:extLst>
                <c:ext xmlns:c15="http://schemas.microsoft.com/office/drawing/2012/chart" uri="{02D57815-91ED-43cb-92C2-25804820EDAC}">
                  <c15:fullRef>
                    <c15:sqref>'Chart Data'!$A$2:$A$20</c15:sqref>
                  </c15:fullRef>
                </c:ext>
              </c:extLst>
              <c:f>'Chart Data'!$A$3:$A$20</c:f>
              <c:strCach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strCache>
            </c:strRef>
          </c:cat>
          <c:val>
            <c:numRef>
              <c:extLst>
                <c:ext xmlns:c15="http://schemas.microsoft.com/office/drawing/2012/chart" uri="{02D57815-91ED-43cb-92C2-25804820EDAC}">
                  <c15:fullRef>
                    <c15:sqref>'Chart Data'!$C$2:$C$20</c15:sqref>
                  </c15:fullRef>
                </c:ext>
              </c:extLst>
              <c:f>'Chart Data'!$C$3:$C$20</c:f>
              <c:numCache>
                <c:formatCode>"$"#,##0_);[Red]\("$"#,##0\)</c:formatCode>
                <c:ptCount val="18"/>
                <c:pt idx="0">
                  <c:v>101835.3</c:v>
                </c:pt>
                <c:pt idx="1">
                  <c:v>99248.770080000002</c:v>
                </c:pt>
                <c:pt idx="2">
                  <c:v>91222.338555274619</c:v>
                </c:pt>
                <c:pt idx="3">
                  <c:v>111460.18051683245</c:v>
                </c:pt>
                <c:pt idx="4">
                  <c:v>126059.70187705757</c:v>
                </c:pt>
                <c:pt idx="5">
                  <c:v>136492.7119360606</c:v>
                </c:pt>
                <c:pt idx="6">
                  <c:v>154605.01203264075</c:v>
                </c:pt>
                <c:pt idx="7">
                  <c:v>166038.22694310365</c:v>
                </c:pt>
                <c:pt idx="8">
                  <c:v>120697.32648368151</c:v>
                </c:pt>
                <c:pt idx="9">
                  <c:v>148699.02914266271</c:v>
                </c:pt>
                <c:pt idx="10">
                  <c:v>171122.46382309133</c:v>
                </c:pt>
                <c:pt idx="11">
                  <c:v>170310.87851001587</c:v>
                </c:pt>
                <c:pt idx="12">
                  <c:v>190943.33246328583</c:v>
                </c:pt>
                <c:pt idx="13">
                  <c:v>228090.09267375901</c:v>
                </c:pt>
                <c:pt idx="14">
                  <c:v>246455.22535479546</c:v>
                </c:pt>
                <c:pt idx="15">
                  <c:v>243351.10286638309</c:v>
                </c:pt>
                <c:pt idx="16">
                  <c:v>265216.93682286551</c:v>
                </c:pt>
                <c:pt idx="17">
                  <c:v>308125.5630359333</c:v>
                </c:pt>
              </c:numCache>
            </c:numRef>
          </c:val>
          <c:smooth val="0"/>
          <c:extLst>
            <c:ext xmlns:c16="http://schemas.microsoft.com/office/drawing/2014/chart" uri="{C3380CC4-5D6E-409C-BE32-E72D297353CC}">
              <c16:uniqueId val="{00000001-3962-49B3-BD8A-4233B2A1025B}"/>
            </c:ext>
          </c:extLst>
        </c:ser>
        <c:ser>
          <c:idx val="2"/>
          <c:order val="2"/>
          <c:tx>
            <c:strRef>
              <c:f>'Chart Data'!$D$1</c:f>
              <c:strCache>
                <c:ptCount val="1"/>
                <c:pt idx="0">
                  <c:v>Panic and Sell When S&amp;P 500 Falls &gt; 20%</c:v>
                </c:pt>
              </c:strCache>
            </c:strRef>
          </c:tx>
          <c:spPr>
            <a:ln w="38100" cmpd="sng">
              <a:solidFill>
                <a:schemeClr val="accent6"/>
              </a:solidFill>
            </a:ln>
          </c:spPr>
          <c:marker>
            <c:symbol val="none"/>
          </c:marker>
          <c:cat>
            <c:strRef>
              <c:extLst>
                <c:ext xmlns:c15="http://schemas.microsoft.com/office/drawing/2012/chart" uri="{02D57815-91ED-43cb-92C2-25804820EDAC}">
                  <c15:fullRef>
                    <c15:sqref>'Chart Data'!$A$2:$A$20</c15:sqref>
                  </c15:fullRef>
                </c:ext>
              </c:extLst>
              <c:f>'Chart Data'!$A$3:$A$20</c:f>
              <c:strCach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strCache>
            </c:strRef>
          </c:cat>
          <c:val>
            <c:numRef>
              <c:extLst>
                <c:ext xmlns:c15="http://schemas.microsoft.com/office/drawing/2012/chart" uri="{02D57815-91ED-43cb-92C2-25804820EDAC}">
                  <c15:fullRef>
                    <c15:sqref>'Chart Data'!$D$2:$D$20</c15:sqref>
                  </c15:fullRef>
                </c:ext>
              </c:extLst>
              <c:f>'Chart Data'!$D$3:$D$20</c:f>
              <c:numCache>
                <c:formatCode>"$"#,##0_);[Red]\("$"#,##0\)</c:formatCode>
                <c:ptCount val="18"/>
                <c:pt idx="0">
                  <c:v>101835.3</c:v>
                </c:pt>
                <c:pt idx="1">
                  <c:v>99248.770080000002</c:v>
                </c:pt>
                <c:pt idx="2">
                  <c:v>91222.338555274619</c:v>
                </c:pt>
                <c:pt idx="3">
                  <c:v>94843.865395919027</c:v>
                </c:pt>
                <c:pt idx="4">
                  <c:v>107787.87161355787</c:v>
                </c:pt>
                <c:pt idx="5">
                  <c:v>117088.42262175484</c:v>
                </c:pt>
                <c:pt idx="6">
                  <c:v>134331.54139487573</c:v>
                </c:pt>
                <c:pt idx="7">
                  <c:v>145044.06790718262</c:v>
                </c:pt>
                <c:pt idx="8">
                  <c:v>101480.20112478733</c:v>
                </c:pt>
                <c:pt idx="9">
                  <c:v>107497.97705148721</c:v>
                </c:pt>
                <c:pt idx="10">
                  <c:v>123618.37369012824</c:v>
                </c:pt>
                <c:pt idx="11">
                  <c:v>122267.63946389305</c:v>
                </c:pt>
                <c:pt idx="12">
                  <c:v>138030.09662789985</c:v>
                </c:pt>
                <c:pt idx="13">
                  <c:v>166805.92382634431</c:v>
                </c:pt>
                <c:pt idx="14">
                  <c:v>180213.90493143786</c:v>
                </c:pt>
                <c:pt idx="15">
                  <c:v>178154.85381772491</c:v>
                </c:pt>
                <c:pt idx="16">
                  <c:v>194755.41649772259</c:v>
                </c:pt>
                <c:pt idx="17">
                  <c:v>228512.70296770241</c:v>
                </c:pt>
              </c:numCache>
            </c:numRef>
          </c:val>
          <c:smooth val="0"/>
          <c:extLst>
            <c:ext xmlns:c16="http://schemas.microsoft.com/office/drawing/2014/chart" uri="{C3380CC4-5D6E-409C-BE32-E72D297353CC}">
              <c16:uniqueId val="{00000002-3962-49B3-BD8A-4233B2A1025B}"/>
            </c:ext>
          </c:extLst>
        </c:ser>
        <c:dLbls>
          <c:showLegendKey val="0"/>
          <c:showVal val="0"/>
          <c:showCatName val="0"/>
          <c:showSerName val="0"/>
          <c:showPercent val="0"/>
          <c:showBubbleSize val="0"/>
        </c:dLbls>
        <c:smooth val="0"/>
        <c:axId val="426311848"/>
        <c:axId val="426313416"/>
      </c:lineChart>
      <c:catAx>
        <c:axId val="426311848"/>
        <c:scaling>
          <c:orientation val="minMax"/>
        </c:scaling>
        <c:delete val="0"/>
        <c:axPos val="b"/>
        <c:numFmt formatCode="General" sourceLinked="1"/>
        <c:majorTickMark val="out"/>
        <c:minorTickMark val="none"/>
        <c:tickLblPos val="nextTo"/>
        <c:crossAx val="426313416"/>
        <c:crosses val="autoZero"/>
        <c:auto val="1"/>
        <c:lblAlgn val="ctr"/>
        <c:lblOffset val="100"/>
        <c:noMultiLvlLbl val="0"/>
      </c:catAx>
      <c:valAx>
        <c:axId val="426313416"/>
        <c:scaling>
          <c:orientation val="minMax"/>
          <c:max val="350000"/>
          <c:min val="75000"/>
        </c:scaling>
        <c:delete val="0"/>
        <c:axPos val="l"/>
        <c:majorGridlines/>
        <c:numFmt formatCode="&quot;$&quot;#,##0_);[Red]\(&quot;$&quot;#,##0\)" sourceLinked="1"/>
        <c:majorTickMark val="out"/>
        <c:minorTickMark val="none"/>
        <c:tickLblPos val="nextTo"/>
        <c:crossAx val="426311848"/>
        <c:crosses val="autoZero"/>
        <c:crossBetween val="between"/>
        <c:majorUnit val="25000"/>
      </c:valAx>
    </c:plotArea>
    <c:legend>
      <c:legendPos val="b"/>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zoomScale="62"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1400" cy="6286500"/>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
  <sheetViews>
    <sheetView tabSelected="1" workbookViewId="0">
      <selection activeCell="B102" sqref="B102"/>
    </sheetView>
  </sheetViews>
  <sheetFormatPr defaultColWidth="8.85546875" defaultRowHeight="15" x14ac:dyDescent="0.25"/>
  <cols>
    <col min="2" max="2" width="84.140625" style="8" customWidth="1"/>
    <col min="4" max="4" width="64.5703125" customWidth="1"/>
  </cols>
  <sheetData>
    <row r="1" spans="1:4" x14ac:dyDescent="0.25">
      <c r="A1" s="18" t="s">
        <v>54</v>
      </c>
    </row>
    <row r="3" spans="1:4" x14ac:dyDescent="0.25">
      <c r="A3" s="50" t="s">
        <v>86</v>
      </c>
    </row>
    <row r="4" spans="1:4" x14ac:dyDescent="0.25">
      <c r="A4" t="s">
        <v>122</v>
      </c>
    </row>
    <row r="5" spans="1:4" x14ac:dyDescent="0.25">
      <c r="A5" t="s">
        <v>60</v>
      </c>
    </row>
    <row r="6" spans="1:4" x14ac:dyDescent="0.25">
      <c r="A6" t="s">
        <v>123</v>
      </c>
    </row>
    <row r="7" spans="1:4" x14ac:dyDescent="0.25">
      <c r="A7" t="s">
        <v>70</v>
      </c>
    </row>
    <row r="8" spans="1:4" x14ac:dyDescent="0.25">
      <c r="A8" t="s">
        <v>88</v>
      </c>
    </row>
    <row r="9" spans="1:4" x14ac:dyDescent="0.25">
      <c r="A9" t="s">
        <v>89</v>
      </c>
    </row>
    <row r="10" spans="1:4" x14ac:dyDescent="0.25">
      <c r="A10" t="s">
        <v>91</v>
      </c>
    </row>
    <row r="11" spans="1:4" x14ac:dyDescent="0.25">
      <c r="A11" t="s">
        <v>92</v>
      </c>
    </row>
    <row r="14" spans="1:4" x14ac:dyDescent="0.25">
      <c r="A14" s="51" t="s">
        <v>66</v>
      </c>
    </row>
    <row r="15" spans="1:4" x14ac:dyDescent="0.25">
      <c r="A15" s="31" t="s">
        <v>52</v>
      </c>
    </row>
    <row r="16" spans="1:4" ht="30" x14ac:dyDescent="0.25">
      <c r="A16" s="31">
        <v>1</v>
      </c>
      <c r="B16" s="8" t="s">
        <v>55</v>
      </c>
      <c r="D16" s="8"/>
    </row>
    <row r="17" spans="1:4" ht="30" x14ac:dyDescent="0.25">
      <c r="A17" s="31">
        <v>2</v>
      </c>
      <c r="B17" s="8" t="s">
        <v>90</v>
      </c>
      <c r="D17" s="8"/>
    </row>
    <row r="18" spans="1:4" x14ac:dyDescent="0.25">
      <c r="A18" s="31">
        <v>3</v>
      </c>
      <c r="B18" s="8" t="s">
        <v>124</v>
      </c>
      <c r="D18" s="8"/>
    </row>
    <row r="19" spans="1:4" x14ac:dyDescent="0.25">
      <c r="A19" s="31"/>
    </row>
    <row r="20" spans="1:4" x14ac:dyDescent="0.25">
      <c r="A20" s="31"/>
    </row>
    <row r="21" spans="1:4" x14ac:dyDescent="0.25">
      <c r="A21" s="52" t="s">
        <v>93</v>
      </c>
    </row>
    <row r="22" spans="1:4" x14ac:dyDescent="0.25">
      <c r="A22" s="31" t="s">
        <v>52</v>
      </c>
    </row>
    <row r="23" spans="1:4" x14ac:dyDescent="0.25">
      <c r="A23" s="31">
        <v>1</v>
      </c>
      <c r="B23" s="8" t="s">
        <v>127</v>
      </c>
      <c r="D23" s="8"/>
    </row>
    <row r="24" spans="1:4" ht="45" x14ac:dyDescent="0.25">
      <c r="A24" s="31">
        <v>2</v>
      </c>
      <c r="B24" s="8" t="s">
        <v>128</v>
      </c>
      <c r="D24" s="8"/>
    </row>
    <row r="25" spans="1:4" ht="45" x14ac:dyDescent="0.25">
      <c r="A25" s="31">
        <v>3</v>
      </c>
      <c r="B25" s="8" t="s">
        <v>129</v>
      </c>
      <c r="D25" s="8"/>
    </row>
    <row r="26" spans="1:4" ht="30" x14ac:dyDescent="0.25">
      <c r="A26" s="31">
        <v>4</v>
      </c>
      <c r="B26" s="8" t="s">
        <v>32</v>
      </c>
      <c r="D26" s="8"/>
    </row>
    <row r="27" spans="1:4" ht="45" x14ac:dyDescent="0.25">
      <c r="A27" s="31">
        <v>5</v>
      </c>
      <c r="B27" s="8" t="s">
        <v>33</v>
      </c>
      <c r="D27" s="8"/>
    </row>
    <row r="28" spans="1:4" x14ac:dyDescent="0.25">
      <c r="A28" s="31"/>
    </row>
    <row r="29" spans="1:4" x14ac:dyDescent="0.25">
      <c r="A29" s="31"/>
    </row>
    <row r="30" spans="1:4" x14ac:dyDescent="0.25">
      <c r="A30" s="52" t="s">
        <v>35</v>
      </c>
    </row>
    <row r="31" spans="1:4" x14ac:dyDescent="0.25">
      <c r="A31" s="31" t="s">
        <v>52</v>
      </c>
    </row>
    <row r="32" spans="1:4" x14ac:dyDescent="0.25">
      <c r="A32" s="31">
        <v>1</v>
      </c>
      <c r="B32" s="8" t="s">
        <v>127</v>
      </c>
      <c r="C32" s="31"/>
      <c r="D32" s="8"/>
    </row>
    <row r="33" spans="1:4" ht="45" x14ac:dyDescent="0.25">
      <c r="A33" s="31">
        <v>2</v>
      </c>
      <c r="B33" s="8" t="s">
        <v>132</v>
      </c>
      <c r="C33" s="31"/>
      <c r="D33" s="8"/>
    </row>
    <row r="34" spans="1:4" ht="60" x14ac:dyDescent="0.25">
      <c r="A34" s="31">
        <v>3</v>
      </c>
      <c r="B34" s="8" t="s">
        <v>130</v>
      </c>
      <c r="C34" s="31"/>
      <c r="D34" s="8"/>
    </row>
    <row r="35" spans="1:4" ht="60" x14ac:dyDescent="0.25">
      <c r="A35" s="31">
        <v>4</v>
      </c>
      <c r="B35" s="8" t="s">
        <v>131</v>
      </c>
      <c r="C35" s="31"/>
      <c r="D35" s="8"/>
    </row>
    <row r="36" spans="1:4" x14ac:dyDescent="0.25">
      <c r="A36" s="31"/>
    </row>
    <row r="37" spans="1:4" x14ac:dyDescent="0.25">
      <c r="A37" s="34" t="s">
        <v>155</v>
      </c>
    </row>
    <row r="38" spans="1:4" x14ac:dyDescent="0.25">
      <c r="A38" s="31" t="s">
        <v>52</v>
      </c>
    </row>
    <row r="39" spans="1:4" x14ac:dyDescent="0.25">
      <c r="A39" s="31">
        <v>1</v>
      </c>
      <c r="B39" s="8" t="s">
        <v>127</v>
      </c>
    </row>
    <row r="40" spans="1:4" ht="45" x14ac:dyDescent="0.25">
      <c r="A40" s="31">
        <v>2</v>
      </c>
      <c r="B40" s="8" t="s">
        <v>161</v>
      </c>
    </row>
    <row r="41" spans="1:4" ht="30" x14ac:dyDescent="0.25">
      <c r="A41" s="31">
        <v>3</v>
      </c>
      <c r="B41" s="8" t="s">
        <v>156</v>
      </c>
    </row>
    <row r="42" spans="1:4" ht="45" x14ac:dyDescent="0.25">
      <c r="A42" s="31">
        <v>4</v>
      </c>
      <c r="B42" s="8" t="s">
        <v>157</v>
      </c>
    </row>
    <row r="43" spans="1:4" ht="30" x14ac:dyDescent="0.25">
      <c r="A43" s="31">
        <v>5</v>
      </c>
      <c r="B43" s="8" t="s">
        <v>158</v>
      </c>
    </row>
    <row r="44" spans="1:4" x14ac:dyDescent="0.25">
      <c r="A44" s="31">
        <v>6</v>
      </c>
      <c r="B44" s="8" t="s">
        <v>159</v>
      </c>
    </row>
    <row r="45" spans="1:4" x14ac:dyDescent="0.25">
      <c r="A45" s="31"/>
    </row>
    <row r="46" spans="1:4" x14ac:dyDescent="0.25">
      <c r="A46" s="34" t="s">
        <v>160</v>
      </c>
    </row>
    <row r="47" spans="1:4" x14ac:dyDescent="0.25">
      <c r="A47" s="31" t="s">
        <v>52</v>
      </c>
    </row>
    <row r="48" spans="1:4" x14ac:dyDescent="0.25">
      <c r="A48" s="31">
        <v>1</v>
      </c>
      <c r="B48" s="8" t="s">
        <v>127</v>
      </c>
    </row>
    <row r="49" spans="1:4" ht="30" x14ac:dyDescent="0.25">
      <c r="A49" s="31">
        <v>2</v>
      </c>
      <c r="B49" s="8" t="s">
        <v>90</v>
      </c>
    </row>
    <row r="50" spans="1:4" x14ac:dyDescent="0.25">
      <c r="A50" s="31">
        <v>3</v>
      </c>
      <c r="B50" s="8" t="s">
        <v>124</v>
      </c>
    </row>
    <row r="51" spans="1:4" x14ac:dyDescent="0.25">
      <c r="A51" s="31"/>
    </row>
    <row r="52" spans="1:4" x14ac:dyDescent="0.25">
      <c r="A52" s="31"/>
    </row>
    <row r="53" spans="1:4" x14ac:dyDescent="0.25">
      <c r="A53" s="52" t="s">
        <v>162</v>
      </c>
    </row>
    <row r="54" spans="1:4" x14ac:dyDescent="0.25">
      <c r="A54" s="31" t="s">
        <v>52</v>
      </c>
    </row>
    <row r="55" spans="1:4" x14ac:dyDescent="0.25">
      <c r="A55" s="31">
        <v>1</v>
      </c>
      <c r="B55" s="8" t="s">
        <v>127</v>
      </c>
      <c r="C55" s="31"/>
      <c r="D55" s="8"/>
    </row>
    <row r="56" spans="1:4" ht="30" x14ac:dyDescent="0.25">
      <c r="A56" s="31" t="s">
        <v>117</v>
      </c>
      <c r="B56" s="8" t="s">
        <v>118</v>
      </c>
      <c r="C56" s="31"/>
      <c r="D56" s="8"/>
    </row>
    <row r="57" spans="1:4" ht="60" x14ac:dyDescent="0.25">
      <c r="A57" s="31">
        <v>2</v>
      </c>
      <c r="B57" s="8" t="s">
        <v>136</v>
      </c>
      <c r="C57" s="31"/>
      <c r="D57" s="8"/>
    </row>
    <row r="58" spans="1:4" ht="30" x14ac:dyDescent="0.25">
      <c r="A58" s="31">
        <v>3</v>
      </c>
      <c r="B58" s="8" t="s">
        <v>163</v>
      </c>
      <c r="C58" s="31"/>
      <c r="D58" s="8"/>
    </row>
    <row r="59" spans="1:4" ht="45" x14ac:dyDescent="0.25">
      <c r="A59" s="31">
        <v>4</v>
      </c>
      <c r="B59" s="8" t="s">
        <v>133</v>
      </c>
      <c r="C59" s="31"/>
      <c r="D59" s="8"/>
    </row>
    <row r="60" spans="1:4" ht="30" x14ac:dyDescent="0.25">
      <c r="A60" s="31">
        <v>5</v>
      </c>
      <c r="B60" s="8" t="s">
        <v>134</v>
      </c>
      <c r="C60" s="31"/>
      <c r="D60" s="8"/>
    </row>
    <row r="61" spans="1:4" x14ac:dyDescent="0.25">
      <c r="A61" s="31"/>
    </row>
    <row r="62" spans="1:4" x14ac:dyDescent="0.25">
      <c r="A62" s="31"/>
    </row>
    <row r="63" spans="1:4" x14ac:dyDescent="0.25">
      <c r="A63" s="52" t="s">
        <v>120</v>
      </c>
    </row>
    <row r="64" spans="1:4" x14ac:dyDescent="0.25">
      <c r="A64" s="31" t="s">
        <v>52</v>
      </c>
    </row>
    <row r="65" spans="1:4" x14ac:dyDescent="0.25">
      <c r="A65" s="31">
        <v>1</v>
      </c>
      <c r="B65" s="8" t="s">
        <v>127</v>
      </c>
      <c r="C65" s="31"/>
      <c r="D65" s="8"/>
    </row>
    <row r="66" spans="1:4" x14ac:dyDescent="0.25">
      <c r="A66" s="31" t="s">
        <v>117</v>
      </c>
      <c r="B66" s="8" t="s">
        <v>137</v>
      </c>
      <c r="C66" s="31"/>
      <c r="D66" s="8"/>
    </row>
    <row r="67" spans="1:4" ht="90" x14ac:dyDescent="0.25">
      <c r="A67" s="31">
        <v>2</v>
      </c>
      <c r="B67" s="8" t="s">
        <v>140</v>
      </c>
      <c r="C67" s="31"/>
      <c r="D67" s="8"/>
    </row>
    <row r="68" spans="1:4" ht="30" x14ac:dyDescent="0.25">
      <c r="A68" s="31">
        <v>3</v>
      </c>
      <c r="B68" s="8" t="s">
        <v>163</v>
      </c>
      <c r="C68" s="31"/>
      <c r="D68" s="8"/>
    </row>
    <row r="69" spans="1:4" ht="45" x14ac:dyDescent="0.25">
      <c r="A69" s="31">
        <v>4</v>
      </c>
      <c r="B69" s="8" t="s">
        <v>133</v>
      </c>
      <c r="C69" s="31"/>
      <c r="D69" s="8"/>
    </row>
    <row r="70" spans="1:4" ht="45" x14ac:dyDescent="0.25">
      <c r="A70" s="31">
        <v>5</v>
      </c>
      <c r="B70" s="8" t="s">
        <v>138</v>
      </c>
      <c r="C70" s="31"/>
      <c r="D70" s="8"/>
    </row>
    <row r="71" spans="1:4" ht="30" x14ac:dyDescent="0.25">
      <c r="A71" s="31">
        <v>6</v>
      </c>
      <c r="B71" s="8" t="s">
        <v>32</v>
      </c>
      <c r="C71" s="31"/>
      <c r="D71" s="8"/>
    </row>
    <row r="72" spans="1:4" ht="60" x14ac:dyDescent="0.25">
      <c r="A72" s="31">
        <v>7</v>
      </c>
      <c r="B72" s="8" t="s">
        <v>139</v>
      </c>
      <c r="C72" s="31"/>
      <c r="D72" s="8"/>
    </row>
    <row r="75" spans="1:4" x14ac:dyDescent="0.25">
      <c r="A75" s="34" t="s">
        <v>26</v>
      </c>
    </row>
    <row r="76" spans="1:4" x14ac:dyDescent="0.25">
      <c r="A76" s="31" t="s">
        <v>52</v>
      </c>
    </row>
    <row r="77" spans="1:4" x14ac:dyDescent="0.25">
      <c r="A77" s="31">
        <v>1</v>
      </c>
      <c r="B77" s="8" t="s">
        <v>127</v>
      </c>
      <c r="C77" s="31"/>
      <c r="D77" s="8"/>
    </row>
    <row r="78" spans="1:4" x14ac:dyDescent="0.25">
      <c r="A78" s="31" t="s">
        <v>117</v>
      </c>
      <c r="B78" s="8" t="s">
        <v>137</v>
      </c>
      <c r="C78" s="31"/>
      <c r="D78" s="8"/>
    </row>
    <row r="79" spans="1:4" ht="90" x14ac:dyDescent="0.25">
      <c r="A79" s="31">
        <v>2</v>
      </c>
      <c r="B79" s="8" t="s">
        <v>142</v>
      </c>
      <c r="C79" s="31"/>
      <c r="D79" s="8"/>
    </row>
    <row r="80" spans="1:4" ht="30" x14ac:dyDescent="0.25">
      <c r="A80" s="31">
        <v>3</v>
      </c>
      <c r="B80" s="8" t="s">
        <v>164</v>
      </c>
      <c r="C80" s="31"/>
      <c r="D80" s="8"/>
    </row>
    <row r="81" spans="1:4" ht="60" x14ac:dyDescent="0.25">
      <c r="A81" s="31">
        <v>4</v>
      </c>
      <c r="B81" s="8" t="s">
        <v>141</v>
      </c>
      <c r="C81" s="31"/>
      <c r="D81" s="8"/>
    </row>
    <row r="82" spans="1:4" x14ac:dyDescent="0.25">
      <c r="A82" s="31">
        <v>5</v>
      </c>
      <c r="B82" s="8" t="s">
        <v>59</v>
      </c>
      <c r="C82" s="31"/>
      <c r="D82" s="8"/>
    </row>
    <row r="83" spans="1:4" ht="60" x14ac:dyDescent="0.25">
      <c r="A83" s="31">
        <v>6</v>
      </c>
      <c r="B83" s="8" t="s">
        <v>27</v>
      </c>
      <c r="C83" s="31"/>
      <c r="D83" s="8"/>
    </row>
    <row r="86" spans="1:4" x14ac:dyDescent="0.25">
      <c r="A86" s="34" t="s">
        <v>165</v>
      </c>
    </row>
    <row r="87" spans="1:4" x14ac:dyDescent="0.25">
      <c r="A87" s="31" t="s">
        <v>52</v>
      </c>
    </row>
    <row r="88" spans="1:4" x14ac:dyDescent="0.25">
      <c r="A88" s="31">
        <v>1</v>
      </c>
      <c r="B88" s="8" t="s">
        <v>127</v>
      </c>
    </row>
    <row r="89" spans="1:4" x14ac:dyDescent="0.25">
      <c r="A89" s="31" t="s">
        <v>117</v>
      </c>
      <c r="B89" s="8" t="s">
        <v>166</v>
      </c>
    </row>
    <row r="90" spans="1:4" ht="90" x14ac:dyDescent="0.25">
      <c r="A90" s="31">
        <v>2</v>
      </c>
      <c r="B90" s="8" t="s">
        <v>169</v>
      </c>
    </row>
    <row r="91" spans="1:4" ht="30" x14ac:dyDescent="0.25">
      <c r="A91" s="31">
        <v>3</v>
      </c>
      <c r="B91" s="8" t="s">
        <v>170</v>
      </c>
    </row>
    <row r="92" spans="1:4" ht="45" x14ac:dyDescent="0.25">
      <c r="A92" s="31">
        <v>4</v>
      </c>
      <c r="B92" s="8" t="s">
        <v>168</v>
      </c>
    </row>
    <row r="93" spans="1:4" x14ac:dyDescent="0.25">
      <c r="A93" s="31">
        <v>5</v>
      </c>
      <c r="B93" s="8" t="s">
        <v>59</v>
      </c>
    </row>
    <row r="94" spans="1:4" x14ac:dyDescent="0.25">
      <c r="A94" s="31">
        <v>6</v>
      </c>
      <c r="B94" s="8" t="s">
        <v>159</v>
      </c>
    </row>
    <row r="97" spans="1:2" x14ac:dyDescent="0.25">
      <c r="A97" s="34" t="s">
        <v>165</v>
      </c>
    </row>
    <row r="98" spans="1:2" x14ac:dyDescent="0.25">
      <c r="A98" s="31" t="s">
        <v>52</v>
      </c>
    </row>
    <row r="99" spans="1:2" x14ac:dyDescent="0.25">
      <c r="A99" s="31">
        <v>1</v>
      </c>
      <c r="B99" s="8" t="s">
        <v>127</v>
      </c>
    </row>
    <row r="100" spans="1:2" x14ac:dyDescent="0.25">
      <c r="A100" s="31" t="s">
        <v>117</v>
      </c>
      <c r="B100" s="8" t="s">
        <v>166</v>
      </c>
    </row>
    <row r="101" spans="1:2" ht="90" x14ac:dyDescent="0.25">
      <c r="A101" s="31">
        <v>2</v>
      </c>
      <c r="B101" s="8" t="s">
        <v>169</v>
      </c>
    </row>
    <row r="102" spans="1:2" ht="30" x14ac:dyDescent="0.25">
      <c r="A102" s="31">
        <v>3</v>
      </c>
      <c r="B102" s="8" t="s">
        <v>167</v>
      </c>
    </row>
    <row r="103" spans="1:2" ht="45" x14ac:dyDescent="0.25">
      <c r="A103" s="31">
        <v>4</v>
      </c>
      <c r="B103" s="8" t="s">
        <v>168</v>
      </c>
    </row>
    <row r="104" spans="1:2" x14ac:dyDescent="0.25">
      <c r="A104" s="31">
        <v>5</v>
      </c>
      <c r="B104" s="8" t="s">
        <v>59</v>
      </c>
    </row>
    <row r="105" spans="1:2" x14ac:dyDescent="0.25">
      <c r="A105" s="31">
        <v>6</v>
      </c>
      <c r="B105" s="8" t="s">
        <v>159</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B1A-CDA4-48D0-9315-BA64F2533D5B}">
  <dimension ref="A1:AQ56"/>
  <sheetViews>
    <sheetView topLeftCell="A2" workbookViewId="0">
      <pane ySplit="1200" topLeftCell="A23" activePane="bottomLeft"/>
      <selection activeCell="O28" sqref="O28"/>
      <selection pane="bottomLeft" activeCell="O28" sqref="O2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95</v>
      </c>
      <c r="N1" s="64" t="s">
        <v>67</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94</v>
      </c>
      <c r="O3" s="42" t="s">
        <v>69</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2">
        <v>2015</v>
      </c>
      <c r="O19" s="43">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2">
        <v>2016</v>
      </c>
      <c r="O20" s="43">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2">
        <v>2017</v>
      </c>
      <c r="O21" s="43">
        <v>2.23E-2</v>
      </c>
      <c r="P21" s="41"/>
    </row>
    <row r="24" spans="1:43" x14ac:dyDescent="0.25">
      <c r="A24" s="18" t="s">
        <v>11</v>
      </c>
      <c r="N24" s="18" t="s">
        <v>119</v>
      </c>
      <c r="R24" s="18" t="s">
        <v>16</v>
      </c>
      <c r="AG24" s="18" t="s">
        <v>135</v>
      </c>
    </row>
    <row r="25" spans="1:43"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O25" s="68">
        <v>4.4999999999999998E-2</v>
      </c>
      <c r="S25" s="4" t="str">
        <f t="shared" ref="S25:Z27"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3" t="s">
        <v>7</v>
      </c>
    </row>
    <row r="26" spans="1:43"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3" t="s">
        <v>50</v>
      </c>
    </row>
    <row r="27" spans="1:43"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N27" s="19"/>
      <c r="R27" t="str">
        <f>A27</f>
        <v>Stating Balance</v>
      </c>
      <c r="S27" s="2">
        <f>B27</f>
        <v>20000</v>
      </c>
      <c r="T27" s="2"/>
      <c r="U27" s="2">
        <f t="shared" si="1"/>
        <v>20000</v>
      </c>
      <c r="V27" s="2">
        <f t="shared" si="1"/>
        <v>10000</v>
      </c>
      <c r="W27" s="2"/>
      <c r="X27" s="2">
        <f t="shared" si="1"/>
        <v>20000</v>
      </c>
      <c r="Y27" s="2">
        <f t="shared" si="1"/>
        <v>30000</v>
      </c>
      <c r="Z27" s="2">
        <f t="shared" si="1"/>
        <v>100000</v>
      </c>
      <c r="AD27" s="2"/>
      <c r="AE27" s="2"/>
      <c r="AG27" s="19" t="s">
        <v>49</v>
      </c>
      <c r="AH27" s="6">
        <f>S27/$Z27</f>
        <v>0.2</v>
      </c>
      <c r="AI27" s="6"/>
      <c r="AJ27" s="6">
        <f>U27/$Z27</f>
        <v>0.2</v>
      </c>
      <c r="AK27" s="6">
        <f>V27/$Z27</f>
        <v>0.1</v>
      </c>
      <c r="AL27" s="6"/>
      <c r="AM27" s="6">
        <f>X27/$Z27</f>
        <v>0.2</v>
      </c>
      <c r="AN27" s="6">
        <f>Y27/$Z27</f>
        <v>0.3</v>
      </c>
      <c r="AO27" s="6">
        <f>Z27/$Z27</f>
        <v>1</v>
      </c>
      <c r="AP27" s="22"/>
    </row>
    <row r="28" spans="1:43" x14ac:dyDescent="0.25">
      <c r="A28">
        <f t="shared" ref="A28:A43" si="3">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N28">
        <f>A28</f>
        <v>2000</v>
      </c>
      <c r="O28" s="2">
        <f>I28*O25</f>
        <v>4582.5884999999998</v>
      </c>
      <c r="P28" s="2"/>
      <c r="Q28" s="2"/>
      <c r="R28">
        <f>A28</f>
        <v>2000</v>
      </c>
      <c r="S28" s="2">
        <f t="shared" ref="S28:S45" si="4">B28-($O28/5)</f>
        <v>17271.4823</v>
      </c>
      <c r="T28" s="2"/>
      <c r="U28" s="2">
        <f t="shared" ref="U28:V43" si="5">D28-($O28/5)</f>
        <v>22703.082299999998</v>
      </c>
      <c r="V28" s="2">
        <f t="shared" si="5"/>
        <v>8816.9822999999997</v>
      </c>
      <c r="W28" s="2"/>
      <c r="X28" s="2">
        <f t="shared" ref="X28:Y43" si="6">G28-($O28/5)</f>
        <v>15960.6823</v>
      </c>
      <c r="Y28" s="2">
        <f t="shared" si="6"/>
        <v>32500.4823</v>
      </c>
      <c r="Z28" s="2">
        <f t="shared" ref="Z28:Z45" si="7">SUM(S28:Y28)</f>
        <v>97252.711500000005</v>
      </c>
      <c r="AA28" s="2">
        <f>Z28-Z27</f>
        <v>-2747.2884999999951</v>
      </c>
      <c r="AB28" s="6">
        <f>(AA28/Z27)</f>
        <v>-2.747288499999995E-2</v>
      </c>
      <c r="AC28" s="7">
        <f>AB28+1</f>
        <v>0.972527115</v>
      </c>
      <c r="AD28" s="2">
        <f>Z28-(I28-O28)</f>
        <v>0</v>
      </c>
      <c r="AE28" s="2"/>
      <c r="AG28">
        <f>A28</f>
        <v>2000</v>
      </c>
      <c r="AH28" s="6">
        <f>S28/$Z28</f>
        <v>0.17759383809057086</v>
      </c>
      <c r="AI28" s="6"/>
      <c r="AJ28" s="6">
        <f>U28/$Z28</f>
        <v>0.23344420890516762</v>
      </c>
      <c r="AK28" s="6">
        <f>V28/$Z28</f>
        <v>9.0660529295370842E-2</v>
      </c>
      <c r="AL28" s="6"/>
      <c r="AM28" s="6">
        <f>X28/$Z28</f>
        <v>0.1641155506497112</v>
      </c>
      <c r="AN28" s="6">
        <f>Y28/$Z28</f>
        <v>0.33418587305917941</v>
      </c>
      <c r="AO28" s="6">
        <f>SUM(AH28:AN28)</f>
        <v>1</v>
      </c>
      <c r="AP28" s="7">
        <f>SUM(AH28:AM28)</f>
        <v>0.66581412694082054</v>
      </c>
      <c r="AQ28" s="7">
        <f>AO28-(AP28+AN28)</f>
        <v>0</v>
      </c>
    </row>
    <row r="29" spans="1:43" x14ac:dyDescent="0.25">
      <c r="A29">
        <f t="shared" si="3"/>
        <v>2001</v>
      </c>
      <c r="B29" s="2">
        <f t="shared" ref="B29:B43" si="8">S28*(1+(B5/100))</f>
        <v>15195.45012754</v>
      </c>
      <c r="C29" s="2"/>
      <c r="D29" s="2">
        <f t="shared" ref="D29:D43" si="9">U28*(1+(D5/100))</f>
        <v>22589.793919322998</v>
      </c>
      <c r="E29" s="2">
        <f t="shared" ref="E29:E43" si="10">V28*(1+(E5/100))</f>
        <v>9090.3087512999991</v>
      </c>
      <c r="F29" s="2"/>
      <c r="G29" s="2">
        <f t="shared" ref="G29:G43" si="11">G28*(1+(G5/100))</f>
        <v>13475.937884000001</v>
      </c>
      <c r="H29" s="2">
        <f t="shared" ref="H29:H43" si="12">Y28*(1+(H5/100))</f>
        <v>35240.272957890003</v>
      </c>
      <c r="I29" s="2">
        <f t="shared" ref="I29:I45" si="13">SUM(B29:H29)</f>
        <v>95591.763640052988</v>
      </c>
      <c r="J29" s="2">
        <f t="shared" ref="J29:J45" si="14">I29-I28</f>
        <v>-6243.5363599470147</v>
      </c>
      <c r="K29" s="6">
        <f t="shared" ref="K29:K45" si="15">(J29/I28)</f>
        <v>-6.1310138625280376E-2</v>
      </c>
      <c r="L29" s="7">
        <f t="shared" ref="L29:L45" si="16">K29+1</f>
        <v>0.93868986137471966</v>
      </c>
      <c r="N29">
        <f t="shared" ref="N29:N45" si="17">A29</f>
        <v>2001</v>
      </c>
      <c r="O29" s="2">
        <f t="shared" ref="O29:O43" si="18">O28*(1+O5)</f>
        <v>4655.9099159999996</v>
      </c>
      <c r="P29" s="2"/>
      <c r="Q29" s="2"/>
      <c r="R29">
        <f t="shared" ref="R29:R45" si="19">A29</f>
        <v>2001</v>
      </c>
      <c r="S29" s="2">
        <f t="shared" si="4"/>
        <v>14264.26814434</v>
      </c>
      <c r="T29" s="2"/>
      <c r="U29" s="2">
        <f t="shared" si="5"/>
        <v>21658.611936122998</v>
      </c>
      <c r="V29" s="2">
        <f t="shared" si="5"/>
        <v>8159.126768099999</v>
      </c>
      <c r="W29" s="2"/>
      <c r="X29" s="2">
        <f t="shared" si="6"/>
        <v>12544.755900800001</v>
      </c>
      <c r="Y29" s="2">
        <f t="shared" si="6"/>
        <v>34309.090974690007</v>
      </c>
      <c r="Z29" s="2">
        <f t="shared" si="7"/>
        <v>90935.853724053013</v>
      </c>
      <c r="AA29" s="2">
        <f t="shared" ref="AA29:AA45" si="20">Z29-Z28</f>
        <v>-6316.8577759469918</v>
      </c>
      <c r="AB29" s="6">
        <f t="shared" ref="AB29:AB45" si="21">(AA29/Z28)</f>
        <v>-6.4953024738513249E-2</v>
      </c>
      <c r="AC29" s="7">
        <f t="shared" ref="AC29:AC45" si="22">AB29+1</f>
        <v>0.93504697526148672</v>
      </c>
      <c r="AD29" s="2">
        <f t="shared" ref="AD29:AD45" si="23">Z29-(I29-O29)</f>
        <v>0</v>
      </c>
      <c r="AE29" s="2"/>
      <c r="AG29">
        <f t="shared" ref="AG29:AG45" si="24">A29</f>
        <v>2001</v>
      </c>
      <c r="AH29" s="6">
        <f t="shared" ref="AH29:AN44" si="25">S29/$Z29</f>
        <v>0.15686077119400293</v>
      </c>
      <c r="AI29" s="6"/>
      <c r="AJ29" s="6">
        <f t="shared" si="25"/>
        <v>0.23817461484275021</v>
      </c>
      <c r="AK29" s="6">
        <f t="shared" si="25"/>
        <v>8.9723980519928484E-2</v>
      </c>
      <c r="AL29" s="6"/>
      <c r="AM29" s="6">
        <f t="shared" si="25"/>
        <v>0.13795170317383679</v>
      </c>
      <c r="AN29" s="6">
        <f t="shared" si="25"/>
        <v>0.37728893026948152</v>
      </c>
      <c r="AO29" s="6">
        <f t="shared" ref="AO29:AO45" si="26">SUM(AH29:AN29)</f>
        <v>0.99999999999999989</v>
      </c>
      <c r="AP29" s="7">
        <f t="shared" ref="AP29:AP45" si="27">SUM(AH29:AM29)</f>
        <v>0.62271106973051837</v>
      </c>
      <c r="AQ29" s="7">
        <f t="shared" ref="AQ29:AQ45" si="28">AO29-(AP29+AN29)</f>
        <v>0</v>
      </c>
    </row>
    <row r="30" spans="1:43" x14ac:dyDescent="0.25">
      <c r="A30">
        <f t="shared" si="3"/>
        <v>2002</v>
      </c>
      <c r="B30" s="2">
        <f t="shared" si="8"/>
        <v>11104.73275036869</v>
      </c>
      <c r="C30" s="2"/>
      <c r="D30" s="2">
        <f t="shared" si="9"/>
        <v>18494.721904494152</v>
      </c>
      <c r="E30" s="2">
        <f t="shared" si="10"/>
        <v>6525.5064065910174</v>
      </c>
      <c r="F30" s="2"/>
      <c r="G30" s="2">
        <f t="shared" si="11"/>
        <v>11443.36217295628</v>
      </c>
      <c r="H30" s="2">
        <f t="shared" si="12"/>
        <v>37143.021889199401</v>
      </c>
      <c r="I30" s="2">
        <f t="shared" ref="I30:I36" si="29">SUM(B30:H30)</f>
        <v>84711.345123609542</v>
      </c>
      <c r="J30" s="2">
        <f t="shared" si="14"/>
        <v>-10880.418516443446</v>
      </c>
      <c r="K30" s="6">
        <f t="shared" si="15"/>
        <v>-0.11382171540859139</v>
      </c>
      <c r="L30" s="7">
        <f t="shared" si="16"/>
        <v>0.88617828459140857</v>
      </c>
      <c r="N30">
        <f t="shared" si="17"/>
        <v>2002</v>
      </c>
      <c r="O30" s="2">
        <f t="shared" si="18"/>
        <v>4772.3076638999992</v>
      </c>
      <c r="P30" s="2"/>
      <c r="Q30" s="2"/>
      <c r="R30">
        <f t="shared" si="19"/>
        <v>2002</v>
      </c>
      <c r="S30" s="2">
        <f t="shared" si="4"/>
        <v>10150.27121758869</v>
      </c>
      <c r="T30" s="2"/>
      <c r="U30" s="2">
        <f t="shared" si="5"/>
        <v>17540.260371714154</v>
      </c>
      <c r="V30" s="2">
        <f t="shared" si="5"/>
        <v>5571.0448738110172</v>
      </c>
      <c r="W30" s="2"/>
      <c r="X30" s="2">
        <f t="shared" si="6"/>
        <v>10488.90064017628</v>
      </c>
      <c r="Y30" s="2">
        <f t="shared" si="6"/>
        <v>36188.560356419403</v>
      </c>
      <c r="Z30" s="2">
        <f t="shared" si="7"/>
        <v>79939.037459709536</v>
      </c>
      <c r="AA30" s="2">
        <f t="shared" si="20"/>
        <v>-10996.816264343477</v>
      </c>
      <c r="AB30" s="6">
        <f t="shared" si="21"/>
        <v>-0.12092937839142716</v>
      </c>
      <c r="AC30" s="7">
        <f t="shared" si="22"/>
        <v>0.87907062160857286</v>
      </c>
      <c r="AD30" s="2">
        <f t="shared" si="23"/>
        <v>0</v>
      </c>
      <c r="AE30" s="2"/>
      <c r="AG30">
        <f t="shared" si="24"/>
        <v>2002</v>
      </c>
      <c r="AH30" s="6">
        <f t="shared" si="25"/>
        <v>0.12697514931555909</v>
      </c>
      <c r="AI30" s="6"/>
      <c r="AJ30" s="6">
        <f t="shared" si="25"/>
        <v>0.21942046000434651</v>
      </c>
      <c r="AK30" s="6">
        <f t="shared" si="25"/>
        <v>6.9691167805453078E-2</v>
      </c>
      <c r="AL30" s="6"/>
      <c r="AM30" s="6">
        <f t="shared" si="25"/>
        <v>0.13121124513743165</v>
      </c>
      <c r="AN30" s="6">
        <f t="shared" si="25"/>
        <v>0.45270197773720977</v>
      </c>
      <c r="AO30" s="6">
        <f t="shared" si="26"/>
        <v>1</v>
      </c>
      <c r="AP30" s="7">
        <f t="shared" si="27"/>
        <v>0.54729802226279034</v>
      </c>
      <c r="AQ30" s="7">
        <f t="shared" si="28"/>
        <v>0</v>
      </c>
    </row>
    <row r="31" spans="1:43" x14ac:dyDescent="0.25">
      <c r="A31">
        <f t="shared" si="3"/>
        <v>2003</v>
      </c>
      <c r="B31" s="2">
        <f t="shared" si="8"/>
        <v>13043.098514601466</v>
      </c>
      <c r="C31" s="2"/>
      <c r="D31" s="2">
        <f t="shared" si="9"/>
        <v>23528.8560678248</v>
      </c>
      <c r="E31" s="2">
        <f t="shared" si="10"/>
        <v>8113.0012288335083</v>
      </c>
      <c r="F31" s="2"/>
      <c r="G31" s="2">
        <f t="shared" si="11"/>
        <v>16059.614473526843</v>
      </c>
      <c r="H31" s="2">
        <f t="shared" si="12"/>
        <v>37625.246202569258</v>
      </c>
      <c r="I31" s="2">
        <f t="shared" si="29"/>
        <v>98369.816487355885</v>
      </c>
      <c r="J31" s="2">
        <f t="shared" si="14"/>
        <v>13658.471363746343</v>
      </c>
      <c r="K31" s="6">
        <f t="shared" si="15"/>
        <v>0.1612354442467665</v>
      </c>
      <c r="L31" s="7">
        <f t="shared" si="16"/>
        <v>1.1612354442467665</v>
      </c>
      <c r="N31">
        <f t="shared" si="17"/>
        <v>2003</v>
      </c>
      <c r="O31" s="2">
        <f t="shared" si="18"/>
        <v>4867.7538171779988</v>
      </c>
      <c r="P31" s="2"/>
      <c r="Q31" s="2"/>
      <c r="R31">
        <f t="shared" si="19"/>
        <v>2003</v>
      </c>
      <c r="S31" s="2">
        <f t="shared" si="4"/>
        <v>12069.547751165866</v>
      </c>
      <c r="T31" s="2"/>
      <c r="U31" s="2">
        <f t="shared" si="5"/>
        <v>22555.3053043892</v>
      </c>
      <c r="V31" s="2">
        <f t="shared" si="5"/>
        <v>7139.4504653979084</v>
      </c>
      <c r="W31" s="2"/>
      <c r="X31" s="2">
        <f t="shared" si="6"/>
        <v>15086.063710091243</v>
      </c>
      <c r="Y31" s="2">
        <f t="shared" si="6"/>
        <v>36651.695439133662</v>
      </c>
      <c r="Z31" s="2">
        <f t="shared" si="7"/>
        <v>93502.062670177882</v>
      </c>
      <c r="AA31" s="2">
        <f t="shared" si="20"/>
        <v>13563.025210468346</v>
      </c>
      <c r="AB31" s="6">
        <f t="shared" si="21"/>
        <v>0.16966710685382361</v>
      </c>
      <c r="AC31" s="7">
        <f t="shared" si="22"/>
        <v>1.1696671068538236</v>
      </c>
      <c r="AD31" s="2">
        <f t="shared" si="23"/>
        <v>0</v>
      </c>
      <c r="AE31" s="2"/>
      <c r="AG31">
        <f t="shared" si="24"/>
        <v>2003</v>
      </c>
      <c r="AH31" s="6">
        <f t="shared" si="25"/>
        <v>0.12908322454596932</v>
      </c>
      <c r="AI31" s="6"/>
      <c r="AJ31" s="6">
        <f t="shared" si="25"/>
        <v>0.24122789016913448</v>
      </c>
      <c r="AK31" s="6">
        <f t="shared" si="25"/>
        <v>7.6356074524065107E-2</v>
      </c>
      <c r="AL31" s="6"/>
      <c r="AM31" s="6">
        <f t="shared" si="25"/>
        <v>0.16134471560596794</v>
      </c>
      <c r="AN31" s="6">
        <f t="shared" si="25"/>
        <v>0.3919880951548631</v>
      </c>
      <c r="AO31" s="6">
        <f t="shared" si="26"/>
        <v>1</v>
      </c>
      <c r="AP31" s="7">
        <f t="shared" si="27"/>
        <v>0.6080119048451369</v>
      </c>
      <c r="AQ31" s="7">
        <f t="shared" si="28"/>
        <v>0</v>
      </c>
    </row>
    <row r="32" spans="1:43" x14ac:dyDescent="0.25">
      <c r="A32">
        <f t="shared" si="3"/>
        <v>2004</v>
      </c>
      <c r="B32" s="2">
        <f t="shared" si="8"/>
        <v>13365.817179641081</v>
      </c>
      <c r="C32" s="2"/>
      <c r="D32" s="2">
        <f t="shared" si="9"/>
        <v>27145.986592991532</v>
      </c>
      <c r="E32" s="2">
        <f t="shared" si="10"/>
        <v>8559.986924498131</v>
      </c>
      <c r="F32" s="2"/>
      <c r="G32" s="2">
        <f t="shared" si="11"/>
        <v>19405.95634137563</v>
      </c>
      <c r="H32" s="2">
        <f t="shared" si="12"/>
        <v>38205.72732575293</v>
      </c>
      <c r="I32" s="2">
        <f t="shared" si="29"/>
        <v>106683.47436425931</v>
      </c>
      <c r="J32" s="2">
        <f t="shared" si="14"/>
        <v>8313.657876903424</v>
      </c>
      <c r="K32" s="6">
        <f t="shared" si="15"/>
        <v>8.4514317234413397E-2</v>
      </c>
      <c r="L32" s="7">
        <f t="shared" si="16"/>
        <v>1.0845143172344134</v>
      </c>
      <c r="N32">
        <f t="shared" si="17"/>
        <v>2004</v>
      </c>
      <c r="O32" s="2">
        <f t="shared" si="18"/>
        <v>5028.3896931448726</v>
      </c>
      <c r="P32" s="2"/>
      <c r="Q32" s="2"/>
      <c r="R32">
        <f t="shared" si="19"/>
        <v>2004</v>
      </c>
      <c r="S32" s="2">
        <f t="shared" si="4"/>
        <v>12360.139241012106</v>
      </c>
      <c r="T32" s="2"/>
      <c r="U32" s="2">
        <f t="shared" si="5"/>
        <v>26140.308654362558</v>
      </c>
      <c r="V32" s="2">
        <f t="shared" si="5"/>
        <v>7554.3089858691565</v>
      </c>
      <c r="W32" s="2"/>
      <c r="X32" s="2">
        <f t="shared" si="6"/>
        <v>18400.278402746655</v>
      </c>
      <c r="Y32" s="2">
        <f t="shared" si="6"/>
        <v>37200.04938712396</v>
      </c>
      <c r="Z32" s="2">
        <f t="shared" si="7"/>
        <v>101655.08467111444</v>
      </c>
      <c r="AA32" s="2">
        <f t="shared" si="20"/>
        <v>8153.0220009365585</v>
      </c>
      <c r="AB32" s="6">
        <f t="shared" si="21"/>
        <v>8.7196172663011565E-2</v>
      </c>
      <c r="AC32" s="7">
        <f t="shared" si="22"/>
        <v>1.0871961726630115</v>
      </c>
      <c r="AD32" s="2">
        <f t="shared" si="23"/>
        <v>0</v>
      </c>
      <c r="AE32" s="2"/>
      <c r="AG32">
        <f t="shared" si="24"/>
        <v>2004</v>
      </c>
      <c r="AH32" s="6">
        <f t="shared" si="25"/>
        <v>0.12158899164759904</v>
      </c>
      <c r="AI32" s="6"/>
      <c r="AJ32" s="6">
        <f t="shared" si="25"/>
        <v>0.25714708456477625</v>
      </c>
      <c r="AK32" s="6">
        <f t="shared" si="25"/>
        <v>7.4313144397151171E-2</v>
      </c>
      <c r="AL32" s="6"/>
      <c r="AM32" s="6">
        <f t="shared" si="25"/>
        <v>0.18100696548802483</v>
      </c>
      <c r="AN32" s="6">
        <f t="shared" si="25"/>
        <v>0.36594381390244862</v>
      </c>
      <c r="AO32" s="6">
        <f t="shared" si="26"/>
        <v>1</v>
      </c>
      <c r="AP32" s="7">
        <f t="shared" si="27"/>
        <v>0.63405618609755132</v>
      </c>
      <c r="AQ32" s="7">
        <f t="shared" si="28"/>
        <v>0</v>
      </c>
    </row>
    <row r="33" spans="1:43" x14ac:dyDescent="0.25">
      <c r="A33">
        <f t="shared" si="3"/>
        <v>2005</v>
      </c>
      <c r="B33" s="2">
        <f t="shared" si="8"/>
        <v>12949.717882808385</v>
      </c>
      <c r="C33" s="2"/>
      <c r="D33" s="2">
        <f t="shared" si="9"/>
        <v>29781.915053001805</v>
      </c>
      <c r="E33" s="2">
        <f t="shared" si="10"/>
        <v>8110.5327564987028</v>
      </c>
      <c r="F33" s="2"/>
      <c r="G33" s="2">
        <f t="shared" si="11"/>
        <v>22427.657803291229</v>
      </c>
      <c r="H33" s="2">
        <f t="shared" si="12"/>
        <v>38092.850572414936</v>
      </c>
      <c r="I33" s="2">
        <f t="shared" si="29"/>
        <v>111362.67406801507</v>
      </c>
      <c r="J33" s="2">
        <f t="shared" si="14"/>
        <v>4679.1997037557594</v>
      </c>
      <c r="K33" s="6">
        <f t="shared" si="15"/>
        <v>4.3860586015216682E-2</v>
      </c>
      <c r="L33" s="7">
        <f t="shared" si="16"/>
        <v>1.0438605860152166</v>
      </c>
      <c r="N33">
        <f t="shared" si="17"/>
        <v>2005</v>
      </c>
      <c r="O33" s="2">
        <f t="shared" si="18"/>
        <v>5194.3265530186527</v>
      </c>
      <c r="P33" s="2"/>
      <c r="Q33" s="2"/>
      <c r="R33">
        <f t="shared" si="19"/>
        <v>2005</v>
      </c>
      <c r="S33" s="2">
        <f t="shared" si="4"/>
        <v>11910.852572204654</v>
      </c>
      <c r="T33" s="2"/>
      <c r="U33" s="2">
        <f t="shared" si="5"/>
        <v>28743.049742398074</v>
      </c>
      <c r="V33" s="2">
        <f t="shared" si="5"/>
        <v>7071.6674458949728</v>
      </c>
      <c r="W33" s="2"/>
      <c r="X33" s="2">
        <f t="shared" si="6"/>
        <v>21388.792492687498</v>
      </c>
      <c r="Y33" s="2">
        <f t="shared" si="6"/>
        <v>37053.985261811205</v>
      </c>
      <c r="Z33" s="2">
        <f t="shared" si="7"/>
        <v>106168.34751499641</v>
      </c>
      <c r="AA33" s="2">
        <f t="shared" si="20"/>
        <v>4513.2628438819665</v>
      </c>
      <c r="AB33" s="6">
        <f t="shared" si="21"/>
        <v>4.4397807138558433E-2</v>
      </c>
      <c r="AC33" s="7">
        <f t="shared" si="22"/>
        <v>1.0443978071385585</v>
      </c>
      <c r="AD33" s="2">
        <f t="shared" si="23"/>
        <v>0</v>
      </c>
      <c r="AE33" s="2"/>
      <c r="AG33">
        <f t="shared" si="24"/>
        <v>2005</v>
      </c>
      <c r="AH33" s="6">
        <f t="shared" si="25"/>
        <v>0.1121883579333495</v>
      </c>
      <c r="AI33" s="6"/>
      <c r="AJ33" s="6">
        <f t="shared" si="25"/>
        <v>0.27073087615250002</v>
      </c>
      <c r="AK33" s="6">
        <f t="shared" si="25"/>
        <v>6.6608057970348383E-2</v>
      </c>
      <c r="AL33" s="6"/>
      <c r="AM33" s="6">
        <f t="shared" si="25"/>
        <v>0.20146110392898697</v>
      </c>
      <c r="AN33" s="6">
        <f t="shared" si="25"/>
        <v>0.34901160401481512</v>
      </c>
      <c r="AO33" s="6">
        <f t="shared" si="26"/>
        <v>1</v>
      </c>
      <c r="AP33" s="7">
        <f t="shared" si="27"/>
        <v>0.65098839598518488</v>
      </c>
      <c r="AQ33" s="7">
        <f t="shared" si="28"/>
        <v>0</v>
      </c>
    </row>
    <row r="34" spans="1:43" x14ac:dyDescent="0.25">
      <c r="A34">
        <f t="shared" si="3"/>
        <v>2006</v>
      </c>
      <c r="B34" s="2">
        <f t="shared" si="8"/>
        <v>13773.709914497464</v>
      </c>
      <c r="C34" s="2"/>
      <c r="D34" s="2">
        <f t="shared" si="9"/>
        <v>32651.242215871938</v>
      </c>
      <c r="E34" s="2">
        <f t="shared" si="10"/>
        <v>8178.8077012242902</v>
      </c>
      <c r="F34" s="2"/>
      <c r="G34" s="2">
        <f t="shared" si="11"/>
        <v>28401.713012353914</v>
      </c>
      <c r="H34" s="2">
        <f t="shared" si="12"/>
        <v>38636.190432490541</v>
      </c>
      <c r="I34" s="2">
        <f t="shared" si="29"/>
        <v>121641.66327643814</v>
      </c>
      <c r="J34" s="2">
        <f t="shared" si="14"/>
        <v>10278.989208423067</v>
      </c>
      <c r="K34" s="6">
        <f t="shared" si="15"/>
        <v>9.2301925168797094E-2</v>
      </c>
      <c r="L34" s="7">
        <f t="shared" si="16"/>
        <v>1.0923019251687971</v>
      </c>
      <c r="N34">
        <f t="shared" si="17"/>
        <v>2006</v>
      </c>
      <c r="O34" s="2">
        <f t="shared" si="18"/>
        <v>5324.1847168441182</v>
      </c>
      <c r="P34" s="2"/>
      <c r="Q34" s="2"/>
      <c r="R34">
        <f t="shared" si="19"/>
        <v>2006</v>
      </c>
      <c r="S34" s="2">
        <f t="shared" si="4"/>
        <v>12708.87297112864</v>
      </c>
      <c r="T34" s="2"/>
      <c r="U34" s="2">
        <f t="shared" si="5"/>
        <v>31586.405272503114</v>
      </c>
      <c r="V34" s="2">
        <f t="shared" si="5"/>
        <v>7113.9707578554662</v>
      </c>
      <c r="W34" s="2"/>
      <c r="X34" s="2">
        <f t="shared" si="6"/>
        <v>27336.87606898509</v>
      </c>
      <c r="Y34" s="2">
        <f t="shared" si="6"/>
        <v>37571.35348912172</v>
      </c>
      <c r="Z34" s="2">
        <f t="shared" si="7"/>
        <v>116317.47855959402</v>
      </c>
      <c r="AA34" s="2">
        <f t="shared" si="20"/>
        <v>10149.131044597612</v>
      </c>
      <c r="AB34" s="6">
        <f t="shared" si="21"/>
        <v>9.5594697309987195E-2</v>
      </c>
      <c r="AC34" s="7">
        <f t="shared" si="22"/>
        <v>1.0955946973099873</v>
      </c>
      <c r="AD34" s="2">
        <f t="shared" si="23"/>
        <v>0</v>
      </c>
      <c r="AE34" s="2"/>
      <c r="AG34">
        <f t="shared" si="24"/>
        <v>2006</v>
      </c>
      <c r="AH34" s="6">
        <f t="shared" si="25"/>
        <v>0.10926021719614033</v>
      </c>
      <c r="AI34" s="6"/>
      <c r="AJ34" s="6">
        <f t="shared" si="25"/>
        <v>0.27155338702016446</v>
      </c>
      <c r="AK34" s="6">
        <f t="shared" si="25"/>
        <v>6.1159946432390207E-2</v>
      </c>
      <c r="AL34" s="6"/>
      <c r="AM34" s="6">
        <f t="shared" si="25"/>
        <v>0.23501950358199464</v>
      </c>
      <c r="AN34" s="6">
        <f t="shared" si="25"/>
        <v>0.32300694576931049</v>
      </c>
      <c r="AO34" s="6">
        <f t="shared" si="26"/>
        <v>1.0000000000000002</v>
      </c>
      <c r="AP34" s="7">
        <f t="shared" si="27"/>
        <v>0.67699305423068967</v>
      </c>
      <c r="AQ34" s="7">
        <f t="shared" si="28"/>
        <v>0</v>
      </c>
    </row>
    <row r="35" spans="1:43" x14ac:dyDescent="0.25">
      <c r="A35">
        <f t="shared" si="3"/>
        <v>2007</v>
      </c>
      <c r="B35" s="2">
        <f t="shared" si="8"/>
        <v>13393.881224272474</v>
      </c>
      <c r="C35" s="2"/>
      <c r="D35" s="2">
        <f t="shared" si="9"/>
        <v>33488.222733960531</v>
      </c>
      <c r="E35" s="2">
        <f t="shared" si="10"/>
        <v>7196.2082598162751</v>
      </c>
      <c r="F35" s="2"/>
      <c r="G35" s="2">
        <f t="shared" si="11"/>
        <v>32810.226906131487</v>
      </c>
      <c r="H35" s="2">
        <f t="shared" si="12"/>
        <v>40171.291150568941</v>
      </c>
      <c r="I35" s="2">
        <f t="shared" si="29"/>
        <v>127059.83027474971</v>
      </c>
      <c r="J35" s="2">
        <f t="shared" si="14"/>
        <v>5418.1669983115717</v>
      </c>
      <c r="K35" s="6">
        <f t="shared" si="15"/>
        <v>4.4542033151901708E-2</v>
      </c>
      <c r="L35" s="7">
        <f t="shared" si="16"/>
        <v>1.0445420331519017</v>
      </c>
      <c r="N35">
        <f t="shared" si="17"/>
        <v>2007</v>
      </c>
      <c r="O35" s="2">
        <f t="shared" si="18"/>
        <v>5542.4762902347265</v>
      </c>
      <c r="P35" s="2"/>
      <c r="Q35" s="2"/>
      <c r="R35">
        <f t="shared" si="19"/>
        <v>2007</v>
      </c>
      <c r="S35" s="2">
        <f t="shared" si="4"/>
        <v>12285.385966225529</v>
      </c>
      <c r="T35" s="2"/>
      <c r="U35" s="2">
        <f t="shared" si="5"/>
        <v>32379.727475913583</v>
      </c>
      <c r="V35" s="2">
        <f t="shared" si="5"/>
        <v>6087.7130017693298</v>
      </c>
      <c r="W35" s="2"/>
      <c r="X35" s="2">
        <f t="shared" si="6"/>
        <v>31701.73164808454</v>
      </c>
      <c r="Y35" s="2">
        <f t="shared" si="6"/>
        <v>39062.795892521994</v>
      </c>
      <c r="Z35" s="2">
        <f t="shared" si="7"/>
        <v>121517.35398451498</v>
      </c>
      <c r="AA35" s="2">
        <f t="shared" si="20"/>
        <v>5199.8754249209596</v>
      </c>
      <c r="AB35" s="6">
        <f t="shared" si="21"/>
        <v>4.4704162171610856E-2</v>
      </c>
      <c r="AC35" s="7">
        <f t="shared" si="22"/>
        <v>1.0447041621716109</v>
      </c>
      <c r="AD35" s="2">
        <f t="shared" si="23"/>
        <v>0</v>
      </c>
      <c r="AE35" s="2"/>
      <c r="AG35">
        <f t="shared" si="24"/>
        <v>2007</v>
      </c>
      <c r="AH35" s="6">
        <f t="shared" si="25"/>
        <v>0.10109984758054444</v>
      </c>
      <c r="AI35" s="6"/>
      <c r="AJ35" s="6">
        <f t="shared" si="25"/>
        <v>0.26646175557805307</v>
      </c>
      <c r="AK35" s="6">
        <f t="shared" si="25"/>
        <v>5.0097478279070247E-2</v>
      </c>
      <c r="AL35" s="6"/>
      <c r="AM35" s="6">
        <f t="shared" si="25"/>
        <v>0.2608823399176739</v>
      </c>
      <c r="AN35" s="6">
        <f t="shared" si="25"/>
        <v>0.32145857864465832</v>
      </c>
      <c r="AO35" s="6">
        <f t="shared" si="26"/>
        <v>1</v>
      </c>
      <c r="AP35" s="7">
        <f t="shared" si="27"/>
        <v>0.67854142135534168</v>
      </c>
      <c r="AQ35" s="7">
        <f t="shared" si="28"/>
        <v>0</v>
      </c>
    </row>
    <row r="36" spans="1:43" x14ac:dyDescent="0.25">
      <c r="A36">
        <f t="shared" si="3"/>
        <v>2008</v>
      </c>
      <c r="B36" s="2">
        <f t="shared" si="8"/>
        <v>7737.336081528837</v>
      </c>
      <c r="C36" s="2"/>
      <c r="D36" s="2">
        <f t="shared" si="9"/>
        <v>18837.230256387487</v>
      </c>
      <c r="E36" s="2">
        <f t="shared" si="10"/>
        <v>3891.8749220311324</v>
      </c>
      <c r="F36" s="2"/>
      <c r="G36" s="2">
        <f t="shared" si="11"/>
        <v>18340.588738258441</v>
      </c>
      <c r="H36" s="2">
        <f t="shared" si="12"/>
        <v>41035.467085094351</v>
      </c>
      <c r="I36" s="2">
        <f t="shared" si="29"/>
        <v>89842.497083300244</v>
      </c>
      <c r="J36" s="2">
        <f t="shared" si="14"/>
        <v>-37217.333191449463</v>
      </c>
      <c r="K36" s="6">
        <f t="shared" si="15"/>
        <v>-0.29291187553904341</v>
      </c>
      <c r="L36" s="7">
        <f t="shared" si="16"/>
        <v>0.70708812446095659</v>
      </c>
      <c r="N36">
        <f t="shared" si="17"/>
        <v>2008</v>
      </c>
      <c r="O36" s="2">
        <f t="shared" si="18"/>
        <v>5542.4762902347265</v>
      </c>
      <c r="P36" s="2"/>
      <c r="Q36" s="2"/>
      <c r="R36">
        <f t="shared" si="19"/>
        <v>2008</v>
      </c>
      <c r="S36" s="2">
        <f t="shared" si="4"/>
        <v>6628.8408234818917</v>
      </c>
      <c r="T36" s="2"/>
      <c r="U36" s="2">
        <f t="shared" si="5"/>
        <v>17728.734998340544</v>
      </c>
      <c r="V36" s="2">
        <f t="shared" si="5"/>
        <v>2783.3796639841871</v>
      </c>
      <c r="W36" s="2"/>
      <c r="X36" s="2">
        <f t="shared" si="6"/>
        <v>17232.093480211493</v>
      </c>
      <c r="Y36" s="2">
        <f t="shared" si="6"/>
        <v>39926.971827047404</v>
      </c>
      <c r="Z36" s="2">
        <f t="shared" si="7"/>
        <v>84300.020793065516</v>
      </c>
      <c r="AA36" s="2">
        <f t="shared" si="20"/>
        <v>-37217.333191449463</v>
      </c>
      <c r="AB36" s="6">
        <f t="shared" si="21"/>
        <v>-0.30627175437174253</v>
      </c>
      <c r="AC36" s="7">
        <f t="shared" si="22"/>
        <v>0.69372824562825741</v>
      </c>
      <c r="AD36" s="2">
        <f t="shared" si="23"/>
        <v>0</v>
      </c>
      <c r="AE36" s="2"/>
      <c r="AG36">
        <f t="shared" si="24"/>
        <v>2008</v>
      </c>
      <c r="AH36" s="6">
        <f t="shared" si="25"/>
        <v>7.863391682611752E-2</v>
      </c>
      <c r="AI36" s="6"/>
      <c r="AJ36" s="6">
        <f t="shared" si="25"/>
        <v>0.21030522687366765</v>
      </c>
      <c r="AK36" s="6">
        <f t="shared" si="25"/>
        <v>3.3017544216467701E-2</v>
      </c>
      <c r="AL36" s="6"/>
      <c r="AM36" s="6">
        <f t="shared" si="25"/>
        <v>0.20441386986738441</v>
      </c>
      <c r="AN36" s="6">
        <f t="shared" si="25"/>
        <v>0.47362944221636277</v>
      </c>
      <c r="AO36" s="6">
        <f t="shared" si="26"/>
        <v>1</v>
      </c>
      <c r="AP36" s="7">
        <f t="shared" si="27"/>
        <v>0.52637055778363728</v>
      </c>
      <c r="AQ36" s="7">
        <f t="shared" si="28"/>
        <v>0</v>
      </c>
    </row>
    <row r="37" spans="1:43" x14ac:dyDescent="0.25">
      <c r="A37">
        <f t="shared" si="3"/>
        <v>2009</v>
      </c>
      <c r="B37" s="2">
        <f t="shared" si="8"/>
        <v>8384.8207576222449</v>
      </c>
      <c r="C37" s="2"/>
      <c r="D37" s="2">
        <f t="shared" si="9"/>
        <v>24858.877639973143</v>
      </c>
      <c r="E37" s="2">
        <f t="shared" si="10"/>
        <v>3788.6807310219961</v>
      </c>
      <c r="F37" s="2"/>
      <c r="G37" s="2">
        <f t="shared" si="11"/>
        <v>25076.536764158616</v>
      </c>
      <c r="H37" s="2">
        <f t="shared" si="12"/>
        <v>42294.641256391311</v>
      </c>
      <c r="I37" s="2">
        <f t="shared" si="13"/>
        <v>104403.55714916732</v>
      </c>
      <c r="J37" s="2">
        <f t="shared" si="14"/>
        <v>14561.060065867074</v>
      </c>
      <c r="K37" s="6">
        <f t="shared" si="15"/>
        <v>0.16207318962168135</v>
      </c>
      <c r="L37" s="7">
        <f t="shared" si="16"/>
        <v>1.1620731896216814</v>
      </c>
      <c r="N37">
        <f t="shared" si="17"/>
        <v>2009</v>
      </c>
      <c r="O37" s="2">
        <f t="shared" si="18"/>
        <v>5697.6656263612995</v>
      </c>
      <c r="P37" s="2"/>
      <c r="Q37" s="2"/>
      <c r="R37">
        <f t="shared" si="19"/>
        <v>2009</v>
      </c>
      <c r="S37" s="2">
        <f t="shared" si="4"/>
        <v>7245.287632349985</v>
      </c>
      <c r="T37" s="2"/>
      <c r="U37" s="2">
        <f t="shared" si="5"/>
        <v>23719.344514700882</v>
      </c>
      <c r="V37" s="2">
        <f t="shared" si="5"/>
        <v>2649.1476057497362</v>
      </c>
      <c r="W37" s="2"/>
      <c r="X37" s="2">
        <f t="shared" si="6"/>
        <v>23937.003638886355</v>
      </c>
      <c r="Y37" s="2">
        <f t="shared" si="6"/>
        <v>41155.10813111905</v>
      </c>
      <c r="Z37" s="2">
        <f t="shared" si="7"/>
        <v>98705.891522806007</v>
      </c>
      <c r="AA37" s="2">
        <f t="shared" si="20"/>
        <v>14405.870729740491</v>
      </c>
      <c r="AB37" s="6">
        <f t="shared" si="21"/>
        <v>0.1708881041097621</v>
      </c>
      <c r="AC37" s="7">
        <f t="shared" si="22"/>
        <v>1.1708881041097621</v>
      </c>
      <c r="AD37" s="2">
        <f t="shared" si="23"/>
        <v>0</v>
      </c>
      <c r="AE37" s="2"/>
      <c r="AG37">
        <f t="shared" si="24"/>
        <v>2009</v>
      </c>
      <c r="AH37" s="6">
        <f t="shared" si="25"/>
        <v>7.3402788025838966E-2</v>
      </c>
      <c r="AI37" s="6"/>
      <c r="AJ37" s="6">
        <f t="shared" si="25"/>
        <v>0.24030322961239375</v>
      </c>
      <c r="AK37" s="6">
        <f t="shared" si="25"/>
        <v>2.6838799233555886E-2</v>
      </c>
      <c r="AL37" s="6"/>
      <c r="AM37" s="6">
        <f t="shared" si="25"/>
        <v>0.24250835760250145</v>
      </c>
      <c r="AN37" s="6">
        <f t="shared" si="25"/>
        <v>0.41694682552570994</v>
      </c>
      <c r="AO37" s="6">
        <f t="shared" si="26"/>
        <v>0.99999999999999989</v>
      </c>
      <c r="AP37" s="7">
        <f t="shared" si="27"/>
        <v>0.58305317447428995</v>
      </c>
      <c r="AQ37" s="7">
        <f t="shared" si="28"/>
        <v>0</v>
      </c>
    </row>
    <row r="38" spans="1:43" x14ac:dyDescent="0.25">
      <c r="A38">
        <f t="shared" si="3"/>
        <v>2010</v>
      </c>
      <c r="B38" s="2">
        <f t="shared" si="8"/>
        <v>8325.5600183333681</v>
      </c>
      <c r="C38" s="2"/>
      <c r="D38" s="2">
        <f t="shared" si="9"/>
        <v>29758.289628143724</v>
      </c>
      <c r="E38" s="2">
        <f t="shared" si="10"/>
        <v>3383.4913220635635</v>
      </c>
      <c r="F38" s="2"/>
      <c r="G38" s="2">
        <f t="shared" si="11"/>
        <v>27865.047652333054</v>
      </c>
      <c r="H38" s="2">
        <f t="shared" si="12"/>
        <v>43797.266073136896</v>
      </c>
      <c r="I38" s="2">
        <f t="shared" si="13"/>
        <v>113129.65469401061</v>
      </c>
      <c r="J38" s="2">
        <f t="shared" si="14"/>
        <v>8726.0975448432873</v>
      </c>
      <c r="K38" s="6">
        <f t="shared" si="15"/>
        <v>8.3580462037091463E-2</v>
      </c>
      <c r="L38" s="7">
        <f t="shared" si="16"/>
        <v>1.0835804620370915</v>
      </c>
      <c r="N38">
        <f t="shared" si="17"/>
        <v>2010</v>
      </c>
      <c r="O38" s="2">
        <f t="shared" si="18"/>
        <v>5777.4329451303574</v>
      </c>
      <c r="P38" s="2"/>
      <c r="Q38" s="2"/>
      <c r="R38">
        <f t="shared" si="19"/>
        <v>2010</v>
      </c>
      <c r="S38" s="2">
        <f t="shared" si="4"/>
        <v>7170.0734293072965</v>
      </c>
      <c r="T38" s="2"/>
      <c r="U38" s="2">
        <f t="shared" si="5"/>
        <v>28602.803039117654</v>
      </c>
      <c r="V38" s="2">
        <f t="shared" si="5"/>
        <v>2228.0047330374919</v>
      </c>
      <c r="W38" s="2"/>
      <c r="X38" s="2">
        <f t="shared" si="6"/>
        <v>26709.561063306985</v>
      </c>
      <c r="Y38" s="2">
        <f t="shared" si="6"/>
        <v>42641.779484110826</v>
      </c>
      <c r="Z38" s="2">
        <f t="shared" si="7"/>
        <v>107352.22174888026</v>
      </c>
      <c r="AA38" s="2">
        <f t="shared" si="20"/>
        <v>8646.3302260742494</v>
      </c>
      <c r="AB38" s="6">
        <f t="shared" si="21"/>
        <v>8.7596901184733372E-2</v>
      </c>
      <c r="AC38" s="7">
        <f t="shared" si="22"/>
        <v>1.0875969011847333</v>
      </c>
      <c r="AD38" s="2">
        <f t="shared" si="23"/>
        <v>0</v>
      </c>
      <c r="AE38" s="2"/>
      <c r="AG38">
        <f t="shared" si="24"/>
        <v>2010</v>
      </c>
      <c r="AH38" s="6">
        <f t="shared" si="25"/>
        <v>6.6790172690413693E-2</v>
      </c>
      <c r="AI38" s="6"/>
      <c r="AJ38" s="6">
        <f t="shared" si="25"/>
        <v>0.26643885495006997</v>
      </c>
      <c r="AK38" s="6">
        <f t="shared" si="25"/>
        <v>2.07541557756417E-2</v>
      </c>
      <c r="AL38" s="7"/>
      <c r="AM38" s="6">
        <f t="shared" si="25"/>
        <v>0.24880305808468822</v>
      </c>
      <c r="AN38" s="6">
        <f t="shared" si="25"/>
        <v>0.39721375849918639</v>
      </c>
      <c r="AO38" s="6">
        <f t="shared" si="26"/>
        <v>1</v>
      </c>
      <c r="AP38" s="7">
        <f t="shared" si="27"/>
        <v>0.60278624150081361</v>
      </c>
      <c r="AQ38" s="7">
        <f t="shared" si="28"/>
        <v>0</v>
      </c>
    </row>
    <row r="39" spans="1:43" x14ac:dyDescent="0.25">
      <c r="A39">
        <f t="shared" si="3"/>
        <v>2011</v>
      </c>
      <c r="B39" s="2">
        <f t="shared" si="8"/>
        <v>7311.3238758646503</v>
      </c>
      <c r="C39" s="2"/>
      <c r="D39" s="2">
        <f t="shared" si="9"/>
        <v>27999.283894992273</v>
      </c>
      <c r="E39" s="2">
        <f t="shared" si="10"/>
        <v>2165.6206005124423</v>
      </c>
      <c r="F39" s="2"/>
      <c r="G39" s="2">
        <f t="shared" si="11"/>
        <v>23807.896714153361</v>
      </c>
      <c r="H39" s="2">
        <f t="shared" si="12"/>
        <v>45865.498013109609</v>
      </c>
      <c r="I39" s="2">
        <f t="shared" si="13"/>
        <v>107149.62309863234</v>
      </c>
      <c r="J39" s="2">
        <f t="shared" si="14"/>
        <v>-5980.0315953782701</v>
      </c>
      <c r="K39" s="6">
        <f t="shared" si="15"/>
        <v>-5.2859982747696564E-2</v>
      </c>
      <c r="L39" s="7">
        <f t="shared" si="16"/>
        <v>0.94714001725230346</v>
      </c>
      <c r="N39">
        <f t="shared" si="17"/>
        <v>2011</v>
      </c>
      <c r="O39" s="2">
        <f t="shared" si="18"/>
        <v>5950.7559334842681</v>
      </c>
      <c r="P39" s="2"/>
      <c r="Q39" s="2"/>
      <c r="R39">
        <f t="shared" si="19"/>
        <v>2011</v>
      </c>
      <c r="S39" s="2">
        <f t="shared" si="4"/>
        <v>6121.1726891677972</v>
      </c>
      <c r="T39" s="2"/>
      <c r="U39" s="2">
        <f t="shared" si="5"/>
        <v>26809.132708295419</v>
      </c>
      <c r="V39" s="2">
        <f t="shared" si="5"/>
        <v>975.46941381558872</v>
      </c>
      <c r="W39" s="2"/>
      <c r="X39" s="2">
        <f t="shared" si="6"/>
        <v>22617.745527456507</v>
      </c>
      <c r="Y39" s="2">
        <f t="shared" si="6"/>
        <v>44675.346826412759</v>
      </c>
      <c r="Z39" s="2">
        <f t="shared" si="7"/>
        <v>101198.86716514808</v>
      </c>
      <c r="AA39" s="2">
        <f t="shared" si="20"/>
        <v>-6153.3545837321726</v>
      </c>
      <c r="AB39" s="6">
        <f t="shared" si="21"/>
        <v>-5.7319303536411022E-2</v>
      </c>
      <c r="AC39" s="7">
        <f t="shared" si="22"/>
        <v>0.94268069646358899</v>
      </c>
      <c r="AD39" s="2">
        <f t="shared" si="23"/>
        <v>0</v>
      </c>
      <c r="AE39" s="2"/>
      <c r="AG39">
        <f t="shared" si="24"/>
        <v>2011</v>
      </c>
      <c r="AH39" s="6">
        <f t="shared" si="25"/>
        <v>6.0486573225948817E-2</v>
      </c>
      <c r="AI39" s="7"/>
      <c r="AJ39" s="6">
        <f t="shared" si="25"/>
        <v>0.26491534400820077</v>
      </c>
      <c r="AK39" s="6">
        <f t="shared" si="25"/>
        <v>9.6391337288756831E-3</v>
      </c>
      <c r="AL39" s="7"/>
      <c r="AM39" s="6">
        <f t="shared" si="25"/>
        <v>0.22349801100585681</v>
      </c>
      <c r="AN39" s="6">
        <f t="shared" si="25"/>
        <v>0.4414609380311178</v>
      </c>
      <c r="AO39" s="6">
        <f t="shared" si="26"/>
        <v>1</v>
      </c>
      <c r="AP39" s="7">
        <f t="shared" si="27"/>
        <v>0.55853906196888214</v>
      </c>
      <c r="AQ39" s="7">
        <f t="shared" si="28"/>
        <v>0</v>
      </c>
    </row>
    <row r="40" spans="1:43" x14ac:dyDescent="0.25">
      <c r="A40">
        <f t="shared" si="3"/>
        <v>2012</v>
      </c>
      <c r="B40" s="2">
        <f t="shared" si="8"/>
        <v>7089.5422085941418</v>
      </c>
      <c r="C40" s="2"/>
      <c r="D40" s="2">
        <f t="shared" si="9"/>
        <v>31044.975676206093</v>
      </c>
      <c r="E40" s="2">
        <f t="shared" si="10"/>
        <v>1151.444096067921</v>
      </c>
      <c r="F40" s="2"/>
      <c r="G40" s="2">
        <f t="shared" si="11"/>
        <v>28126.649178100783</v>
      </c>
      <c r="H40" s="2">
        <f t="shared" si="12"/>
        <v>46484.698372882478</v>
      </c>
      <c r="I40" s="2">
        <f t="shared" si="13"/>
        <v>113897.30953185141</v>
      </c>
      <c r="J40" s="2">
        <f t="shared" si="14"/>
        <v>6747.6864332190744</v>
      </c>
      <c r="K40" s="6">
        <f t="shared" si="15"/>
        <v>6.2974429942770388E-2</v>
      </c>
      <c r="L40" s="7">
        <f t="shared" si="16"/>
        <v>1.0629744299427704</v>
      </c>
      <c r="N40">
        <f t="shared" si="17"/>
        <v>2012</v>
      </c>
      <c r="O40" s="2">
        <f t="shared" si="18"/>
        <v>6057.8695402869853</v>
      </c>
      <c r="P40" s="2"/>
      <c r="Q40" s="2"/>
      <c r="R40">
        <f t="shared" si="19"/>
        <v>2012</v>
      </c>
      <c r="S40" s="2">
        <f t="shared" si="4"/>
        <v>5877.9683005367442</v>
      </c>
      <c r="T40" s="2"/>
      <c r="U40" s="2">
        <f t="shared" si="5"/>
        <v>29833.401768148695</v>
      </c>
      <c r="V40" s="2">
        <f t="shared" si="5"/>
        <v>-60.129811989476138</v>
      </c>
      <c r="W40" s="2"/>
      <c r="X40" s="2">
        <f t="shared" si="6"/>
        <v>26915.075270043384</v>
      </c>
      <c r="Y40" s="2">
        <f t="shared" si="6"/>
        <v>45273.124464825079</v>
      </c>
      <c r="Z40" s="2">
        <f t="shared" si="7"/>
        <v>107839.43999156443</v>
      </c>
      <c r="AA40" s="2">
        <f t="shared" si="20"/>
        <v>6640.5728264163481</v>
      </c>
      <c r="AB40" s="6">
        <f t="shared" si="21"/>
        <v>6.5619043102325331E-2</v>
      </c>
      <c r="AC40" s="7">
        <f t="shared" si="22"/>
        <v>1.0656190431023254</v>
      </c>
      <c r="AD40" s="2">
        <f t="shared" si="23"/>
        <v>0</v>
      </c>
      <c r="AE40" s="2"/>
      <c r="AG40">
        <f t="shared" si="24"/>
        <v>2012</v>
      </c>
      <c r="AH40" s="6">
        <f t="shared" si="25"/>
        <v>5.4506665659581864E-2</v>
      </c>
      <c r="AI40" s="7"/>
      <c r="AJ40" s="6">
        <f t="shared" si="25"/>
        <v>0.27664648268279551</v>
      </c>
      <c r="AK40" s="6">
        <f t="shared" si="25"/>
        <v>-5.5758646367395546E-4</v>
      </c>
      <c r="AL40" s="7"/>
      <c r="AM40" s="6">
        <f t="shared" si="25"/>
        <v>0.2495847091949733</v>
      </c>
      <c r="AN40" s="6">
        <f t="shared" si="25"/>
        <v>0.41981972892632324</v>
      </c>
      <c r="AO40" s="6">
        <f t="shared" si="26"/>
        <v>1</v>
      </c>
      <c r="AP40" s="7">
        <f t="shared" si="27"/>
        <v>0.58018027107367676</v>
      </c>
      <c r="AQ40" s="7">
        <f t="shared" si="28"/>
        <v>0</v>
      </c>
    </row>
    <row r="41" spans="1:43" x14ac:dyDescent="0.25">
      <c r="A41">
        <f t="shared" si="3"/>
        <v>2013</v>
      </c>
      <c r="B41" s="2">
        <f t="shared" si="8"/>
        <v>7769.4984996494686</v>
      </c>
      <c r="C41" s="2"/>
      <c r="D41" s="2">
        <f t="shared" si="9"/>
        <v>40275.092387000739</v>
      </c>
      <c r="E41" s="2">
        <f t="shared" si="10"/>
        <v>-82.750647259917059</v>
      </c>
      <c r="F41" s="2"/>
      <c r="G41" s="2">
        <f t="shared" si="11"/>
        <v>32356.897214487137</v>
      </c>
      <c r="H41" s="2">
        <f t="shared" si="12"/>
        <v>44249.951851920036</v>
      </c>
      <c r="I41" s="2">
        <f t="shared" si="13"/>
        <v>124568.68930579747</v>
      </c>
      <c r="J41" s="2">
        <f t="shared" si="14"/>
        <v>10671.379773946057</v>
      </c>
      <c r="K41" s="6">
        <f t="shared" si="15"/>
        <v>9.3692992554506332E-2</v>
      </c>
      <c r="L41" s="7">
        <f t="shared" si="16"/>
        <v>1.0936929925545062</v>
      </c>
      <c r="N41">
        <f t="shared" si="17"/>
        <v>2013</v>
      </c>
      <c r="O41" s="2">
        <f t="shared" si="18"/>
        <v>6127.8737782156004</v>
      </c>
      <c r="P41" s="2"/>
      <c r="Q41" s="2"/>
      <c r="R41">
        <f t="shared" si="19"/>
        <v>2013</v>
      </c>
      <c r="S41" s="2">
        <f t="shared" si="4"/>
        <v>6543.923744006348</v>
      </c>
      <c r="T41" s="2"/>
      <c r="U41" s="2">
        <f t="shared" si="5"/>
        <v>39049.517631357616</v>
      </c>
      <c r="V41" s="2">
        <f t="shared" si="5"/>
        <v>-1308.3254029030372</v>
      </c>
      <c r="W41" s="2"/>
      <c r="X41" s="2">
        <f t="shared" si="6"/>
        <v>31131.322458844017</v>
      </c>
      <c r="Y41" s="2">
        <f t="shared" si="6"/>
        <v>43024.377096276912</v>
      </c>
      <c r="Z41" s="2">
        <f t="shared" si="7"/>
        <v>118440.81552758187</v>
      </c>
      <c r="AA41" s="2">
        <f t="shared" si="20"/>
        <v>10601.37553601744</v>
      </c>
      <c r="AB41" s="6">
        <f t="shared" si="21"/>
        <v>9.830703439156134E-2</v>
      </c>
      <c r="AC41" s="7">
        <f t="shared" si="22"/>
        <v>1.0983070343915613</v>
      </c>
      <c r="AD41" s="2">
        <f t="shared" si="23"/>
        <v>0</v>
      </c>
      <c r="AE41" s="2"/>
      <c r="AG41">
        <f t="shared" si="24"/>
        <v>2013</v>
      </c>
      <c r="AH41" s="6">
        <f t="shared" si="25"/>
        <v>5.5250579919237666E-2</v>
      </c>
      <c r="AI41" s="7"/>
      <c r="AJ41" s="6">
        <f t="shared" si="25"/>
        <v>0.32969646027356142</v>
      </c>
      <c r="AK41" s="6">
        <f t="shared" si="25"/>
        <v>-1.1046237710161336E-2</v>
      </c>
      <c r="AL41" s="7"/>
      <c r="AM41" s="6">
        <f t="shared" si="25"/>
        <v>0.26284285801455259</v>
      </c>
      <c r="AN41" s="6">
        <f t="shared" si="25"/>
        <v>0.3632563395028095</v>
      </c>
      <c r="AO41" s="6">
        <f t="shared" si="26"/>
        <v>0.99999999999999978</v>
      </c>
      <c r="AP41" s="7">
        <f t="shared" si="27"/>
        <v>0.63674366049719033</v>
      </c>
      <c r="AQ41" s="7">
        <f t="shared" si="28"/>
        <v>0</v>
      </c>
    </row>
    <row r="42" spans="1:43" x14ac:dyDescent="0.25">
      <c r="A42">
        <f t="shared" si="3"/>
        <v>2014</v>
      </c>
      <c r="B42" s="2">
        <f t="shared" si="8"/>
        <v>7428.0078418216053</v>
      </c>
      <c r="C42" s="2"/>
      <c r="D42" s="2">
        <f t="shared" si="9"/>
        <v>44360.252029222254</v>
      </c>
      <c r="E42" s="2">
        <f t="shared" si="10"/>
        <v>-1404.7489850969912</v>
      </c>
      <c r="F42" s="2"/>
      <c r="G42" s="2">
        <f t="shared" si="11"/>
        <v>30984.964772592881</v>
      </c>
      <c r="H42" s="2">
        <f t="shared" si="12"/>
        <v>45502.581217022467</v>
      </c>
      <c r="I42" s="2">
        <f t="shared" si="13"/>
        <v>126871.05687556221</v>
      </c>
      <c r="J42" s="2">
        <f t="shared" si="14"/>
        <v>2302.3675697647413</v>
      </c>
      <c r="K42" s="6">
        <f t="shared" si="15"/>
        <v>1.8482714898868158E-2</v>
      </c>
      <c r="L42" s="7">
        <f t="shared" si="16"/>
        <v>1.0184827148988682</v>
      </c>
      <c r="N42">
        <f t="shared" si="17"/>
        <v>2014</v>
      </c>
      <c r="O42" s="2">
        <f t="shared" si="18"/>
        <v>6206.9233499545808</v>
      </c>
      <c r="P42" s="2"/>
      <c r="Q42" s="2"/>
      <c r="R42">
        <f t="shared" si="19"/>
        <v>2014</v>
      </c>
      <c r="S42" s="2">
        <f t="shared" si="4"/>
        <v>6186.623171830689</v>
      </c>
      <c r="T42" s="2"/>
      <c r="U42" s="2">
        <f t="shared" si="5"/>
        <v>43118.867359231335</v>
      </c>
      <c r="V42" s="2">
        <f t="shared" si="5"/>
        <v>-2646.1336550879073</v>
      </c>
      <c r="W42" s="2"/>
      <c r="X42" s="2">
        <f t="shared" si="6"/>
        <v>29743.580102601965</v>
      </c>
      <c r="Y42" s="2">
        <f t="shared" si="6"/>
        <v>44261.196547031548</v>
      </c>
      <c r="Z42" s="2">
        <f t="shared" si="7"/>
        <v>120664.13352560763</v>
      </c>
      <c r="AA42" s="2">
        <f t="shared" si="20"/>
        <v>2223.3179980257555</v>
      </c>
      <c r="AB42" s="6">
        <f t="shared" si="21"/>
        <v>1.8771552594620568E-2</v>
      </c>
      <c r="AC42" s="7">
        <f t="shared" si="22"/>
        <v>1.0187715525946206</v>
      </c>
      <c r="AD42" s="2">
        <f t="shared" si="23"/>
        <v>0</v>
      </c>
      <c r="AE42" s="2"/>
      <c r="AG42">
        <f t="shared" si="24"/>
        <v>2014</v>
      </c>
      <c r="AH42" s="6">
        <f t="shared" si="25"/>
        <v>5.1271434112753554E-2</v>
      </c>
      <c r="AI42" s="7"/>
      <c r="AJ42" s="6">
        <f t="shared" si="25"/>
        <v>0.35734618149875125</v>
      </c>
      <c r="AK42" s="6">
        <f t="shared" si="25"/>
        <v>-2.1929744802968634E-2</v>
      </c>
      <c r="AL42" s="7"/>
      <c r="AM42" s="6">
        <f t="shared" si="25"/>
        <v>0.24649893247929977</v>
      </c>
      <c r="AN42" s="6">
        <f t="shared" si="25"/>
        <v>0.36681319671216411</v>
      </c>
      <c r="AO42" s="6">
        <f t="shared" si="26"/>
        <v>1</v>
      </c>
      <c r="AP42" s="7">
        <f t="shared" si="27"/>
        <v>0.63318680328783594</v>
      </c>
      <c r="AQ42" s="7">
        <f t="shared" si="28"/>
        <v>0</v>
      </c>
    </row>
    <row r="43" spans="1:43" x14ac:dyDescent="0.25">
      <c r="A43">
        <f t="shared" si="3"/>
        <v>2015</v>
      </c>
      <c r="B43" s="2">
        <f t="shared" si="8"/>
        <v>6263.9559614785721</v>
      </c>
      <c r="C43" s="2"/>
      <c r="D43" s="2">
        <f t="shared" si="9"/>
        <v>42489.331895786563</v>
      </c>
      <c r="E43" s="2">
        <f t="shared" si="10"/>
        <v>-2546.1098029255841</v>
      </c>
      <c r="F43" s="2"/>
      <c r="G43" s="2">
        <f t="shared" si="11"/>
        <v>29630.921812030574</v>
      </c>
      <c r="H43" s="2">
        <f t="shared" si="12"/>
        <v>44393.980136672639</v>
      </c>
      <c r="I43" s="2">
        <f t="shared" si="13"/>
        <v>120232.08000304276</v>
      </c>
      <c r="J43" s="2">
        <f t="shared" si="14"/>
        <v>-6638.9768725194444</v>
      </c>
      <c r="K43" s="6">
        <f t="shared" si="15"/>
        <v>-5.2328537619349164E-2</v>
      </c>
      <c r="L43" s="7">
        <f t="shared" si="16"/>
        <v>0.94767146238065081</v>
      </c>
      <c r="N43">
        <f t="shared" si="17"/>
        <v>2015</v>
      </c>
      <c r="O43" s="2">
        <f t="shared" si="18"/>
        <v>6234.2338126943805</v>
      </c>
      <c r="P43" s="2"/>
      <c r="Q43" s="2"/>
      <c r="R43">
        <f t="shared" si="19"/>
        <v>2015</v>
      </c>
      <c r="S43" s="2">
        <f t="shared" si="4"/>
        <v>5017.1091989396955</v>
      </c>
      <c r="T43" s="2"/>
      <c r="U43" s="2">
        <f t="shared" si="5"/>
        <v>41242.48513324769</v>
      </c>
      <c r="V43" s="2">
        <f t="shared" si="5"/>
        <v>-3792.9565654644603</v>
      </c>
      <c r="W43" s="2"/>
      <c r="X43" s="2">
        <f t="shared" si="6"/>
        <v>28384.075049491697</v>
      </c>
      <c r="Y43" s="2">
        <f t="shared" si="6"/>
        <v>43147.133374133766</v>
      </c>
      <c r="Z43" s="2">
        <f t="shared" si="7"/>
        <v>113997.84619034838</v>
      </c>
      <c r="AA43" s="2">
        <f t="shared" si="20"/>
        <v>-6666.2873352592433</v>
      </c>
      <c r="AB43" s="6">
        <f t="shared" si="21"/>
        <v>-5.5246634940154013E-2</v>
      </c>
      <c r="AC43" s="7">
        <f t="shared" si="22"/>
        <v>0.94475336505984597</v>
      </c>
      <c r="AD43" s="2">
        <f t="shared" si="23"/>
        <v>0</v>
      </c>
      <c r="AE43" s="2"/>
      <c r="AG43">
        <f t="shared" si="24"/>
        <v>2015</v>
      </c>
      <c r="AH43" s="6">
        <f t="shared" si="25"/>
        <v>4.4010561309749278E-2</v>
      </c>
      <c r="AI43" s="7"/>
      <c r="AJ43" s="6">
        <f t="shared" si="25"/>
        <v>0.36178302057025602</v>
      </c>
      <c r="AK43" s="6">
        <f t="shared" si="25"/>
        <v>-3.3272177433345144E-2</v>
      </c>
      <c r="AL43" s="7"/>
      <c r="AM43" s="6">
        <f t="shared" si="25"/>
        <v>0.2489878186127944</v>
      </c>
      <c r="AN43" s="6">
        <f t="shared" si="25"/>
        <v>0.3784907769405455</v>
      </c>
      <c r="AO43" s="6">
        <f t="shared" si="26"/>
        <v>1</v>
      </c>
      <c r="AP43" s="7">
        <f t="shared" si="27"/>
        <v>0.62150922305945455</v>
      </c>
      <c r="AQ43" s="7">
        <f t="shared" si="28"/>
        <v>0</v>
      </c>
    </row>
    <row r="44" spans="1:43" x14ac:dyDescent="0.25">
      <c r="A44">
        <f t="shared" ref="A44:A45" si="30">A20</f>
        <v>2016</v>
      </c>
      <c r="B44" s="2">
        <f t="shared" ref="B44:B45" si="31">S43*(1+(B20/100))</f>
        <v>5610.1315062543681</v>
      </c>
      <c r="C44" s="2"/>
      <c r="D44" s="2">
        <f t="shared" ref="D44:E45" si="32">U43*(1+(D20/100))</f>
        <v>45808.028237498213</v>
      </c>
      <c r="E44" s="2">
        <f t="shared" si="32"/>
        <v>-4482.1367734093528</v>
      </c>
      <c r="F44" s="2"/>
      <c r="G44" s="2">
        <f t="shared" ref="G44:G45" si="33">G43*(1+(G20/100))</f>
        <v>31008.759676289996</v>
      </c>
      <c r="H44" s="2">
        <f t="shared" ref="H44:H45" si="34">Y43*(1+(H20/100))</f>
        <v>44225.811708487105</v>
      </c>
      <c r="I44" s="2">
        <f t="shared" si="13"/>
        <v>122170.59435512032</v>
      </c>
      <c r="J44" s="2">
        <f t="shared" si="14"/>
        <v>1938.51435207756</v>
      </c>
      <c r="K44" s="6">
        <f t="shared" si="15"/>
        <v>1.6123104183413454E-2</v>
      </c>
      <c r="L44" s="7">
        <f t="shared" si="16"/>
        <v>1.0161231041834136</v>
      </c>
      <c r="N44">
        <f t="shared" si="17"/>
        <v>2016</v>
      </c>
      <c r="O44" s="2">
        <f t="shared" ref="O44:O45" si="35">O43*(1+O20)</f>
        <v>6340.2157875101848</v>
      </c>
      <c r="P44" s="2"/>
      <c r="Q44" s="2"/>
      <c r="R44">
        <f t="shared" si="19"/>
        <v>2016</v>
      </c>
      <c r="S44" s="2">
        <f t="shared" si="4"/>
        <v>4342.0883487523315</v>
      </c>
      <c r="T44" s="2"/>
      <c r="U44" s="2">
        <f t="shared" ref="U44:V45" si="36">D44-($O44/5)</f>
        <v>44539.985079996179</v>
      </c>
      <c r="V44" s="2">
        <f t="shared" si="36"/>
        <v>-5750.1799309113903</v>
      </c>
      <c r="W44" s="2"/>
      <c r="X44" s="2">
        <f t="shared" ref="X44:Y45" si="37">G44-($O44/5)</f>
        <v>29740.716518787958</v>
      </c>
      <c r="Y44" s="2">
        <f t="shared" si="37"/>
        <v>42957.768550985071</v>
      </c>
      <c r="Z44" s="2">
        <f t="shared" si="7"/>
        <v>115830.37856761015</v>
      </c>
      <c r="AA44" s="2">
        <f t="shared" si="20"/>
        <v>1832.5323772617703</v>
      </c>
      <c r="AB44" s="6">
        <f t="shared" si="21"/>
        <v>1.6075149123448276E-2</v>
      </c>
      <c r="AC44" s="7">
        <f t="shared" si="22"/>
        <v>1.0160751491234483</v>
      </c>
      <c r="AD44" s="2">
        <f t="shared" si="23"/>
        <v>0</v>
      </c>
      <c r="AE44" s="2"/>
      <c r="AG44">
        <f t="shared" si="24"/>
        <v>2016</v>
      </c>
      <c r="AH44" s="6">
        <f t="shared" si="25"/>
        <v>3.7486611046668172E-2</v>
      </c>
      <c r="AI44" s="7"/>
      <c r="AJ44" s="6">
        <f t="shared" si="25"/>
        <v>0.38452766563305502</v>
      </c>
      <c r="AK44" s="6">
        <f t="shared" si="25"/>
        <v>-4.9643107464722752E-2</v>
      </c>
      <c r="AL44" s="7"/>
      <c r="AM44" s="6">
        <f t="shared" si="25"/>
        <v>0.25676093686794188</v>
      </c>
      <c r="AN44" s="6">
        <f t="shared" si="25"/>
        <v>0.37086789391705766</v>
      </c>
      <c r="AO44" s="6">
        <f t="shared" si="26"/>
        <v>1</v>
      </c>
      <c r="AP44" s="7">
        <f t="shared" si="27"/>
        <v>0.62913210608294234</v>
      </c>
      <c r="AQ44" s="7">
        <f t="shared" si="28"/>
        <v>0</v>
      </c>
    </row>
    <row r="45" spans="1:43" x14ac:dyDescent="0.25">
      <c r="A45">
        <f t="shared" si="30"/>
        <v>2017</v>
      </c>
      <c r="B45" s="2">
        <f t="shared" si="31"/>
        <v>5283.018893926961</v>
      </c>
      <c r="C45" s="2"/>
      <c r="D45" s="2">
        <f t="shared" si="32"/>
        <v>53269.822155675429</v>
      </c>
      <c r="E45" s="2">
        <f t="shared" si="32"/>
        <v>-6675.9588997881247</v>
      </c>
      <c r="F45" s="2"/>
      <c r="G45" s="2">
        <f t="shared" si="33"/>
        <v>39505.159827593452</v>
      </c>
      <c r="H45" s="2">
        <f t="shared" si="34"/>
        <v>44444.107342849151</v>
      </c>
      <c r="I45" s="2">
        <f t="shared" si="13"/>
        <v>135826.14932025687</v>
      </c>
      <c r="J45" s="2">
        <f t="shared" si="14"/>
        <v>13655.554965136544</v>
      </c>
      <c r="K45" s="6">
        <f t="shared" si="15"/>
        <v>0.11177448253581507</v>
      </c>
      <c r="L45" s="7">
        <f t="shared" si="16"/>
        <v>1.1117744825358151</v>
      </c>
      <c r="N45">
        <f t="shared" si="17"/>
        <v>2017</v>
      </c>
      <c r="O45" s="2">
        <f t="shared" si="35"/>
        <v>6481.6025995716618</v>
      </c>
      <c r="P45" s="2"/>
      <c r="Q45" s="2"/>
      <c r="R45">
        <f t="shared" si="19"/>
        <v>2017</v>
      </c>
      <c r="S45" s="2">
        <f t="shared" si="4"/>
        <v>3986.6983740126288</v>
      </c>
      <c r="T45" s="2"/>
      <c r="U45" s="2">
        <f t="shared" si="36"/>
        <v>51973.501635761095</v>
      </c>
      <c r="V45" s="2">
        <f t="shared" si="36"/>
        <v>-7972.2794197024568</v>
      </c>
      <c r="W45" s="2"/>
      <c r="X45" s="2">
        <f t="shared" si="37"/>
        <v>38208.839307679118</v>
      </c>
      <c r="Y45" s="2">
        <f t="shared" si="37"/>
        <v>43147.786822934817</v>
      </c>
      <c r="Z45" s="2">
        <f t="shared" si="7"/>
        <v>129344.5467206852</v>
      </c>
      <c r="AA45" s="2">
        <f t="shared" si="20"/>
        <v>13514.16815307505</v>
      </c>
      <c r="AB45" s="6">
        <f t="shared" si="21"/>
        <v>0.1166720537409522</v>
      </c>
      <c r="AC45" s="7">
        <f t="shared" si="22"/>
        <v>1.1166720537409522</v>
      </c>
      <c r="AD45" s="2">
        <f t="shared" si="23"/>
        <v>0</v>
      </c>
      <c r="AE45" s="2"/>
      <c r="AG45">
        <f t="shared" si="24"/>
        <v>2017</v>
      </c>
      <c r="AH45" s="6">
        <f t="shared" ref="AH45" si="38">S45/$Z45</f>
        <v>3.0822315088565408E-2</v>
      </c>
      <c r="AI45" s="7"/>
      <c r="AJ45" s="6">
        <f t="shared" ref="AJ45:AK45" si="39">U45/$Z45</f>
        <v>0.40182213284952756</v>
      </c>
      <c r="AK45" s="6">
        <f t="shared" si="39"/>
        <v>-6.1635991789575025E-2</v>
      </c>
      <c r="AL45" s="7"/>
      <c r="AM45" s="6">
        <f t="shared" ref="AM45:AN45" si="40">X45/$Z45</f>
        <v>0.29540355798833717</v>
      </c>
      <c r="AN45" s="6">
        <f t="shared" si="40"/>
        <v>0.33358798586314486</v>
      </c>
      <c r="AO45" s="6">
        <f t="shared" si="26"/>
        <v>1</v>
      </c>
      <c r="AP45" s="7">
        <f t="shared" si="27"/>
        <v>0.66641201413685514</v>
      </c>
      <c r="AQ45" s="7">
        <f t="shared" si="28"/>
        <v>0</v>
      </c>
    </row>
    <row r="46" spans="1:43" x14ac:dyDescent="0.25">
      <c r="A46" s="9" t="s">
        <v>41</v>
      </c>
      <c r="B46" s="10">
        <f>S45</f>
        <v>3986.6983740126288</v>
      </c>
      <c r="C46" s="10"/>
      <c r="D46" s="10">
        <f>U45</f>
        <v>51973.501635761095</v>
      </c>
      <c r="E46" s="10">
        <f>V45</f>
        <v>-7972.2794197024568</v>
      </c>
      <c r="F46" s="10"/>
      <c r="G46" s="10">
        <f>X45</f>
        <v>38208.839307679118</v>
      </c>
      <c r="H46" s="10">
        <f>Y45</f>
        <v>43147.786822934817</v>
      </c>
      <c r="I46" s="10">
        <f>SUM(B46:H46)</f>
        <v>129344.5467206852</v>
      </c>
      <c r="J46" s="10"/>
      <c r="K46" s="10"/>
      <c r="N46" t="s">
        <v>68</v>
      </c>
      <c r="O46" s="2">
        <f>O45</f>
        <v>6481.6025995716618</v>
      </c>
      <c r="P46" s="2"/>
      <c r="R46" s="67" t="s">
        <v>41</v>
      </c>
      <c r="S46" s="10">
        <f>S45</f>
        <v>3986.6983740126288</v>
      </c>
      <c r="T46" s="10"/>
      <c r="U46" s="10">
        <f>U45</f>
        <v>51973.501635761095</v>
      </c>
      <c r="V46" s="10">
        <f>V45</f>
        <v>-7972.2794197024568</v>
      </c>
      <c r="W46" s="10"/>
      <c r="X46" s="10">
        <f>X45</f>
        <v>38208.839307679118</v>
      </c>
      <c r="Y46" s="10">
        <f>Y45</f>
        <v>43147.786822934817</v>
      </c>
      <c r="Z46" s="10">
        <f>SUM(S46:Y46)</f>
        <v>129344.5467206852</v>
      </c>
      <c r="AA46" s="40"/>
      <c r="AB46" s="40"/>
      <c r="AC46" s="40"/>
      <c r="AD46" s="40"/>
      <c r="AE46" s="40"/>
      <c r="AH46" s="6"/>
      <c r="AK46" s="7"/>
      <c r="AN46" s="6"/>
    </row>
    <row r="47" spans="1:43" x14ac:dyDescent="0.25">
      <c r="A47" s="11" t="s">
        <v>28</v>
      </c>
      <c r="I47" s="6">
        <f>(Z46-Z27)/Z27</f>
        <v>0.29344546720685205</v>
      </c>
      <c r="K47" s="6"/>
      <c r="N47" t="s">
        <v>114</v>
      </c>
      <c r="O47" s="2">
        <f>SUM(O28:O45)</f>
        <v>100384.98681376441</v>
      </c>
      <c r="P47" s="2"/>
    </row>
    <row r="48" spans="1:43" x14ac:dyDescent="0.25">
      <c r="A48" s="1" t="s">
        <v>29</v>
      </c>
      <c r="I48" s="12">
        <f>STDEV(AC28:AC45)</f>
        <v>0.11533657695829373</v>
      </c>
    </row>
    <row r="49" spans="1:16" x14ac:dyDescent="0.25">
      <c r="A49" s="1" t="s">
        <v>30</v>
      </c>
      <c r="I49" s="13">
        <f>((1+I47)^(1/I56))-1</f>
        <v>1.4397637467544966E-2</v>
      </c>
    </row>
    <row r="50" spans="1:16" x14ac:dyDescent="0.25">
      <c r="A50" s="1" t="s">
        <v>45</v>
      </c>
      <c r="I50" s="28">
        <f>J36</f>
        <v>-37217.333191449463</v>
      </c>
      <c r="O50" s="2"/>
      <c r="P50" s="2"/>
    </row>
    <row r="51" spans="1:16" x14ac:dyDescent="0.25">
      <c r="A51" s="1" t="s">
        <v>46</v>
      </c>
      <c r="I51" s="29">
        <f>K36</f>
        <v>-0.29291187553904341</v>
      </c>
    </row>
    <row r="52" spans="1:16" x14ac:dyDescent="0.25">
      <c r="A52" s="1" t="s">
        <v>22</v>
      </c>
      <c r="I52" s="2">
        <f>O47</f>
        <v>100384.98681376441</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3252E-A19A-47DD-8A5C-620CCB1583CC}">
  <dimension ref="A1:BM56"/>
  <sheetViews>
    <sheetView topLeftCell="AH21" workbookViewId="0">
      <pane ySplit="900" topLeftCell="A20" activePane="bottomLeft"/>
      <selection activeCell="O28" sqref="O28"/>
      <selection pane="bottomLeft" activeCell="O28" sqref="O28"/>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95</v>
      </c>
      <c r="N1" s="18" t="s">
        <v>67</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4" spans="1:65" x14ac:dyDescent="0.25">
      <c r="A24" s="18" t="s">
        <v>12</v>
      </c>
      <c r="N24" s="18" t="s">
        <v>119</v>
      </c>
      <c r="R24" s="18" t="s">
        <v>17</v>
      </c>
      <c r="AG24" s="18" t="s">
        <v>18</v>
      </c>
      <c r="AS24" s="18" t="s">
        <v>121</v>
      </c>
      <c r="BC24" s="18" t="s">
        <v>19</v>
      </c>
    </row>
    <row r="25" spans="1:65"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O25" s="68">
        <f>'4.5% Withdrawals-No Rebalancing'!O25</f>
        <v>4.4999999999999998E-2</v>
      </c>
      <c r="S25" s="4" t="str">
        <f t="shared" ref="S25:Z27"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5" t="s">
        <v>7</v>
      </c>
      <c r="AT25" s="4" t="str">
        <f t="shared" ref="AT25:AZ26" si="3">AH25</f>
        <v>LC Stocks</v>
      </c>
      <c r="AU25" s="4" t="str">
        <f t="shared" si="3"/>
        <v>Ext Mkt</v>
      </c>
      <c r="AV25" s="4" t="str">
        <f t="shared" si="3"/>
        <v>Mcap Stk</v>
      </c>
      <c r="AW25" s="4" t="str">
        <f t="shared" si="3"/>
        <v>Small Cap</v>
      </c>
      <c r="AX25" s="4" t="str">
        <f t="shared" si="3"/>
        <v>Intl Val</v>
      </c>
      <c r="AY25" s="4" t="str">
        <f t="shared" si="3"/>
        <v>Tot Int Stk</v>
      </c>
      <c r="AZ25" s="4" t="str">
        <f t="shared" si="3"/>
        <v>Bonds</v>
      </c>
      <c r="BA25" s="5"/>
      <c r="BD25" s="4" t="str">
        <f>AT25</f>
        <v>LC Stocks</v>
      </c>
      <c r="BE25" s="4" t="str">
        <f t="shared" ref="BE25:BK27" si="4">AU25</f>
        <v>Ext Mkt</v>
      </c>
      <c r="BF25" s="4" t="str">
        <f t="shared" si="4"/>
        <v>Mcap Stk</v>
      </c>
      <c r="BG25" s="4" t="str">
        <f t="shared" si="4"/>
        <v>Small Cap</v>
      </c>
      <c r="BH25" s="4" t="str">
        <f t="shared" si="4"/>
        <v>Intl Val</v>
      </c>
      <c r="BI25" s="4" t="str">
        <f t="shared" si="4"/>
        <v>Tot Int Stk</v>
      </c>
      <c r="BJ25" s="4" t="str">
        <f t="shared" si="4"/>
        <v>Bonds</v>
      </c>
      <c r="BK25" s="4"/>
      <c r="BL25" t="s">
        <v>51</v>
      </c>
    </row>
    <row r="26" spans="1:65"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5" t="s">
        <v>50</v>
      </c>
      <c r="AS26" t="str">
        <f>AG26</f>
        <v>Fund</v>
      </c>
      <c r="AT26" s="4" t="str">
        <f t="shared" si="3"/>
        <v>VFINX</v>
      </c>
      <c r="AU26" s="4" t="str">
        <f t="shared" si="3"/>
        <v>VEXMX</v>
      </c>
      <c r="AV26" s="4" t="str">
        <f t="shared" si="3"/>
        <v>VIMSX</v>
      </c>
      <c r="AW26" s="4" t="str">
        <f t="shared" si="3"/>
        <v>NAESX</v>
      </c>
      <c r="AX26" s="4" t="str">
        <f t="shared" si="3"/>
        <v>VTRIX</v>
      </c>
      <c r="AY26" s="4" t="str">
        <f t="shared" si="3"/>
        <v>VGTSX</v>
      </c>
      <c r="AZ26" s="4" t="str">
        <f t="shared" si="3"/>
        <v>VBMFX</v>
      </c>
      <c r="BA26" s="4" t="str">
        <f>AO26</f>
        <v>Total</v>
      </c>
      <c r="BC26" t="s">
        <v>116</v>
      </c>
      <c r="BD26" s="4" t="str">
        <f>AT26</f>
        <v>VFINX</v>
      </c>
      <c r="BE26" s="4" t="str">
        <f t="shared" si="4"/>
        <v>VEXMX</v>
      </c>
      <c r="BF26" s="4" t="str">
        <f t="shared" si="4"/>
        <v>VIMSX</v>
      </c>
      <c r="BG26" s="4" t="str">
        <f t="shared" si="4"/>
        <v>NAESX</v>
      </c>
      <c r="BH26" s="4" t="str">
        <f t="shared" si="4"/>
        <v>VTRIX</v>
      </c>
      <c r="BI26" s="4" t="str">
        <f t="shared" si="4"/>
        <v>VGTSX</v>
      </c>
      <c r="BJ26" s="4" t="str">
        <f t="shared" si="4"/>
        <v>VBMFX</v>
      </c>
      <c r="BK26" s="4" t="str">
        <f t="shared" si="4"/>
        <v>Total</v>
      </c>
      <c r="BL26" t="s">
        <v>50</v>
      </c>
    </row>
    <row r="27" spans="1:65"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R27" t="str">
        <f>A27</f>
        <v>Stating Balance</v>
      </c>
      <c r="S27" s="2">
        <f>B27</f>
        <v>20000</v>
      </c>
      <c r="T27" s="2">
        <f t="shared" si="1"/>
        <v>0</v>
      </c>
      <c r="U27" s="2">
        <f t="shared" si="1"/>
        <v>20000</v>
      </c>
      <c r="V27" s="2">
        <f t="shared" si="1"/>
        <v>10000</v>
      </c>
      <c r="W27" s="2">
        <f t="shared" si="1"/>
        <v>0</v>
      </c>
      <c r="X27" s="2">
        <f t="shared" si="1"/>
        <v>20000</v>
      </c>
      <c r="Y27" s="2">
        <f t="shared" si="1"/>
        <v>30000</v>
      </c>
      <c r="Z27" s="2">
        <f t="shared" si="1"/>
        <v>100000</v>
      </c>
      <c r="AD27" s="2"/>
      <c r="AE27" s="2"/>
      <c r="AG27" s="19" t="s">
        <v>49</v>
      </c>
      <c r="AH27" s="6">
        <f t="shared" ref="AH27:AN42" si="5">S27/$Z27</f>
        <v>0.2</v>
      </c>
      <c r="AI27" s="6"/>
      <c r="AJ27" s="6">
        <f t="shared" si="5"/>
        <v>0.2</v>
      </c>
      <c r="AK27" s="6">
        <f t="shared" si="5"/>
        <v>0.1</v>
      </c>
      <c r="AL27" s="6"/>
      <c r="AM27" s="6">
        <f t="shared" si="5"/>
        <v>0.2</v>
      </c>
      <c r="AN27" s="6">
        <f>Y27/$Z27</f>
        <v>0.3</v>
      </c>
      <c r="AO27" s="6">
        <f>Z27/$Z27</f>
        <v>1</v>
      </c>
      <c r="AP27" s="22"/>
      <c r="AR27" s="22"/>
      <c r="AS27" s="19" t="str">
        <f>AG27</f>
        <v>Target Allocation</v>
      </c>
      <c r="AT27" s="22">
        <f>AH27</f>
        <v>0.2</v>
      </c>
      <c r="AU27" s="22">
        <f>AI27</f>
        <v>0</v>
      </c>
      <c r="AV27" s="22">
        <f>AJ27</f>
        <v>0.2</v>
      </c>
      <c r="AW27" s="22">
        <f>AK27</f>
        <v>0.1</v>
      </c>
      <c r="AX27" s="22"/>
      <c r="AY27" s="22">
        <f>AM27</f>
        <v>0.2</v>
      </c>
      <c r="AZ27" s="22">
        <f>AN27</f>
        <v>0.3</v>
      </c>
      <c r="BA27" s="22">
        <f>AO27</f>
        <v>1</v>
      </c>
      <c r="BC27" s="19" t="str">
        <f>AS27</f>
        <v>Target Allocation</v>
      </c>
      <c r="BD27" s="22">
        <f>AT27</f>
        <v>0.2</v>
      </c>
      <c r="BE27" s="22"/>
      <c r="BF27" s="22">
        <f>AV27</f>
        <v>0.2</v>
      </c>
      <c r="BG27" s="22">
        <f>AW27</f>
        <v>0.1</v>
      </c>
      <c r="BH27" s="22"/>
      <c r="BI27" s="22">
        <f>AY27</f>
        <v>0.2</v>
      </c>
      <c r="BJ27" s="22">
        <f t="shared" si="4"/>
        <v>0.3</v>
      </c>
      <c r="BK27" s="22">
        <f t="shared" si="4"/>
        <v>1</v>
      </c>
      <c r="BL27" s="2"/>
    </row>
    <row r="28" spans="1:65" x14ac:dyDescent="0.25">
      <c r="A28">
        <f t="shared" ref="A28:A43" si="6">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N28">
        <f>A28</f>
        <v>2000</v>
      </c>
      <c r="O28" s="2">
        <f>I28*O25</f>
        <v>4582.5884999999998</v>
      </c>
      <c r="P28" s="2"/>
      <c r="Q28" s="2"/>
      <c r="R28">
        <f>A28</f>
        <v>2000</v>
      </c>
      <c r="S28" s="2">
        <f t="shared" ref="S28:S45" si="7">B28-($O28/5)</f>
        <v>17271.4823</v>
      </c>
      <c r="T28" s="2"/>
      <c r="U28" s="2">
        <f t="shared" ref="U28:V43" si="8">D28-($O28/5)</f>
        <v>22703.082299999998</v>
      </c>
      <c r="V28" s="2">
        <f t="shared" si="8"/>
        <v>8816.9822999999997</v>
      </c>
      <c r="W28" s="2"/>
      <c r="X28" s="2">
        <f t="shared" ref="X28:Y43" si="9">G28-($O28/5)</f>
        <v>15960.6823</v>
      </c>
      <c r="Y28" s="2">
        <f t="shared" si="9"/>
        <v>32500.4823</v>
      </c>
      <c r="Z28" s="2">
        <f>SUM(S28:Y28)</f>
        <v>97252.711500000005</v>
      </c>
      <c r="AA28" s="2">
        <f>Z28-Z27</f>
        <v>-2747.2884999999951</v>
      </c>
      <c r="AB28" s="6">
        <f>(AA28/Z27)</f>
        <v>-2.747288499999995E-2</v>
      </c>
      <c r="AC28" s="7">
        <f>AB28+1</f>
        <v>0.972527115</v>
      </c>
      <c r="AD28" s="2">
        <f>Z28-(I28-O28)</f>
        <v>0</v>
      </c>
      <c r="AE28" s="2"/>
      <c r="AG28">
        <f>A28</f>
        <v>2000</v>
      </c>
      <c r="AH28" s="6">
        <f t="shared" si="5"/>
        <v>0.17759383809057086</v>
      </c>
      <c r="AI28" s="6"/>
      <c r="AJ28" s="6">
        <f t="shared" si="5"/>
        <v>0.23344420890516762</v>
      </c>
      <c r="AK28" s="6">
        <f t="shared" si="5"/>
        <v>9.0660529295370842E-2</v>
      </c>
      <c r="AL28" s="6"/>
      <c r="AM28" s="6">
        <f t="shared" si="5"/>
        <v>0.1641155506497112</v>
      </c>
      <c r="AN28" s="6">
        <f>Y28/$Z28</f>
        <v>0.33418587305917941</v>
      </c>
      <c r="AO28" s="6">
        <f>SUM(AH28:AN28)</f>
        <v>1</v>
      </c>
      <c r="AP28" s="7">
        <f>SUM(AH28:AM28)</f>
        <v>0.66581412694082054</v>
      </c>
      <c r="AQ28" s="7">
        <f>AO28-(AP28+AN28)</f>
        <v>0</v>
      </c>
      <c r="AR28" s="22"/>
      <c r="AS28">
        <f>AG28</f>
        <v>2000</v>
      </c>
      <c r="AT28" s="1" t="b">
        <f>AND((S28/$Z28)&gt;0.15,(S28/$Z28)&lt;0.25)</f>
        <v>1</v>
      </c>
      <c r="AU28" s="1"/>
      <c r="AV28" s="1" t="b">
        <f>AND((U28/$Z28)&gt;0.15,(U28/$Z28)&lt;0.25)</f>
        <v>1</v>
      </c>
      <c r="AW28" s="1" t="b">
        <f>AND((V28/$Z28)&gt;0.05,(V28/$Z28)&lt;0.15)</f>
        <v>1</v>
      </c>
      <c r="AX28" s="1"/>
      <c r="AY28" s="1" t="b">
        <f t="shared" ref="AY28:AY45" si="10">AND((X28/$Z28)&gt;0.15,(X28/$Z28)&lt;0.25)</f>
        <v>1</v>
      </c>
      <c r="AZ28" s="1" t="b">
        <f>AND((Y28/$Z28)&gt;0.25,(Y28/$Z28)&lt;0.35)</f>
        <v>1</v>
      </c>
      <c r="BA28" s="1" t="b">
        <f>AND((Z28/$Z28)&gt;0.999,(Z28/$Z28)&lt;1.01)</f>
        <v>1</v>
      </c>
      <c r="BC28">
        <f>AS28</f>
        <v>2000</v>
      </c>
      <c r="BD28" s="2">
        <f>S28</f>
        <v>17271.4823</v>
      </c>
      <c r="BE28" s="2"/>
      <c r="BF28" s="2">
        <f>U28</f>
        <v>22703.082299999998</v>
      </c>
      <c r="BG28" s="2">
        <f>V28</f>
        <v>8816.9822999999997</v>
      </c>
      <c r="BH28" s="2"/>
      <c r="BI28" s="2">
        <f>X28</f>
        <v>15960.6823</v>
      </c>
      <c r="BJ28" s="2">
        <f>Y28</f>
        <v>32500.4823</v>
      </c>
      <c r="BK28" s="2">
        <f>Z28</f>
        <v>97252.711500000005</v>
      </c>
      <c r="BL28" s="2">
        <f>SUM(BD28:BJ28)-Z28</f>
        <v>0</v>
      </c>
      <c r="BM28" s="2"/>
    </row>
    <row r="29" spans="1:65" x14ac:dyDescent="0.25">
      <c r="A29">
        <f t="shared" si="6"/>
        <v>2001</v>
      </c>
      <c r="B29" s="2">
        <f t="shared" ref="B29:B43" si="11">BD28*(1+(B5/100))</f>
        <v>15195.45012754</v>
      </c>
      <c r="C29" s="2"/>
      <c r="D29" s="2">
        <f t="shared" ref="D29:D42" si="12">BF28*(1+(D5/100))</f>
        <v>22589.793919322998</v>
      </c>
      <c r="E29" s="2">
        <f t="shared" ref="E29:E42" si="13">BG28*(1+(E5/100))</f>
        <v>9090.3087512999991</v>
      </c>
      <c r="F29" s="2"/>
      <c r="G29" s="2">
        <f t="shared" ref="G29:G42" si="14">BI28*(1+(G5/100))</f>
        <v>12744.125996081</v>
      </c>
      <c r="H29" s="2">
        <f t="shared" ref="H29:H42" si="15">BJ28*(1+(H5/100))</f>
        <v>35240.272957890003</v>
      </c>
      <c r="I29" s="2">
        <f>SUM(B29:H29)</f>
        <v>94859.951752133988</v>
      </c>
      <c r="J29" s="2">
        <f t="shared" ref="J29:J45" si="16">I29-I28</f>
        <v>-6975.3482478660153</v>
      </c>
      <c r="K29" s="6">
        <f t="shared" ref="K29:K45" si="17">(J29/I28)</f>
        <v>-6.8496368625280385E-2</v>
      </c>
      <c r="L29" s="7">
        <f t="shared" ref="L29:L45" si="18">K29+1</f>
        <v>0.93150363137471959</v>
      </c>
      <c r="N29">
        <f t="shared" ref="N29:N45" si="19">A29</f>
        <v>2001</v>
      </c>
      <c r="O29" s="2">
        <f t="shared" ref="O29:O43" si="20">O28*(1+O5)</f>
        <v>4655.9099159999996</v>
      </c>
      <c r="P29" s="2"/>
      <c r="Q29" s="2"/>
      <c r="R29">
        <f t="shared" ref="R29:R45" si="21">A29</f>
        <v>2001</v>
      </c>
      <c r="S29" s="2">
        <f t="shared" si="7"/>
        <v>14264.26814434</v>
      </c>
      <c r="T29" s="2"/>
      <c r="U29" s="2">
        <f t="shared" si="8"/>
        <v>21658.611936122998</v>
      </c>
      <c r="V29" s="2">
        <f t="shared" si="8"/>
        <v>8159.126768099999</v>
      </c>
      <c r="W29" s="2"/>
      <c r="X29" s="2">
        <f t="shared" si="9"/>
        <v>11812.944012881</v>
      </c>
      <c r="Y29" s="2">
        <f t="shared" si="9"/>
        <v>34309.090974690007</v>
      </c>
      <c r="Z29" s="2">
        <f t="shared" ref="Z29:Z45" si="22">SUM(S29:Y29)</f>
        <v>90204.041836134013</v>
      </c>
      <c r="AA29" s="2">
        <f t="shared" ref="AA29:AA45" si="23">Z29-Z28</f>
        <v>-7048.6696638659923</v>
      </c>
      <c r="AB29" s="6">
        <f t="shared" ref="AB29:AB45" si="24">(AA29/Z28)</f>
        <v>-7.247787290605251E-2</v>
      </c>
      <c r="AC29" s="7">
        <f t="shared" ref="AC29:AC45" si="25">AB29+1</f>
        <v>0.92752212709394755</v>
      </c>
      <c r="AD29" s="2">
        <f t="shared" ref="AD29:AD45" si="26">Z29-(I29-O29)</f>
        <v>0</v>
      </c>
      <c r="AE29" s="2"/>
      <c r="AG29">
        <f t="shared" ref="AG29:AG45" si="27">A29</f>
        <v>2001</v>
      </c>
      <c r="AH29" s="6">
        <f t="shared" si="5"/>
        <v>0.15813335914872506</v>
      </c>
      <c r="AI29" s="6"/>
      <c r="AJ29" s="6">
        <f t="shared" si="5"/>
        <v>0.24010688983835501</v>
      </c>
      <c r="AK29" s="6">
        <f t="shared" si="5"/>
        <v>9.0451897742254039E-2</v>
      </c>
      <c r="AL29" s="6"/>
      <c r="AM29" s="57">
        <f t="shared" si="5"/>
        <v>0.13095803438986212</v>
      </c>
      <c r="AN29" s="57">
        <f t="shared" si="5"/>
        <v>0.38034981888080366</v>
      </c>
      <c r="AO29" s="6">
        <f t="shared" ref="AO29:AO45" si="28">SUM(AH29:AN29)</f>
        <v>0.99999999999999989</v>
      </c>
      <c r="AP29" s="7">
        <f t="shared" ref="AP29:AP45" si="29">SUM(AH29:AM29)</f>
        <v>0.61965018111919623</v>
      </c>
      <c r="AQ29" s="7">
        <f t="shared" ref="AQ29:AQ45" si="30">AO29-(AP29+AN29)</f>
        <v>0</v>
      </c>
      <c r="AR29" s="22"/>
      <c r="AS29">
        <f t="shared" ref="AS29:AS45" si="31">AG29</f>
        <v>2001</v>
      </c>
      <c r="AT29" s="1" t="b">
        <f t="shared" ref="AT29:AT45" si="32">AND((S29/$Z29)&gt;0.15,(S29/$Z29)&lt;0.25)</f>
        <v>1</v>
      </c>
      <c r="AU29" s="1"/>
      <c r="AV29" s="1" t="b">
        <f t="shared" ref="AV29:AV45" si="33">AND((U29/$Z29)&gt;0.15,(U29/$Z29)&lt;0.25)</f>
        <v>1</v>
      </c>
      <c r="AW29" s="1" t="b">
        <f t="shared" ref="AW29:AW45" si="34">AND((V29/$Z29)&gt;0.05,(V29/$Z29)&lt;0.15)</f>
        <v>1</v>
      </c>
      <c r="AX29" s="1"/>
      <c r="AY29" s="35" t="b">
        <f t="shared" si="10"/>
        <v>0</v>
      </c>
      <c r="AZ29" s="35" t="b">
        <f t="shared" ref="AZ29:AZ45" si="35">AND((Y29/$Z29)&gt;0.25,(Y29/$Z29)&lt;0.35)</f>
        <v>0</v>
      </c>
      <c r="BA29" s="1" t="b">
        <f t="shared" ref="BA29:BA45" si="36">AND((Z29/$Z29)&gt;0.999,(Z29/$Z29)&lt;1.01)</f>
        <v>1</v>
      </c>
      <c r="BC29">
        <f t="shared" ref="BC29:BC45" si="37">AS29</f>
        <v>2001</v>
      </c>
      <c r="BD29" s="36">
        <f>BD$27*$Z29</f>
        <v>18040.808367226804</v>
      </c>
      <c r="BE29" s="2"/>
      <c r="BF29" s="36">
        <f>BF$27*$Z29</f>
        <v>18040.808367226804</v>
      </c>
      <c r="BG29" s="36">
        <f>BG$27*$Z29</f>
        <v>9020.404183613402</v>
      </c>
      <c r="BH29" s="2"/>
      <c r="BI29" s="36">
        <f>BI$27*$Z29</f>
        <v>18040.808367226804</v>
      </c>
      <c r="BJ29" s="36">
        <f>BJ$27*$Z29</f>
        <v>27061.212550840202</v>
      </c>
      <c r="BK29" s="2">
        <f t="shared" ref="BK29:BK45" si="38">Z29</f>
        <v>90204.041836134013</v>
      </c>
      <c r="BL29" s="2">
        <f t="shared" ref="BL29:BL45" si="39">SUM(BD29:BJ29)-Z29</f>
        <v>0</v>
      </c>
      <c r="BM29" s="2"/>
    </row>
    <row r="30" spans="1:65" x14ac:dyDescent="0.25">
      <c r="A30">
        <f t="shared" si="6"/>
        <v>2002</v>
      </c>
      <c r="B30" s="2">
        <f t="shared" si="11"/>
        <v>14044.769313886067</v>
      </c>
      <c r="C30" s="2"/>
      <c r="D30" s="2">
        <f t="shared" si="12"/>
        <v>15405.407080942312</v>
      </c>
      <c r="E30" s="2">
        <f t="shared" si="13"/>
        <v>7214.3388579703269</v>
      </c>
      <c r="F30" s="2"/>
      <c r="G30" s="2">
        <f t="shared" si="14"/>
        <v>15319.713241197986</v>
      </c>
      <c r="H30" s="2">
        <f t="shared" si="15"/>
        <v>29296.468707539603</v>
      </c>
      <c r="I30" s="2">
        <f t="shared" ref="I30:I39" si="40">SUM(B30:H30)</f>
        <v>81280.697201536284</v>
      </c>
      <c r="J30" s="2">
        <f t="shared" si="16"/>
        <v>-13579.254550597703</v>
      </c>
      <c r="K30" s="6">
        <f t="shared" si="17"/>
        <v>-0.14315055299711579</v>
      </c>
      <c r="L30" s="7">
        <f t="shared" si="18"/>
        <v>0.85684944700288423</v>
      </c>
      <c r="N30">
        <f t="shared" si="19"/>
        <v>2002</v>
      </c>
      <c r="O30" s="2">
        <f t="shared" si="20"/>
        <v>4772.3076638999992</v>
      </c>
      <c r="P30" s="2"/>
      <c r="Q30" s="2"/>
      <c r="R30">
        <f t="shared" si="21"/>
        <v>2002</v>
      </c>
      <c r="S30" s="2">
        <f t="shared" si="7"/>
        <v>13090.307781106067</v>
      </c>
      <c r="T30" s="2"/>
      <c r="U30" s="2">
        <f t="shared" si="8"/>
        <v>14450.945548162312</v>
      </c>
      <c r="V30" s="2">
        <f t="shared" si="8"/>
        <v>6259.8773251903267</v>
      </c>
      <c r="W30" s="2"/>
      <c r="X30" s="2">
        <f t="shared" si="9"/>
        <v>14365.251708417985</v>
      </c>
      <c r="Y30" s="2">
        <f t="shared" si="9"/>
        <v>28342.007174759605</v>
      </c>
      <c r="Z30" s="2">
        <f t="shared" si="22"/>
        <v>76508.389537636293</v>
      </c>
      <c r="AA30" s="2">
        <f t="shared" si="23"/>
        <v>-13695.65229849772</v>
      </c>
      <c r="AB30" s="6">
        <f t="shared" si="24"/>
        <v>-0.15182969653818221</v>
      </c>
      <c r="AC30" s="7">
        <f t="shared" si="25"/>
        <v>0.84817030346181777</v>
      </c>
      <c r="AD30" s="2">
        <f t="shared" si="26"/>
        <v>0</v>
      </c>
      <c r="AE30" s="2"/>
      <c r="AG30">
        <f t="shared" si="27"/>
        <v>2002</v>
      </c>
      <c r="AH30" s="6">
        <f t="shared" si="5"/>
        <v>0.17109637074070985</v>
      </c>
      <c r="AI30" s="6"/>
      <c r="AJ30" s="6">
        <f t="shared" si="5"/>
        <v>0.18888053500398866</v>
      </c>
      <c r="AK30" s="6">
        <f t="shared" si="5"/>
        <v>8.1819488856329212E-2</v>
      </c>
      <c r="AL30" s="6"/>
      <c r="AM30" s="6">
        <f t="shared" si="5"/>
        <v>0.18776047692588507</v>
      </c>
      <c r="AN30" s="57">
        <f t="shared" si="5"/>
        <v>0.37044312847308725</v>
      </c>
      <c r="AO30" s="6">
        <f t="shared" si="28"/>
        <v>1</v>
      </c>
      <c r="AP30" s="7">
        <f t="shared" si="29"/>
        <v>0.62955687152691286</v>
      </c>
      <c r="AQ30" s="7">
        <f t="shared" si="30"/>
        <v>0</v>
      </c>
      <c r="AR30" s="22"/>
      <c r="AS30">
        <f t="shared" si="31"/>
        <v>2002</v>
      </c>
      <c r="AT30" s="1" t="b">
        <f t="shared" si="32"/>
        <v>1</v>
      </c>
      <c r="AU30" s="1"/>
      <c r="AV30" s="1" t="b">
        <f t="shared" si="33"/>
        <v>1</v>
      </c>
      <c r="AW30" s="1" t="b">
        <f t="shared" si="34"/>
        <v>1</v>
      </c>
      <c r="AX30" s="1"/>
      <c r="AY30" s="1" t="b">
        <f t="shared" si="10"/>
        <v>1</v>
      </c>
      <c r="AZ30" s="35" t="b">
        <f t="shared" si="35"/>
        <v>0</v>
      </c>
      <c r="BA30" s="1" t="b">
        <f t="shared" si="36"/>
        <v>1</v>
      </c>
      <c r="BC30">
        <f t="shared" si="37"/>
        <v>2002</v>
      </c>
      <c r="BD30" s="36">
        <f>BD$27*$Z30</f>
        <v>15301.677907527259</v>
      </c>
      <c r="BE30" s="2"/>
      <c r="BF30" s="36">
        <f>BF$27*$Z30</f>
        <v>15301.677907527259</v>
      </c>
      <c r="BG30" s="36">
        <f>BG$27*$Z30</f>
        <v>7650.8389537636294</v>
      </c>
      <c r="BH30" s="2"/>
      <c r="BI30" s="36">
        <f>BI$27*$Z30</f>
        <v>15301.677907527259</v>
      </c>
      <c r="BJ30" s="36">
        <f>BJ$27*$Z30</f>
        <v>22952.516861290886</v>
      </c>
      <c r="BK30" s="2">
        <f t="shared" si="38"/>
        <v>76508.389537636293</v>
      </c>
      <c r="BL30" s="2">
        <f t="shared" si="39"/>
        <v>0</v>
      </c>
      <c r="BM30" s="2"/>
    </row>
    <row r="31" spans="1:65" x14ac:dyDescent="0.25">
      <c r="A31">
        <f t="shared" si="6"/>
        <v>2003</v>
      </c>
      <c r="B31" s="2">
        <f t="shared" si="11"/>
        <v>19662.656111172528</v>
      </c>
      <c r="C31" s="2"/>
      <c r="D31" s="2">
        <f t="shared" si="12"/>
        <v>20525.976778715216</v>
      </c>
      <c r="E31" s="2">
        <f t="shared" si="13"/>
        <v>11141.763751586899</v>
      </c>
      <c r="F31" s="2"/>
      <c r="G31" s="2">
        <f t="shared" si="14"/>
        <v>21474.374775423756</v>
      </c>
      <c r="H31" s="2">
        <f t="shared" si="15"/>
        <v>23863.731780684135</v>
      </c>
      <c r="I31" s="2">
        <f t="shared" si="40"/>
        <v>96668.503197582526</v>
      </c>
      <c r="J31" s="2">
        <f t="shared" si="16"/>
        <v>15387.805996046241</v>
      </c>
      <c r="K31" s="6">
        <f t="shared" si="17"/>
        <v>0.18931685536471254</v>
      </c>
      <c r="L31" s="7">
        <f t="shared" si="18"/>
        <v>1.1893168553647127</v>
      </c>
      <c r="N31">
        <f t="shared" si="19"/>
        <v>2003</v>
      </c>
      <c r="O31" s="2">
        <f t="shared" si="20"/>
        <v>4867.7538171779988</v>
      </c>
      <c r="P31" s="2"/>
      <c r="Q31" s="2"/>
      <c r="R31">
        <f t="shared" si="21"/>
        <v>2003</v>
      </c>
      <c r="S31" s="2">
        <f t="shared" si="7"/>
        <v>18689.105347736928</v>
      </c>
      <c r="T31" s="2"/>
      <c r="U31" s="2">
        <f t="shared" si="8"/>
        <v>19552.426015279616</v>
      </c>
      <c r="V31" s="2">
        <f t="shared" si="8"/>
        <v>10168.212988151299</v>
      </c>
      <c r="W31" s="2"/>
      <c r="X31" s="2">
        <f t="shared" si="9"/>
        <v>20500.824011988156</v>
      </c>
      <c r="Y31" s="2">
        <f t="shared" si="9"/>
        <v>22890.181017248535</v>
      </c>
      <c r="Z31" s="2">
        <f t="shared" si="22"/>
        <v>91800.749380404537</v>
      </c>
      <c r="AA31" s="2">
        <f t="shared" si="23"/>
        <v>15292.359842768245</v>
      </c>
      <c r="AB31" s="6">
        <f t="shared" si="24"/>
        <v>0.19987820858842636</v>
      </c>
      <c r="AC31" s="7">
        <f t="shared" si="25"/>
        <v>1.1998782085884263</v>
      </c>
      <c r="AD31" s="2">
        <f t="shared" si="26"/>
        <v>0</v>
      </c>
      <c r="AE31" s="2"/>
      <c r="AG31">
        <f t="shared" si="27"/>
        <v>2003</v>
      </c>
      <c r="AH31" s="6">
        <f t="shared" si="5"/>
        <v>0.20358336368576788</v>
      </c>
      <c r="AI31" s="6"/>
      <c r="AJ31" s="6">
        <f t="shared" si="5"/>
        <v>0.21298765148700635</v>
      </c>
      <c r="AK31" s="6">
        <f t="shared" si="5"/>
        <v>0.11076394317889708</v>
      </c>
      <c r="AL31" s="6"/>
      <c r="AM31" s="6">
        <f t="shared" si="5"/>
        <v>0.22331870001449236</v>
      </c>
      <c r="AN31" s="6">
        <f t="shared" si="5"/>
        <v>0.24934634163383629</v>
      </c>
      <c r="AO31" s="6">
        <f t="shared" si="28"/>
        <v>1</v>
      </c>
      <c r="AP31" s="7">
        <f t="shared" si="29"/>
        <v>0.75065365836616371</v>
      </c>
      <c r="AQ31" s="7">
        <f t="shared" si="30"/>
        <v>0</v>
      </c>
      <c r="AR31" s="22"/>
      <c r="AS31">
        <f t="shared" si="31"/>
        <v>2003</v>
      </c>
      <c r="AT31" s="1" t="b">
        <f t="shared" si="32"/>
        <v>1</v>
      </c>
      <c r="AU31" s="1"/>
      <c r="AV31" s="1" t="b">
        <f t="shared" si="33"/>
        <v>1</v>
      </c>
      <c r="AW31" s="1" t="b">
        <f t="shared" si="34"/>
        <v>1</v>
      </c>
      <c r="AX31" s="1"/>
      <c r="AY31" s="1" t="b">
        <f t="shared" si="10"/>
        <v>1</v>
      </c>
      <c r="AZ31" s="1" t="b">
        <f t="shared" si="35"/>
        <v>0</v>
      </c>
      <c r="BA31" s="1" t="b">
        <f t="shared" si="36"/>
        <v>1</v>
      </c>
      <c r="BC31">
        <f t="shared" si="37"/>
        <v>2003</v>
      </c>
      <c r="BD31" s="2">
        <f t="shared" ref="BD31:BD41" si="41">S31</f>
        <v>18689.105347736928</v>
      </c>
      <c r="BE31" s="2"/>
      <c r="BF31" s="2">
        <f t="shared" ref="BF31:BG41" si="42">U31</f>
        <v>19552.426015279616</v>
      </c>
      <c r="BG31" s="2">
        <f t="shared" si="42"/>
        <v>10168.212988151299</v>
      </c>
      <c r="BH31" s="2"/>
      <c r="BI31" s="2">
        <f t="shared" ref="BI31:BJ41" si="43">X31</f>
        <v>20500.824011988156</v>
      </c>
      <c r="BJ31" s="2">
        <f t="shared" si="43"/>
        <v>22890.181017248535</v>
      </c>
      <c r="BK31" s="2">
        <f t="shared" si="38"/>
        <v>91800.749380404537</v>
      </c>
      <c r="BL31" s="2">
        <f t="shared" si="39"/>
        <v>0</v>
      </c>
      <c r="BM31" s="2"/>
    </row>
    <row r="32" spans="1:65" x14ac:dyDescent="0.25">
      <c r="A32">
        <f t="shared" si="6"/>
        <v>2004</v>
      </c>
      <c r="B32" s="2">
        <f t="shared" si="11"/>
        <v>20696.315262083874</v>
      </c>
      <c r="C32" s="2"/>
      <c r="D32" s="2">
        <f t="shared" si="12"/>
        <v>23531.931282169477</v>
      </c>
      <c r="E32" s="2">
        <f t="shared" si="13"/>
        <v>12191.382326403764</v>
      </c>
      <c r="F32" s="2"/>
      <c r="G32" s="2">
        <f t="shared" si="14"/>
        <v>24772.580711366125</v>
      </c>
      <c r="H32" s="2">
        <f t="shared" si="15"/>
        <v>23860.724692379874</v>
      </c>
      <c r="I32" s="2">
        <f t="shared" si="40"/>
        <v>105052.93427440312</v>
      </c>
      <c r="J32" s="2">
        <f t="shared" si="16"/>
        <v>8384.4310768205905</v>
      </c>
      <c r="K32" s="6">
        <f t="shared" si="17"/>
        <v>8.6733846076870541E-2</v>
      </c>
      <c r="L32" s="7">
        <f t="shared" si="18"/>
        <v>1.0867338460768705</v>
      </c>
      <c r="N32">
        <f t="shared" si="19"/>
        <v>2004</v>
      </c>
      <c r="O32" s="2">
        <f t="shared" si="20"/>
        <v>5028.3896931448726</v>
      </c>
      <c r="P32" s="2"/>
      <c r="Q32" s="2"/>
      <c r="R32">
        <f t="shared" si="21"/>
        <v>2004</v>
      </c>
      <c r="S32" s="2">
        <f t="shared" si="7"/>
        <v>19690.637323454899</v>
      </c>
      <c r="T32" s="2"/>
      <c r="U32" s="2">
        <f t="shared" si="8"/>
        <v>22526.253343540502</v>
      </c>
      <c r="V32" s="2">
        <f t="shared" si="8"/>
        <v>11185.704387774789</v>
      </c>
      <c r="W32" s="2"/>
      <c r="X32" s="2">
        <f t="shared" si="9"/>
        <v>23766.90277273715</v>
      </c>
      <c r="Y32" s="2">
        <f t="shared" si="9"/>
        <v>22855.046753750899</v>
      </c>
      <c r="Z32" s="2">
        <f t="shared" si="22"/>
        <v>100024.54458125825</v>
      </c>
      <c r="AA32" s="2">
        <f t="shared" si="23"/>
        <v>8223.7952008537104</v>
      </c>
      <c r="AB32" s="6">
        <f t="shared" si="24"/>
        <v>8.958309443396692E-2</v>
      </c>
      <c r="AC32" s="7">
        <f t="shared" si="25"/>
        <v>1.0895830944339668</v>
      </c>
      <c r="AD32" s="2">
        <f t="shared" si="26"/>
        <v>0</v>
      </c>
      <c r="AE32" s="2"/>
      <c r="AG32">
        <f t="shared" si="27"/>
        <v>2004</v>
      </c>
      <c r="AH32" s="6">
        <f t="shared" si="5"/>
        <v>0.19685805524921493</v>
      </c>
      <c r="AI32" s="56"/>
      <c r="AJ32" s="6">
        <f t="shared" si="5"/>
        <v>0.22520725725714807</v>
      </c>
      <c r="AK32" s="6">
        <f t="shared" si="5"/>
        <v>0.11182959577174292</v>
      </c>
      <c r="AL32" s="56"/>
      <c r="AM32" s="6">
        <f t="shared" si="5"/>
        <v>0.23761070717427082</v>
      </c>
      <c r="AN32" s="6">
        <f t="shared" si="5"/>
        <v>0.22849438454762316</v>
      </c>
      <c r="AO32" s="6">
        <f t="shared" si="28"/>
        <v>0.99999999999999989</v>
      </c>
      <c r="AP32" s="7">
        <f t="shared" si="29"/>
        <v>0.77150561545237673</v>
      </c>
      <c r="AQ32" s="7">
        <f t="shared" si="30"/>
        <v>0</v>
      </c>
      <c r="AR32" s="22"/>
      <c r="AS32">
        <f t="shared" si="31"/>
        <v>2004</v>
      </c>
      <c r="AT32" s="1" t="b">
        <f t="shared" si="32"/>
        <v>1</v>
      </c>
      <c r="AU32" s="1"/>
      <c r="AV32" s="1" t="b">
        <f t="shared" si="33"/>
        <v>1</v>
      </c>
      <c r="AW32" s="1" t="b">
        <f t="shared" si="34"/>
        <v>1</v>
      </c>
      <c r="AX32" s="1"/>
      <c r="AY32" s="1" t="b">
        <f t="shared" si="10"/>
        <v>1</v>
      </c>
      <c r="AZ32" s="35" t="b">
        <f t="shared" si="35"/>
        <v>0</v>
      </c>
      <c r="BA32" s="1" t="b">
        <f t="shared" si="36"/>
        <v>1</v>
      </c>
      <c r="BC32">
        <f t="shared" si="37"/>
        <v>2004</v>
      </c>
      <c r="BD32" s="36">
        <f>BD$27*$Z32</f>
        <v>20004.90891625165</v>
      </c>
      <c r="BE32" s="2"/>
      <c r="BF32" s="36">
        <f>BF$27*$Z32</f>
        <v>20004.90891625165</v>
      </c>
      <c r="BG32" s="36">
        <f>BG$27*$Z32</f>
        <v>10002.454458125825</v>
      </c>
      <c r="BH32" s="2"/>
      <c r="BI32" s="36">
        <f>BI$27*$Z32</f>
        <v>20004.90891625165</v>
      </c>
      <c r="BJ32" s="36">
        <f>BJ$27*$Z32</f>
        <v>30007.363374377474</v>
      </c>
      <c r="BK32" s="2">
        <f t="shared" si="38"/>
        <v>100024.54458125825</v>
      </c>
      <c r="BL32" s="2">
        <f t="shared" si="39"/>
        <v>0</v>
      </c>
      <c r="BM32" s="2"/>
    </row>
    <row r="33" spans="1:65" x14ac:dyDescent="0.25">
      <c r="A33">
        <f t="shared" si="6"/>
        <v>2005</v>
      </c>
      <c r="B33" s="2">
        <f t="shared" si="11"/>
        <v>20959.143071556857</v>
      </c>
      <c r="C33" s="2"/>
      <c r="D33" s="2">
        <f t="shared" si="12"/>
        <v>22791.792777374667</v>
      </c>
      <c r="E33" s="2">
        <f t="shared" si="13"/>
        <v>10738.93517987763</v>
      </c>
      <c r="F33" s="2"/>
      <c r="G33" s="2">
        <f t="shared" si="14"/>
        <v>23119.873283601195</v>
      </c>
      <c r="H33" s="2">
        <f t="shared" si="15"/>
        <v>30727.540095362532</v>
      </c>
      <c r="I33" s="2">
        <f t="shared" si="40"/>
        <v>108337.28440777288</v>
      </c>
      <c r="J33" s="2">
        <f t="shared" si="16"/>
        <v>3284.3501333697641</v>
      </c>
      <c r="K33" s="6">
        <f t="shared" si="17"/>
        <v>3.1263763892504799E-2</v>
      </c>
      <c r="L33" s="7">
        <f t="shared" si="18"/>
        <v>1.0312637638925048</v>
      </c>
      <c r="N33">
        <f t="shared" si="19"/>
        <v>2005</v>
      </c>
      <c r="O33" s="2">
        <f t="shared" si="20"/>
        <v>5194.3265530186527</v>
      </c>
      <c r="P33" s="2"/>
      <c r="Q33" s="2"/>
      <c r="R33">
        <f t="shared" si="21"/>
        <v>2005</v>
      </c>
      <c r="S33" s="2">
        <f t="shared" si="7"/>
        <v>19920.277760953126</v>
      </c>
      <c r="T33" s="2"/>
      <c r="U33" s="2">
        <f t="shared" si="8"/>
        <v>21752.927466770936</v>
      </c>
      <c r="V33" s="2">
        <f t="shared" si="8"/>
        <v>9700.0698692738988</v>
      </c>
      <c r="W33" s="2"/>
      <c r="X33" s="2">
        <f t="shared" si="9"/>
        <v>22081.007972997464</v>
      </c>
      <c r="Y33" s="2">
        <f t="shared" si="9"/>
        <v>29688.674784758801</v>
      </c>
      <c r="Z33" s="2">
        <f t="shared" si="22"/>
        <v>103142.95785475422</v>
      </c>
      <c r="AA33" s="2">
        <f t="shared" si="23"/>
        <v>3118.4132734959712</v>
      </c>
      <c r="AB33" s="6">
        <f t="shared" si="24"/>
        <v>3.1176480598345789E-2</v>
      </c>
      <c r="AC33" s="7">
        <f t="shared" si="25"/>
        <v>1.0311764805983459</v>
      </c>
      <c r="AD33" s="2">
        <f t="shared" si="26"/>
        <v>0</v>
      </c>
      <c r="AE33" s="2"/>
      <c r="AG33">
        <f t="shared" si="27"/>
        <v>2005</v>
      </c>
      <c r="AH33" s="6">
        <f t="shared" si="5"/>
        <v>0.1931326982982671</v>
      </c>
      <c r="AI33" s="6"/>
      <c r="AJ33" s="6">
        <f t="shared" si="5"/>
        <v>0.21090075288904728</v>
      </c>
      <c r="AK33" s="6">
        <f t="shared" si="5"/>
        <v>9.4044906904197229E-2</v>
      </c>
      <c r="AL33" s="6"/>
      <c r="AM33" s="6">
        <f t="shared" si="5"/>
        <v>0.21408158571612723</v>
      </c>
      <c r="AN33" s="6">
        <f t="shared" si="5"/>
        <v>0.28784005619236125</v>
      </c>
      <c r="AO33" s="6">
        <f t="shared" si="28"/>
        <v>1</v>
      </c>
      <c r="AP33" s="7">
        <f t="shared" si="29"/>
        <v>0.71215994380763881</v>
      </c>
      <c r="AQ33" s="7">
        <f t="shared" si="30"/>
        <v>0</v>
      </c>
      <c r="AR33" s="22"/>
      <c r="AS33">
        <f t="shared" si="31"/>
        <v>2005</v>
      </c>
      <c r="AT33" s="1" t="b">
        <f t="shared" si="32"/>
        <v>1</v>
      </c>
      <c r="AU33" s="1"/>
      <c r="AV33" s="1" t="b">
        <f t="shared" si="33"/>
        <v>1</v>
      </c>
      <c r="AW33" s="1" t="b">
        <f t="shared" si="34"/>
        <v>1</v>
      </c>
      <c r="AX33" s="1"/>
      <c r="AY33" s="1" t="b">
        <f t="shared" si="10"/>
        <v>1</v>
      </c>
      <c r="AZ33" s="1" t="b">
        <f t="shared" si="35"/>
        <v>1</v>
      </c>
      <c r="BA33" s="1" t="b">
        <f t="shared" si="36"/>
        <v>1</v>
      </c>
      <c r="BC33">
        <f t="shared" si="37"/>
        <v>2005</v>
      </c>
      <c r="BD33" s="2">
        <f t="shared" si="41"/>
        <v>19920.277760953126</v>
      </c>
      <c r="BE33" s="2"/>
      <c r="BF33" s="2">
        <f t="shared" si="42"/>
        <v>21752.927466770936</v>
      </c>
      <c r="BG33" s="2">
        <f t="shared" si="42"/>
        <v>9700.0698692738988</v>
      </c>
      <c r="BH33" s="2"/>
      <c r="BI33" s="2">
        <f t="shared" si="43"/>
        <v>22081.007972997464</v>
      </c>
      <c r="BJ33" s="2">
        <f t="shared" si="43"/>
        <v>29688.674784758801</v>
      </c>
      <c r="BK33" s="2">
        <f t="shared" si="38"/>
        <v>103142.95785475422</v>
      </c>
      <c r="BL33" s="2">
        <f t="shared" si="39"/>
        <v>0</v>
      </c>
      <c r="BM33" s="2"/>
    </row>
    <row r="34" spans="1:65" x14ac:dyDescent="0.25">
      <c r="A34">
        <f t="shared" si="6"/>
        <v>2006</v>
      </c>
      <c r="B34" s="2">
        <f t="shared" si="11"/>
        <v>23035.809202766195</v>
      </c>
      <c r="C34" s="2"/>
      <c r="D34" s="2">
        <f t="shared" si="12"/>
        <v>24710.673014427779</v>
      </c>
      <c r="E34" s="2">
        <f t="shared" si="13"/>
        <v>11218.71280800742</v>
      </c>
      <c r="F34" s="2"/>
      <c r="G34" s="2">
        <f t="shared" si="14"/>
        <v>27962.726066764797</v>
      </c>
      <c r="H34" s="2">
        <f t="shared" si="15"/>
        <v>30956.381198068</v>
      </c>
      <c r="I34" s="2">
        <f t="shared" si="40"/>
        <v>117884.30229003419</v>
      </c>
      <c r="J34" s="2">
        <f t="shared" si="16"/>
        <v>9547.0178822613088</v>
      </c>
      <c r="K34" s="6">
        <f t="shared" si="17"/>
        <v>8.8123104935204921E-2</v>
      </c>
      <c r="L34" s="7">
        <f t="shared" si="18"/>
        <v>1.0881231049352049</v>
      </c>
      <c r="N34">
        <f t="shared" si="19"/>
        <v>2006</v>
      </c>
      <c r="O34" s="2">
        <f t="shared" si="20"/>
        <v>5324.1847168441182</v>
      </c>
      <c r="P34" s="2"/>
      <c r="Q34" s="2"/>
      <c r="R34">
        <f t="shared" si="21"/>
        <v>2006</v>
      </c>
      <c r="S34" s="2">
        <f t="shared" si="7"/>
        <v>21970.972259397371</v>
      </c>
      <c r="T34" s="2"/>
      <c r="U34" s="2">
        <f t="shared" si="8"/>
        <v>23645.836071058955</v>
      </c>
      <c r="V34" s="2">
        <f t="shared" si="8"/>
        <v>10153.875864638596</v>
      </c>
      <c r="W34" s="2"/>
      <c r="X34" s="2">
        <f t="shared" si="9"/>
        <v>26897.889123395973</v>
      </c>
      <c r="Y34" s="2">
        <f t="shared" si="9"/>
        <v>29891.544254699176</v>
      </c>
      <c r="Z34" s="2">
        <f t="shared" si="22"/>
        <v>112560.11757319007</v>
      </c>
      <c r="AA34" s="2">
        <f t="shared" si="23"/>
        <v>9417.1597184358543</v>
      </c>
      <c r="AB34" s="6">
        <f t="shared" si="24"/>
        <v>9.1302013383183042E-2</v>
      </c>
      <c r="AC34" s="7">
        <f t="shared" si="25"/>
        <v>1.091302013383183</v>
      </c>
      <c r="AD34" s="2">
        <f t="shared" si="26"/>
        <v>0</v>
      </c>
      <c r="AE34" s="2"/>
      <c r="AG34">
        <f t="shared" si="27"/>
        <v>2006</v>
      </c>
      <c r="AH34" s="6">
        <f t="shared" si="5"/>
        <v>0.19519322414629822</v>
      </c>
      <c r="AI34" s="6"/>
      <c r="AJ34" s="6">
        <f t="shared" si="5"/>
        <v>0.21007295106709267</v>
      </c>
      <c r="AK34" s="6">
        <f t="shared" si="5"/>
        <v>9.020846889251187E-2</v>
      </c>
      <c r="AL34" s="6"/>
      <c r="AM34" s="6">
        <f t="shared" si="5"/>
        <v>0.23896465020930821</v>
      </c>
      <c r="AN34" s="6">
        <f t="shared" si="5"/>
        <v>0.26556070568478901</v>
      </c>
      <c r="AO34" s="6">
        <f t="shared" si="28"/>
        <v>1</v>
      </c>
      <c r="AP34" s="7">
        <f t="shared" si="29"/>
        <v>0.73443929431521104</v>
      </c>
      <c r="AQ34" s="7">
        <f t="shared" si="30"/>
        <v>0</v>
      </c>
      <c r="AR34" s="22"/>
      <c r="AS34">
        <f t="shared" si="31"/>
        <v>2006</v>
      </c>
      <c r="AT34" s="1" t="b">
        <f t="shared" si="32"/>
        <v>1</v>
      </c>
      <c r="AU34" s="1"/>
      <c r="AV34" s="1" t="b">
        <f t="shared" si="33"/>
        <v>1</v>
      </c>
      <c r="AW34" s="1" t="b">
        <f t="shared" si="34"/>
        <v>1</v>
      </c>
      <c r="AX34" s="1"/>
      <c r="AY34" s="1" t="b">
        <f t="shared" si="10"/>
        <v>1</v>
      </c>
      <c r="AZ34" s="1" t="b">
        <f t="shared" si="35"/>
        <v>1</v>
      </c>
      <c r="BA34" s="1" t="b">
        <f t="shared" si="36"/>
        <v>1</v>
      </c>
      <c r="BC34">
        <f t="shared" si="37"/>
        <v>2006</v>
      </c>
      <c r="BD34" s="2">
        <f t="shared" si="41"/>
        <v>21970.972259397371</v>
      </c>
      <c r="BE34" s="2"/>
      <c r="BF34" s="2">
        <f t="shared" si="42"/>
        <v>23645.836071058955</v>
      </c>
      <c r="BG34" s="2">
        <f t="shared" si="42"/>
        <v>10153.875864638596</v>
      </c>
      <c r="BH34" s="2"/>
      <c r="BI34" s="2">
        <f t="shared" si="43"/>
        <v>26897.889123395973</v>
      </c>
      <c r="BJ34" s="2">
        <f t="shared" si="43"/>
        <v>29891.544254699176</v>
      </c>
      <c r="BK34" s="2">
        <f t="shared" si="38"/>
        <v>112560.11757319007</v>
      </c>
      <c r="BL34" s="2">
        <f t="shared" si="39"/>
        <v>0</v>
      </c>
      <c r="BM34" s="2"/>
    </row>
    <row r="35" spans="1:65" x14ac:dyDescent="0.25">
      <c r="A35">
        <f t="shared" si="6"/>
        <v>2007</v>
      </c>
      <c r="B35" s="2">
        <f t="shared" si="11"/>
        <v>23155.207664178892</v>
      </c>
      <c r="C35" s="2"/>
      <c r="D35" s="2">
        <f t="shared" si="12"/>
        <v>25069.551860897416</v>
      </c>
      <c r="E35" s="2">
        <f t="shared" si="13"/>
        <v>10271.254669633818</v>
      </c>
      <c r="F35" s="2"/>
      <c r="G35" s="2">
        <f t="shared" si="14"/>
        <v>31072.979473129493</v>
      </c>
      <c r="H35" s="2">
        <f t="shared" si="15"/>
        <v>31960.039117124357</v>
      </c>
      <c r="I35" s="2">
        <f t="shared" si="40"/>
        <v>121529.03278496397</v>
      </c>
      <c r="J35" s="2">
        <f t="shared" si="16"/>
        <v>3644.7304949297832</v>
      </c>
      <c r="K35" s="6">
        <f t="shared" si="17"/>
        <v>3.0917861192091091E-2</v>
      </c>
      <c r="L35" s="7">
        <f t="shared" si="18"/>
        <v>1.0309178611920911</v>
      </c>
      <c r="N35">
        <f t="shared" si="19"/>
        <v>2007</v>
      </c>
      <c r="O35" s="2">
        <f t="shared" si="20"/>
        <v>5542.4762902347265</v>
      </c>
      <c r="P35" s="2"/>
      <c r="Q35" s="2"/>
      <c r="R35">
        <f t="shared" si="21"/>
        <v>2007</v>
      </c>
      <c r="S35" s="2">
        <f t="shared" si="7"/>
        <v>22046.712406131948</v>
      </c>
      <c r="T35" s="2"/>
      <c r="U35" s="2">
        <f t="shared" si="8"/>
        <v>23961.056602850469</v>
      </c>
      <c r="V35" s="2">
        <f t="shared" si="8"/>
        <v>9162.7594115868724</v>
      </c>
      <c r="W35" s="2"/>
      <c r="X35" s="2">
        <f t="shared" si="9"/>
        <v>29964.48421508255</v>
      </c>
      <c r="Y35" s="2">
        <f t="shared" si="9"/>
        <v>30851.543859077414</v>
      </c>
      <c r="Z35" s="2">
        <f t="shared" si="22"/>
        <v>115986.55649472924</v>
      </c>
      <c r="AA35" s="2">
        <f t="shared" si="23"/>
        <v>3426.4389215391711</v>
      </c>
      <c r="AB35" s="6">
        <f t="shared" si="24"/>
        <v>3.0440967861562463E-2</v>
      </c>
      <c r="AC35" s="7">
        <f t="shared" si="25"/>
        <v>1.0304409678615625</v>
      </c>
      <c r="AD35" s="2">
        <f t="shared" si="26"/>
        <v>0</v>
      </c>
      <c r="AE35" s="2"/>
      <c r="AG35">
        <f t="shared" si="27"/>
        <v>2007</v>
      </c>
      <c r="AH35" s="6">
        <f t="shared" si="5"/>
        <v>0.19007989436373873</v>
      </c>
      <c r="AI35" s="6"/>
      <c r="AJ35" s="6">
        <f t="shared" si="5"/>
        <v>0.20658477436511641</v>
      </c>
      <c r="AK35" s="6">
        <f t="shared" si="5"/>
        <v>7.8998460584552774E-2</v>
      </c>
      <c r="AL35" s="6"/>
      <c r="AM35" s="57">
        <f t="shared" si="5"/>
        <v>0.25834445922570537</v>
      </c>
      <c r="AN35" s="6">
        <f t="shared" si="5"/>
        <v>0.26599241146088681</v>
      </c>
      <c r="AO35" s="6">
        <f t="shared" si="28"/>
        <v>1</v>
      </c>
      <c r="AP35" s="7">
        <f t="shared" si="29"/>
        <v>0.7340075885391133</v>
      </c>
      <c r="AQ35" s="7">
        <f t="shared" si="30"/>
        <v>0</v>
      </c>
      <c r="AR35" s="22"/>
      <c r="AS35">
        <f t="shared" si="31"/>
        <v>2007</v>
      </c>
      <c r="AT35" s="1" t="b">
        <f t="shared" si="32"/>
        <v>1</v>
      </c>
      <c r="AU35" s="1"/>
      <c r="AV35" s="1" t="b">
        <f t="shared" si="33"/>
        <v>1</v>
      </c>
      <c r="AW35" s="1" t="b">
        <f t="shared" si="34"/>
        <v>1</v>
      </c>
      <c r="AX35" s="1"/>
      <c r="AY35" s="35" t="b">
        <f t="shared" si="10"/>
        <v>0</v>
      </c>
      <c r="AZ35" s="1" t="b">
        <f t="shared" si="35"/>
        <v>1</v>
      </c>
      <c r="BA35" s="1" t="b">
        <f t="shared" si="36"/>
        <v>1</v>
      </c>
      <c r="BC35">
        <f t="shared" si="37"/>
        <v>2007</v>
      </c>
      <c r="BD35" s="36">
        <f>BD$27*$Z35</f>
        <v>23197.31129894585</v>
      </c>
      <c r="BE35" s="2"/>
      <c r="BF35" s="36">
        <f t="shared" ref="BF35:BG36" si="44">BF$27*$Z35</f>
        <v>23197.31129894585</v>
      </c>
      <c r="BG35" s="36">
        <f t="shared" si="44"/>
        <v>11598.655649472925</v>
      </c>
      <c r="BH35" s="2"/>
      <c r="BI35" s="36">
        <f t="shared" ref="BI35:BJ36" si="45">BI$27*$Z35</f>
        <v>23197.31129894585</v>
      </c>
      <c r="BJ35" s="36">
        <f t="shared" si="45"/>
        <v>34795.966948418769</v>
      </c>
      <c r="BK35" s="2">
        <f t="shared" si="38"/>
        <v>115986.55649472924</v>
      </c>
      <c r="BL35" s="2">
        <f t="shared" si="39"/>
        <v>0</v>
      </c>
      <c r="BM35" s="2"/>
    </row>
    <row r="36" spans="1:65" x14ac:dyDescent="0.25">
      <c r="A36">
        <f t="shared" si="6"/>
        <v>2008</v>
      </c>
      <c r="B36" s="2">
        <f t="shared" si="11"/>
        <v>14609.666656076093</v>
      </c>
      <c r="C36" s="2"/>
      <c r="D36" s="2">
        <f t="shared" si="12"/>
        <v>13495.26782127474</v>
      </c>
      <c r="E36" s="2">
        <f t="shared" si="13"/>
        <v>7415.0205567080402</v>
      </c>
      <c r="F36" s="2"/>
      <c r="G36" s="2">
        <f t="shared" si="14"/>
        <v>12967.06504299774</v>
      </c>
      <c r="H36" s="2">
        <f t="shared" si="15"/>
        <v>36553.163279313914</v>
      </c>
      <c r="I36" s="2">
        <f t="shared" si="40"/>
        <v>85040.18335637053</v>
      </c>
      <c r="J36" s="2">
        <f t="shared" si="16"/>
        <v>-36488.849428593443</v>
      </c>
      <c r="K36" s="6">
        <f t="shared" si="17"/>
        <v>-0.30024800323357775</v>
      </c>
      <c r="L36" s="7">
        <f t="shared" si="18"/>
        <v>0.6997519967664223</v>
      </c>
      <c r="N36">
        <f t="shared" si="19"/>
        <v>2008</v>
      </c>
      <c r="O36" s="2">
        <f t="shared" si="20"/>
        <v>5542.4762902347265</v>
      </c>
      <c r="P36" s="2"/>
      <c r="Q36" s="2"/>
      <c r="R36">
        <f t="shared" si="21"/>
        <v>2008</v>
      </c>
      <c r="S36" s="2">
        <f t="shared" si="7"/>
        <v>13501.171398029148</v>
      </c>
      <c r="T36" s="2"/>
      <c r="U36" s="2">
        <f t="shared" si="8"/>
        <v>12386.772563227794</v>
      </c>
      <c r="V36" s="2">
        <f t="shared" si="8"/>
        <v>6306.5252986610949</v>
      </c>
      <c r="W36" s="2"/>
      <c r="X36" s="2">
        <f t="shared" si="9"/>
        <v>11858.569784950794</v>
      </c>
      <c r="Y36" s="2">
        <f t="shared" si="9"/>
        <v>35444.668021266967</v>
      </c>
      <c r="Z36" s="2">
        <f t="shared" si="22"/>
        <v>79497.707066135801</v>
      </c>
      <c r="AA36" s="2">
        <f t="shared" si="23"/>
        <v>-36488.849428593443</v>
      </c>
      <c r="AB36" s="6">
        <f t="shared" si="24"/>
        <v>-0.31459550599083091</v>
      </c>
      <c r="AC36" s="7">
        <f t="shared" si="25"/>
        <v>0.68540449400916903</v>
      </c>
      <c r="AD36" s="2">
        <f t="shared" si="26"/>
        <v>0</v>
      </c>
      <c r="AE36" s="2"/>
      <c r="AG36">
        <f t="shared" si="27"/>
        <v>2008</v>
      </c>
      <c r="AH36" s="6">
        <f t="shared" si="5"/>
        <v>0.16983095357451305</v>
      </c>
      <c r="AI36" s="6"/>
      <c r="AJ36" s="6">
        <f t="shared" si="5"/>
        <v>0.15581295386196459</v>
      </c>
      <c r="AK36" s="6">
        <f t="shared" si="5"/>
        <v>7.9329650267957602E-2</v>
      </c>
      <c r="AL36" s="6"/>
      <c r="AM36" s="57">
        <f t="shared" si="5"/>
        <v>0.14916870212477201</v>
      </c>
      <c r="AN36" s="57">
        <f t="shared" si="5"/>
        <v>0.44585774017079272</v>
      </c>
      <c r="AO36" s="6">
        <f t="shared" si="28"/>
        <v>0.99999999999999989</v>
      </c>
      <c r="AP36" s="7">
        <f t="shared" si="29"/>
        <v>0.55414225982920717</v>
      </c>
      <c r="AQ36" s="7">
        <f t="shared" si="30"/>
        <v>0</v>
      </c>
      <c r="AR36" s="22"/>
      <c r="AS36">
        <f t="shared" si="31"/>
        <v>2008</v>
      </c>
      <c r="AT36" s="1" t="b">
        <f t="shared" si="32"/>
        <v>1</v>
      </c>
      <c r="AU36" s="1"/>
      <c r="AV36" s="1" t="b">
        <f t="shared" si="33"/>
        <v>1</v>
      </c>
      <c r="AW36" s="1" t="b">
        <f t="shared" si="34"/>
        <v>1</v>
      </c>
      <c r="AX36" s="1"/>
      <c r="AY36" s="35" t="b">
        <f t="shared" si="10"/>
        <v>0</v>
      </c>
      <c r="AZ36" s="35" t="b">
        <f t="shared" si="35"/>
        <v>0</v>
      </c>
      <c r="BA36" s="1" t="b">
        <f t="shared" si="36"/>
        <v>1</v>
      </c>
      <c r="BC36">
        <f t="shared" si="37"/>
        <v>2008</v>
      </c>
      <c r="BD36" s="36">
        <f>BD$27*$Z36</f>
        <v>15899.541413227162</v>
      </c>
      <c r="BE36" s="2"/>
      <c r="BF36" s="36">
        <f t="shared" si="44"/>
        <v>15899.541413227162</v>
      </c>
      <c r="BG36" s="36">
        <f t="shared" si="44"/>
        <v>7949.7707066135808</v>
      </c>
      <c r="BH36" s="2"/>
      <c r="BI36" s="36">
        <f t="shared" si="45"/>
        <v>15899.541413227162</v>
      </c>
      <c r="BJ36" s="36">
        <f t="shared" si="45"/>
        <v>23849.312119840739</v>
      </c>
      <c r="BK36" s="2">
        <f t="shared" si="38"/>
        <v>79497.707066135801</v>
      </c>
      <c r="BL36" s="2">
        <f t="shared" si="39"/>
        <v>0</v>
      </c>
      <c r="BM36" s="2"/>
    </row>
    <row r="37" spans="1:65" x14ac:dyDescent="0.25">
      <c r="A37">
        <f t="shared" si="6"/>
        <v>2009</v>
      </c>
      <c r="B37" s="2">
        <f t="shared" si="11"/>
        <v>20111.329933591034</v>
      </c>
      <c r="C37" s="2"/>
      <c r="D37" s="2">
        <f t="shared" si="12"/>
        <v>22294.01897879886</v>
      </c>
      <c r="E37" s="2">
        <f t="shared" si="13"/>
        <v>10821.068890428274</v>
      </c>
      <c r="F37" s="2"/>
      <c r="G37" s="2">
        <f t="shared" si="14"/>
        <v>21738.965988063101</v>
      </c>
      <c r="H37" s="2">
        <f t="shared" si="15"/>
        <v>25263.576328547293</v>
      </c>
      <c r="I37" s="2">
        <f t="shared" si="40"/>
        <v>100228.96011942855</v>
      </c>
      <c r="J37" s="2">
        <f t="shared" si="16"/>
        <v>15188.77676305802</v>
      </c>
      <c r="K37" s="6">
        <f t="shared" si="17"/>
        <v>0.17860705567164323</v>
      </c>
      <c r="L37" s="7">
        <f t="shared" si="18"/>
        <v>1.1786070556716433</v>
      </c>
      <c r="N37">
        <f t="shared" si="19"/>
        <v>2009</v>
      </c>
      <c r="O37" s="2">
        <f t="shared" si="20"/>
        <v>5697.6656263612995</v>
      </c>
      <c r="P37" s="2"/>
      <c r="Q37" s="2"/>
      <c r="R37">
        <f t="shared" si="21"/>
        <v>2009</v>
      </c>
      <c r="S37" s="2">
        <f t="shared" si="7"/>
        <v>18971.796808318773</v>
      </c>
      <c r="T37" s="2"/>
      <c r="U37" s="2">
        <f t="shared" si="8"/>
        <v>21154.485853526599</v>
      </c>
      <c r="V37" s="2">
        <f t="shared" si="8"/>
        <v>9681.5357651560153</v>
      </c>
      <c r="W37" s="2"/>
      <c r="X37" s="2">
        <f t="shared" si="9"/>
        <v>20599.43286279084</v>
      </c>
      <c r="Y37" s="2">
        <f t="shared" si="9"/>
        <v>24124.043203275032</v>
      </c>
      <c r="Z37" s="2">
        <f t="shared" si="22"/>
        <v>94531.294493067253</v>
      </c>
      <c r="AA37" s="2">
        <f t="shared" si="23"/>
        <v>15033.587426931452</v>
      </c>
      <c r="AB37" s="6">
        <f t="shared" si="24"/>
        <v>0.18910718285779862</v>
      </c>
      <c r="AC37" s="7">
        <f t="shared" si="25"/>
        <v>1.1891071828577986</v>
      </c>
      <c r="AD37" s="2">
        <f t="shared" si="26"/>
        <v>0</v>
      </c>
      <c r="AE37" s="2"/>
      <c r="AG37">
        <f t="shared" si="27"/>
        <v>2009</v>
      </c>
      <c r="AH37" s="6">
        <f t="shared" si="5"/>
        <v>0.20069329326395852</v>
      </c>
      <c r="AI37" s="6"/>
      <c r="AJ37" s="6">
        <f t="shared" si="5"/>
        <v>0.22378288551922909</v>
      </c>
      <c r="AK37" s="6">
        <f t="shared" si="5"/>
        <v>0.10241619790646198</v>
      </c>
      <c r="AL37" s="6"/>
      <c r="AM37" s="6">
        <f t="shared" si="5"/>
        <v>0.2179112533395125</v>
      </c>
      <c r="AN37" s="6">
        <f t="shared" si="5"/>
        <v>0.255196369970838</v>
      </c>
      <c r="AO37" s="6">
        <f t="shared" si="28"/>
        <v>1</v>
      </c>
      <c r="AP37" s="7">
        <f t="shared" si="29"/>
        <v>0.74480363002916206</v>
      </c>
      <c r="AQ37" s="7">
        <f t="shared" si="30"/>
        <v>0</v>
      </c>
      <c r="AR37" s="22"/>
      <c r="AS37">
        <f t="shared" si="31"/>
        <v>2009</v>
      </c>
      <c r="AT37" s="1" t="b">
        <f t="shared" si="32"/>
        <v>1</v>
      </c>
      <c r="AU37" s="1"/>
      <c r="AV37" s="1" t="b">
        <f t="shared" si="33"/>
        <v>1</v>
      </c>
      <c r="AW37" s="1" t="b">
        <f t="shared" si="34"/>
        <v>1</v>
      </c>
      <c r="AX37" s="1"/>
      <c r="AY37" s="1" t="b">
        <f t="shared" si="10"/>
        <v>1</v>
      </c>
      <c r="AZ37" s="1" t="b">
        <f t="shared" si="35"/>
        <v>1</v>
      </c>
      <c r="BA37" s="1" t="b">
        <f t="shared" si="36"/>
        <v>1</v>
      </c>
      <c r="BC37">
        <f t="shared" si="37"/>
        <v>2009</v>
      </c>
      <c r="BD37" s="2">
        <f t="shared" si="41"/>
        <v>18971.796808318773</v>
      </c>
      <c r="BE37" s="2"/>
      <c r="BF37" s="2">
        <f t="shared" si="42"/>
        <v>21154.485853526599</v>
      </c>
      <c r="BG37" s="2">
        <f t="shared" si="42"/>
        <v>9681.5357651560153</v>
      </c>
      <c r="BH37" s="2"/>
      <c r="BI37" s="2">
        <f t="shared" si="43"/>
        <v>20599.43286279084</v>
      </c>
      <c r="BJ37" s="2">
        <f t="shared" si="43"/>
        <v>24124.043203275032</v>
      </c>
      <c r="BK37" s="2">
        <f t="shared" si="38"/>
        <v>94531.294493067253</v>
      </c>
      <c r="BL37" s="2">
        <f t="shared" si="39"/>
        <v>0</v>
      </c>
      <c r="BM37" s="2"/>
    </row>
    <row r="38" spans="1:65" x14ac:dyDescent="0.25">
      <c r="A38">
        <f t="shared" si="6"/>
        <v>2010</v>
      </c>
      <c r="B38" s="2">
        <f t="shared" si="11"/>
        <v>21800.491712439103</v>
      </c>
      <c r="C38" s="2"/>
      <c r="D38" s="2">
        <f t="shared" si="12"/>
        <v>26540.417951834472</v>
      </c>
      <c r="E38" s="2">
        <f t="shared" si="13"/>
        <v>12365.257479257263</v>
      </c>
      <c r="F38" s="2"/>
      <c r="G38" s="2">
        <f t="shared" si="14"/>
        <v>22890.08979713318</v>
      </c>
      <c r="H38" s="2">
        <f t="shared" si="15"/>
        <v>25672.806776925288</v>
      </c>
      <c r="I38" s="2">
        <f t="shared" si="40"/>
        <v>109269.06371758931</v>
      </c>
      <c r="J38" s="2">
        <f t="shared" si="16"/>
        <v>9040.1035981607565</v>
      </c>
      <c r="K38" s="6">
        <f t="shared" si="17"/>
        <v>9.0194526486047102E-2</v>
      </c>
      <c r="L38" s="7">
        <f t="shared" si="18"/>
        <v>1.0901945264860471</v>
      </c>
      <c r="N38">
        <f t="shared" si="19"/>
        <v>2010</v>
      </c>
      <c r="O38" s="2">
        <f t="shared" si="20"/>
        <v>5777.4329451303574</v>
      </c>
      <c r="P38" s="2"/>
      <c r="Q38" s="2"/>
      <c r="R38">
        <f t="shared" si="21"/>
        <v>2010</v>
      </c>
      <c r="S38" s="2">
        <f t="shared" si="7"/>
        <v>20645.005123413033</v>
      </c>
      <c r="T38" s="2"/>
      <c r="U38" s="2">
        <f t="shared" si="8"/>
        <v>25384.931362808402</v>
      </c>
      <c r="V38" s="2">
        <f t="shared" si="8"/>
        <v>11209.770890231192</v>
      </c>
      <c r="W38" s="2"/>
      <c r="X38" s="2">
        <f t="shared" si="9"/>
        <v>21734.60320810711</v>
      </c>
      <c r="Y38" s="2">
        <f t="shared" si="9"/>
        <v>24517.320187899219</v>
      </c>
      <c r="Z38" s="2">
        <f t="shared" si="22"/>
        <v>103491.63077245897</v>
      </c>
      <c r="AA38" s="2">
        <f t="shared" si="23"/>
        <v>8960.3362793917186</v>
      </c>
      <c r="AB38" s="6">
        <f t="shared" si="24"/>
        <v>9.4786983796660618E-2</v>
      </c>
      <c r="AC38" s="7">
        <f t="shared" si="25"/>
        <v>1.0947869837966606</v>
      </c>
      <c r="AD38" s="2">
        <f t="shared" si="26"/>
        <v>0</v>
      </c>
      <c r="AE38" s="2"/>
      <c r="AG38">
        <f t="shared" si="27"/>
        <v>2010</v>
      </c>
      <c r="AH38" s="6">
        <f t="shared" si="5"/>
        <v>0.19948477929393155</v>
      </c>
      <c r="AI38" s="6"/>
      <c r="AJ38" s="6">
        <f t="shared" si="5"/>
        <v>0.24528487157208659</v>
      </c>
      <c r="AK38" s="6">
        <f t="shared" si="5"/>
        <v>0.10831572376009285</v>
      </c>
      <c r="AL38" s="7"/>
      <c r="AM38" s="6">
        <f t="shared" si="5"/>
        <v>0.21001314836649659</v>
      </c>
      <c r="AN38" s="57">
        <f t="shared" si="5"/>
        <v>0.23690147700739225</v>
      </c>
      <c r="AO38" s="6">
        <f t="shared" si="28"/>
        <v>1</v>
      </c>
      <c r="AP38" s="7">
        <f t="shared" si="29"/>
        <v>0.76309852299260772</v>
      </c>
      <c r="AQ38" s="7">
        <f t="shared" si="30"/>
        <v>0</v>
      </c>
      <c r="AR38" s="22"/>
      <c r="AS38">
        <f t="shared" si="31"/>
        <v>2010</v>
      </c>
      <c r="AT38" s="1" t="b">
        <f t="shared" si="32"/>
        <v>1</v>
      </c>
      <c r="AU38" s="1"/>
      <c r="AV38" s="1" t="b">
        <f t="shared" si="33"/>
        <v>1</v>
      </c>
      <c r="AW38" s="1" t="b">
        <f t="shared" si="34"/>
        <v>1</v>
      </c>
      <c r="AY38" s="1" t="b">
        <f t="shared" si="10"/>
        <v>1</v>
      </c>
      <c r="AZ38" s="35" t="b">
        <f t="shared" si="35"/>
        <v>0</v>
      </c>
      <c r="BA38" s="1" t="b">
        <f t="shared" si="36"/>
        <v>1</v>
      </c>
      <c r="BC38">
        <f t="shared" si="37"/>
        <v>2010</v>
      </c>
      <c r="BD38" s="36">
        <f>BD$27*$Z38</f>
        <v>20698.326154491795</v>
      </c>
      <c r="BE38" s="2"/>
      <c r="BF38" s="36">
        <f>BF$27*$Z38</f>
        <v>20698.326154491795</v>
      </c>
      <c r="BG38" s="36">
        <f>BG$27*$Z38</f>
        <v>10349.163077245898</v>
      </c>
      <c r="BH38" s="2"/>
      <c r="BI38" s="36">
        <f>BI$27*$Z38</f>
        <v>20698.326154491795</v>
      </c>
      <c r="BJ38" s="36">
        <f>BJ$27*$Z38</f>
        <v>31047.489231737691</v>
      </c>
      <c r="BK38" s="2">
        <f t="shared" si="38"/>
        <v>103491.63077245897</v>
      </c>
      <c r="BL38" s="2">
        <f t="shared" si="39"/>
        <v>0</v>
      </c>
      <c r="BM38" s="2"/>
    </row>
    <row r="39" spans="1:65" x14ac:dyDescent="0.25">
      <c r="A39">
        <f t="shared" si="6"/>
        <v>2011</v>
      </c>
      <c r="B39" s="2">
        <f t="shared" si="11"/>
        <v>21106.083179735284</v>
      </c>
      <c r="C39" s="2"/>
      <c r="D39" s="2">
        <f t="shared" si="12"/>
        <v>20261.591472632019</v>
      </c>
      <c r="E39" s="2">
        <f t="shared" si="13"/>
        <v>10059.386511083012</v>
      </c>
      <c r="F39" s="2"/>
      <c r="G39" s="2">
        <f t="shared" si="14"/>
        <v>17684.649866397791</v>
      </c>
      <c r="H39" s="2">
        <f t="shared" si="15"/>
        <v>33394.679417657062</v>
      </c>
      <c r="I39" s="2">
        <f t="shared" si="40"/>
        <v>102506.39044750517</v>
      </c>
      <c r="J39" s="2">
        <f t="shared" si="16"/>
        <v>-6762.6732700841385</v>
      </c>
      <c r="K39" s="6">
        <f t="shared" si="17"/>
        <v>-6.189009990570217E-2</v>
      </c>
      <c r="L39" s="7">
        <f t="shared" si="18"/>
        <v>0.93810990009429784</v>
      </c>
      <c r="N39">
        <f t="shared" si="19"/>
        <v>2011</v>
      </c>
      <c r="O39" s="2">
        <f t="shared" si="20"/>
        <v>5950.7559334842681</v>
      </c>
      <c r="P39" s="2"/>
      <c r="Q39" s="2"/>
      <c r="R39">
        <f t="shared" si="21"/>
        <v>2011</v>
      </c>
      <c r="S39" s="2">
        <f t="shared" si="7"/>
        <v>19915.93199303843</v>
      </c>
      <c r="T39" s="2"/>
      <c r="U39" s="2">
        <f t="shared" si="8"/>
        <v>19071.440285935165</v>
      </c>
      <c r="V39" s="2">
        <f t="shared" si="8"/>
        <v>8869.235324386158</v>
      </c>
      <c r="W39" s="2"/>
      <c r="X39" s="2">
        <f t="shared" si="9"/>
        <v>16494.498679700937</v>
      </c>
      <c r="Y39" s="2">
        <f t="shared" si="9"/>
        <v>32204.528230960208</v>
      </c>
      <c r="Z39" s="2">
        <f t="shared" si="22"/>
        <v>96555.634514020887</v>
      </c>
      <c r="AA39" s="2">
        <f t="shared" si="23"/>
        <v>-6935.9962584380846</v>
      </c>
      <c r="AB39" s="6">
        <f t="shared" si="24"/>
        <v>-6.7019875971302989E-2</v>
      </c>
      <c r="AC39" s="7">
        <f t="shared" si="25"/>
        <v>0.93298012402869701</v>
      </c>
      <c r="AD39" s="2">
        <f t="shared" si="26"/>
        <v>0</v>
      </c>
      <c r="AE39" s="2"/>
      <c r="AG39">
        <f t="shared" si="27"/>
        <v>2011</v>
      </c>
      <c r="AH39" s="6">
        <f t="shared" si="5"/>
        <v>0.20626379903439429</v>
      </c>
      <c r="AI39" s="7"/>
      <c r="AJ39" s="6">
        <f t="shared" si="5"/>
        <v>0.19751763200484992</v>
      </c>
      <c r="AK39" s="6">
        <f t="shared" si="5"/>
        <v>9.1856217081751484E-2</v>
      </c>
      <c r="AL39" s="7"/>
      <c r="AM39" s="6">
        <f t="shared" si="5"/>
        <v>0.17082896055440205</v>
      </c>
      <c r="AN39" s="6">
        <f t="shared" si="5"/>
        <v>0.33353339132460236</v>
      </c>
      <c r="AO39" s="6">
        <f t="shared" si="28"/>
        <v>1.0000000000000002</v>
      </c>
      <c r="AP39" s="7">
        <f t="shared" si="29"/>
        <v>0.66646660867539786</v>
      </c>
      <c r="AQ39" s="7">
        <f t="shared" si="30"/>
        <v>0</v>
      </c>
      <c r="AR39" s="22"/>
      <c r="AS39">
        <f t="shared" si="31"/>
        <v>2011</v>
      </c>
      <c r="AT39" s="1" t="b">
        <f t="shared" si="32"/>
        <v>1</v>
      </c>
      <c r="AV39" s="1" t="b">
        <f t="shared" si="33"/>
        <v>1</v>
      </c>
      <c r="AW39" s="1" t="b">
        <f t="shared" si="34"/>
        <v>1</v>
      </c>
      <c r="AY39" s="1" t="b">
        <f t="shared" si="10"/>
        <v>1</v>
      </c>
      <c r="AZ39" s="1" t="b">
        <f t="shared" si="35"/>
        <v>1</v>
      </c>
      <c r="BA39" s="1" t="b">
        <f t="shared" si="36"/>
        <v>1</v>
      </c>
      <c r="BC39">
        <f t="shared" si="37"/>
        <v>2011</v>
      </c>
      <c r="BD39" s="2">
        <f t="shared" si="41"/>
        <v>19915.93199303843</v>
      </c>
      <c r="BE39" s="2"/>
      <c r="BF39" s="2">
        <f t="shared" si="42"/>
        <v>19071.440285935165</v>
      </c>
      <c r="BG39" s="2">
        <f t="shared" si="42"/>
        <v>8869.235324386158</v>
      </c>
      <c r="BH39" s="2"/>
      <c r="BI39" s="2">
        <f t="shared" si="43"/>
        <v>16494.498679700937</v>
      </c>
      <c r="BJ39" s="2">
        <f t="shared" si="43"/>
        <v>32204.528230960208</v>
      </c>
      <c r="BK39" s="2">
        <f t="shared" si="38"/>
        <v>96555.634514020887</v>
      </c>
      <c r="BL39" s="2">
        <f t="shared" si="39"/>
        <v>0</v>
      </c>
      <c r="BM39" s="2"/>
    </row>
    <row r="40" spans="1:65" x14ac:dyDescent="0.25">
      <c r="A40">
        <f t="shared" si="6"/>
        <v>2012</v>
      </c>
      <c r="B40" s="2">
        <f t="shared" si="11"/>
        <v>23066.632434337109</v>
      </c>
      <c r="C40" s="2"/>
      <c r="D40" s="2">
        <f t="shared" si="12"/>
        <v>22084.727851112919</v>
      </c>
      <c r="E40" s="2">
        <f t="shared" si="13"/>
        <v>10469.245376905423</v>
      </c>
      <c r="F40" s="2"/>
      <c r="G40" s="2">
        <f t="shared" si="14"/>
        <v>19486.600740198686</v>
      </c>
      <c r="H40" s="2">
        <f t="shared" si="15"/>
        <v>33508.811624314098</v>
      </c>
      <c r="I40" s="2">
        <f t="shared" ref="I40:I42" si="46">SUM(B40:H40)</f>
        <v>108616.01802686823</v>
      </c>
      <c r="J40" s="2">
        <f t="shared" si="16"/>
        <v>6109.627579363063</v>
      </c>
      <c r="K40" s="6">
        <f t="shared" si="17"/>
        <v>5.9602406764014203E-2</v>
      </c>
      <c r="L40" s="7">
        <f t="shared" si="18"/>
        <v>1.0596024067640142</v>
      </c>
      <c r="N40">
        <f t="shared" si="19"/>
        <v>2012</v>
      </c>
      <c r="O40" s="2">
        <f t="shared" si="20"/>
        <v>6057.8695402869853</v>
      </c>
      <c r="P40" s="2"/>
      <c r="Q40" s="2"/>
      <c r="R40">
        <f t="shared" si="21"/>
        <v>2012</v>
      </c>
      <c r="S40" s="2">
        <f t="shared" si="7"/>
        <v>21855.05852627971</v>
      </c>
      <c r="T40" s="2"/>
      <c r="U40" s="2">
        <f t="shared" si="8"/>
        <v>20873.15394305552</v>
      </c>
      <c r="V40" s="2">
        <f t="shared" si="8"/>
        <v>9257.6714688480261</v>
      </c>
      <c r="W40" s="2"/>
      <c r="X40" s="2">
        <f t="shared" si="9"/>
        <v>18275.026832141288</v>
      </c>
      <c r="Y40" s="2">
        <f t="shared" si="9"/>
        <v>32297.237716256699</v>
      </c>
      <c r="Z40" s="2">
        <f t="shared" si="22"/>
        <v>102558.14848658125</v>
      </c>
      <c r="AA40" s="2">
        <f t="shared" si="23"/>
        <v>6002.5139725603658</v>
      </c>
      <c r="AB40" s="6">
        <f t="shared" si="24"/>
        <v>6.2166376957408301E-2</v>
      </c>
      <c r="AC40" s="7">
        <f t="shared" si="25"/>
        <v>1.0621663769574083</v>
      </c>
      <c r="AD40" s="2">
        <f t="shared" si="26"/>
        <v>0</v>
      </c>
      <c r="AE40" s="2"/>
      <c r="AG40">
        <f t="shared" si="27"/>
        <v>2012</v>
      </c>
      <c r="AH40" s="6">
        <f t="shared" si="5"/>
        <v>0.21309919152001106</v>
      </c>
      <c r="AI40" s="7"/>
      <c r="AJ40" s="6">
        <f t="shared" si="5"/>
        <v>0.20352506603399312</v>
      </c>
      <c r="AK40" s="6">
        <f t="shared" si="5"/>
        <v>9.0267537055422786E-2</v>
      </c>
      <c r="AL40" s="7"/>
      <c r="AM40" s="6">
        <f t="shared" si="5"/>
        <v>0.17819185605259244</v>
      </c>
      <c r="AN40" s="6">
        <f t="shared" si="5"/>
        <v>0.31491634933798052</v>
      </c>
      <c r="AO40" s="6">
        <f t="shared" si="28"/>
        <v>0.99999999999999989</v>
      </c>
      <c r="AP40" s="7">
        <f t="shared" si="29"/>
        <v>0.68508365066201937</v>
      </c>
      <c r="AQ40" s="7">
        <f t="shared" si="30"/>
        <v>0</v>
      </c>
      <c r="AR40" s="22"/>
      <c r="AS40">
        <f t="shared" si="31"/>
        <v>2012</v>
      </c>
      <c r="AT40" s="1" t="b">
        <f t="shared" si="32"/>
        <v>1</v>
      </c>
      <c r="AV40" s="1" t="b">
        <f t="shared" si="33"/>
        <v>1</v>
      </c>
      <c r="AW40" s="1" t="b">
        <f t="shared" si="34"/>
        <v>1</v>
      </c>
      <c r="AY40" s="1" t="b">
        <f t="shared" si="10"/>
        <v>1</v>
      </c>
      <c r="AZ40" s="1" t="b">
        <f t="shared" si="35"/>
        <v>1</v>
      </c>
      <c r="BA40" s="1" t="b">
        <f t="shared" si="36"/>
        <v>1</v>
      </c>
      <c r="BC40">
        <f t="shared" si="37"/>
        <v>2012</v>
      </c>
      <c r="BD40" s="2">
        <f t="shared" si="41"/>
        <v>21855.05852627971</v>
      </c>
      <c r="BE40" s="2"/>
      <c r="BF40" s="2">
        <f t="shared" si="42"/>
        <v>20873.15394305552</v>
      </c>
      <c r="BG40" s="2">
        <f t="shared" si="42"/>
        <v>9257.6714688480261</v>
      </c>
      <c r="BH40" s="2"/>
      <c r="BI40" s="2">
        <f t="shared" si="43"/>
        <v>18275.026832141288</v>
      </c>
      <c r="BJ40" s="2">
        <f t="shared" si="43"/>
        <v>32297.237716256699</v>
      </c>
      <c r="BK40" s="2">
        <f t="shared" si="38"/>
        <v>102558.14848658125</v>
      </c>
      <c r="BL40" s="2">
        <f t="shared" si="39"/>
        <v>0</v>
      </c>
      <c r="BM40" s="2"/>
    </row>
    <row r="41" spans="1:65" x14ac:dyDescent="0.25">
      <c r="A41">
        <f t="shared" si="6"/>
        <v>2013</v>
      </c>
      <c r="B41" s="2">
        <f t="shared" si="11"/>
        <v>28888.016360036523</v>
      </c>
      <c r="C41" s="2"/>
      <c r="D41" s="2">
        <f t="shared" si="12"/>
        <v>28178.757823124954</v>
      </c>
      <c r="E41" s="2">
        <f t="shared" si="13"/>
        <v>12740.407475428652</v>
      </c>
      <c r="F41" s="2"/>
      <c r="G41" s="2">
        <f t="shared" si="14"/>
        <v>21023.590867695337</v>
      </c>
      <c r="H41" s="2">
        <f t="shared" si="15"/>
        <v>31567.320143869299</v>
      </c>
      <c r="I41" s="2">
        <f t="shared" si="46"/>
        <v>122398.09267015476</v>
      </c>
      <c r="J41" s="2">
        <f t="shared" si="16"/>
        <v>13782.074643286527</v>
      </c>
      <c r="K41" s="6">
        <f t="shared" si="17"/>
        <v>0.12688804923669059</v>
      </c>
      <c r="L41" s="7">
        <f t="shared" si="18"/>
        <v>1.1268880492366906</v>
      </c>
      <c r="N41">
        <f t="shared" si="19"/>
        <v>2013</v>
      </c>
      <c r="O41" s="2">
        <f t="shared" si="20"/>
        <v>6127.8737782156004</v>
      </c>
      <c r="P41" s="2"/>
      <c r="Q41" s="2"/>
      <c r="R41">
        <f t="shared" si="21"/>
        <v>2013</v>
      </c>
      <c r="S41" s="2">
        <f t="shared" si="7"/>
        <v>27662.441604393403</v>
      </c>
      <c r="T41" s="2"/>
      <c r="U41" s="2">
        <f t="shared" si="8"/>
        <v>26953.183067481834</v>
      </c>
      <c r="V41" s="2">
        <f t="shared" si="8"/>
        <v>11514.832719785532</v>
      </c>
      <c r="W41" s="2"/>
      <c r="X41" s="2">
        <f t="shared" si="9"/>
        <v>19798.016112052217</v>
      </c>
      <c r="Y41" s="2">
        <f t="shared" si="9"/>
        <v>30341.74538822618</v>
      </c>
      <c r="Z41" s="2">
        <f t="shared" si="22"/>
        <v>116270.21889193918</v>
      </c>
      <c r="AA41" s="2">
        <f t="shared" si="23"/>
        <v>13712.070405357925</v>
      </c>
      <c r="AB41" s="6">
        <f t="shared" si="24"/>
        <v>0.13370044806485579</v>
      </c>
      <c r="AC41" s="7">
        <f t="shared" si="25"/>
        <v>1.1337004480648558</v>
      </c>
      <c r="AD41" s="2">
        <f t="shared" si="26"/>
        <v>0</v>
      </c>
      <c r="AE41" s="2"/>
      <c r="AG41">
        <f t="shared" si="27"/>
        <v>2013</v>
      </c>
      <c r="AH41" s="6">
        <f t="shared" si="5"/>
        <v>0.23791510730794019</v>
      </c>
      <c r="AI41" s="7"/>
      <c r="AJ41" s="6">
        <f t="shared" si="5"/>
        <v>0.23181501956689318</v>
      </c>
      <c r="AK41" s="6">
        <f t="shared" si="5"/>
        <v>9.9035099697260792E-2</v>
      </c>
      <c r="AL41" s="7"/>
      <c r="AM41" s="6">
        <f t="shared" si="5"/>
        <v>0.17027589954442565</v>
      </c>
      <c r="AN41" s="6">
        <f t="shared" si="5"/>
        <v>0.2609588738834801</v>
      </c>
      <c r="AO41" s="6">
        <f t="shared" si="28"/>
        <v>1</v>
      </c>
      <c r="AP41" s="7">
        <f t="shared" si="29"/>
        <v>0.73904112611651984</v>
      </c>
      <c r="AQ41" s="7">
        <f t="shared" si="30"/>
        <v>0</v>
      </c>
      <c r="AR41" s="22"/>
      <c r="AS41">
        <f t="shared" si="31"/>
        <v>2013</v>
      </c>
      <c r="AT41" s="1" t="b">
        <f t="shared" si="32"/>
        <v>1</v>
      </c>
      <c r="AV41" s="1" t="b">
        <f t="shared" si="33"/>
        <v>1</v>
      </c>
      <c r="AW41" s="1" t="b">
        <f t="shared" si="34"/>
        <v>1</v>
      </c>
      <c r="AY41" s="1" t="b">
        <f t="shared" si="10"/>
        <v>1</v>
      </c>
      <c r="AZ41" s="1" t="b">
        <f t="shared" si="35"/>
        <v>1</v>
      </c>
      <c r="BA41" s="1" t="b">
        <f t="shared" si="36"/>
        <v>1</v>
      </c>
      <c r="BC41">
        <f t="shared" si="37"/>
        <v>2013</v>
      </c>
      <c r="BD41" s="2">
        <f t="shared" si="41"/>
        <v>27662.441604393403</v>
      </c>
      <c r="BE41" s="2"/>
      <c r="BF41" s="2">
        <f t="shared" si="42"/>
        <v>26953.183067481834</v>
      </c>
      <c r="BG41" s="2">
        <f t="shared" si="42"/>
        <v>11514.832719785532</v>
      </c>
      <c r="BH41" s="2"/>
      <c r="BI41" s="2">
        <f t="shared" si="43"/>
        <v>19798.016112052217</v>
      </c>
      <c r="BJ41" s="2">
        <f t="shared" si="43"/>
        <v>30341.74538822618</v>
      </c>
      <c r="BK41" s="2">
        <f t="shared" si="38"/>
        <v>116270.21889193918</v>
      </c>
      <c r="BL41" s="2">
        <f t="shared" si="39"/>
        <v>0</v>
      </c>
      <c r="BM41" s="2"/>
    </row>
    <row r="42" spans="1:65" x14ac:dyDescent="0.25">
      <c r="A42">
        <f t="shared" si="6"/>
        <v>2014</v>
      </c>
      <c r="B42" s="2">
        <f t="shared" si="11"/>
        <v>31399.637465146952</v>
      </c>
      <c r="C42" s="2"/>
      <c r="D42" s="2">
        <f t="shared" si="12"/>
        <v>30618.815964659367</v>
      </c>
      <c r="E42" s="2">
        <f t="shared" si="13"/>
        <v>12363.475891233727</v>
      </c>
      <c r="F42" s="2"/>
      <c r="G42" s="2">
        <f t="shared" si="14"/>
        <v>18958.580228901203</v>
      </c>
      <c r="H42" s="2">
        <f t="shared" si="15"/>
        <v>32089.42992258801</v>
      </c>
      <c r="I42" s="2">
        <f t="shared" si="46"/>
        <v>125429.93947252927</v>
      </c>
      <c r="J42" s="2">
        <f t="shared" si="16"/>
        <v>3031.8468023745081</v>
      </c>
      <c r="K42" s="6">
        <f t="shared" si="17"/>
        <v>2.4770376206309837E-2</v>
      </c>
      <c r="L42" s="7">
        <f t="shared" si="18"/>
        <v>1.0247703762063098</v>
      </c>
      <c r="N42">
        <f t="shared" si="19"/>
        <v>2014</v>
      </c>
      <c r="O42" s="2">
        <f t="shared" si="20"/>
        <v>6206.9233499545808</v>
      </c>
      <c r="P42" s="2"/>
      <c r="Q42" s="2"/>
      <c r="R42">
        <f t="shared" si="21"/>
        <v>2014</v>
      </c>
      <c r="S42" s="2">
        <f t="shared" si="7"/>
        <v>30158.252795156037</v>
      </c>
      <c r="T42" s="2"/>
      <c r="U42" s="2">
        <f t="shared" si="8"/>
        <v>29377.431294668451</v>
      </c>
      <c r="V42" s="2">
        <f t="shared" si="8"/>
        <v>11122.091221242812</v>
      </c>
      <c r="W42" s="2"/>
      <c r="X42" s="2">
        <f t="shared" si="9"/>
        <v>17717.195558910287</v>
      </c>
      <c r="Y42" s="2">
        <f t="shared" si="9"/>
        <v>30848.045252597094</v>
      </c>
      <c r="Z42" s="2">
        <f t="shared" si="22"/>
        <v>119223.01612257467</v>
      </c>
      <c r="AA42" s="2">
        <f t="shared" si="23"/>
        <v>2952.7972306354932</v>
      </c>
      <c r="AB42" s="6">
        <f t="shared" si="24"/>
        <v>2.5395989263422687E-2</v>
      </c>
      <c r="AC42" s="7">
        <f t="shared" si="25"/>
        <v>1.0253959892634228</v>
      </c>
      <c r="AD42" s="2">
        <f t="shared" si="26"/>
        <v>0</v>
      </c>
      <c r="AE42" s="2"/>
      <c r="AG42">
        <f t="shared" si="27"/>
        <v>2014</v>
      </c>
      <c r="AH42" s="6">
        <f t="shared" si="5"/>
        <v>0.25295663350900266</v>
      </c>
      <c r="AI42" s="7"/>
      <c r="AJ42" s="6">
        <f t="shared" si="5"/>
        <v>0.2464073821489732</v>
      </c>
      <c r="AK42" s="6">
        <f t="shared" si="5"/>
        <v>9.3288121563776333E-2</v>
      </c>
      <c r="AL42" s="7"/>
      <c r="AM42" s="6">
        <f t="shared" si="5"/>
        <v>0.14860549695115091</v>
      </c>
      <c r="AN42" s="6">
        <f t="shared" si="5"/>
        <v>0.25874236582709698</v>
      </c>
      <c r="AO42" s="6">
        <f t="shared" si="28"/>
        <v>1</v>
      </c>
      <c r="AP42" s="7">
        <f t="shared" si="29"/>
        <v>0.74125763417290302</v>
      </c>
      <c r="AQ42" s="7">
        <f t="shared" si="30"/>
        <v>0</v>
      </c>
      <c r="AR42" s="22"/>
      <c r="AS42">
        <f t="shared" si="31"/>
        <v>2014</v>
      </c>
      <c r="AT42" s="35" t="b">
        <f t="shared" si="32"/>
        <v>0</v>
      </c>
      <c r="AV42" s="1" t="b">
        <f t="shared" si="33"/>
        <v>1</v>
      </c>
      <c r="AW42" s="1" t="b">
        <f t="shared" si="34"/>
        <v>1</v>
      </c>
      <c r="AY42" s="35" t="b">
        <f t="shared" si="10"/>
        <v>0</v>
      </c>
      <c r="AZ42" s="1" t="b">
        <f t="shared" si="35"/>
        <v>1</v>
      </c>
      <c r="BA42" s="1" t="b">
        <f t="shared" si="36"/>
        <v>1</v>
      </c>
      <c r="BC42">
        <f t="shared" si="37"/>
        <v>2014</v>
      </c>
      <c r="BD42" s="36">
        <f>BD$27*$Z42</f>
        <v>23844.603224514936</v>
      </c>
      <c r="BE42" s="2"/>
      <c r="BF42" s="36">
        <f>BF$27*$Z42</f>
        <v>23844.603224514936</v>
      </c>
      <c r="BG42" s="36">
        <f>BG$27*$Z42</f>
        <v>11922.301612257468</v>
      </c>
      <c r="BH42" s="2"/>
      <c r="BI42" s="36">
        <f>BI$27*$Z42</f>
        <v>23844.603224514936</v>
      </c>
      <c r="BJ42" s="36">
        <f>BJ$27*$Z42</f>
        <v>35766.904836772403</v>
      </c>
      <c r="BK42" s="2">
        <f t="shared" si="38"/>
        <v>119223.01612257467</v>
      </c>
      <c r="BL42" s="2">
        <f t="shared" si="39"/>
        <v>0</v>
      </c>
      <c r="BM42" s="2"/>
    </row>
    <row r="43" spans="1:65" x14ac:dyDescent="0.25">
      <c r="A43">
        <f t="shared" si="6"/>
        <v>2015</v>
      </c>
      <c r="B43" s="2">
        <f t="shared" si="11"/>
        <v>24142.660764821372</v>
      </c>
      <c r="C43" s="2"/>
      <c r="D43" s="2">
        <f t="shared" ref="D43:E45" si="47">BF42*(1+(D19/100))</f>
        <v>23496.47201743702</v>
      </c>
      <c r="E43" s="2">
        <f t="shared" si="47"/>
        <v>11471.638611314134</v>
      </c>
      <c r="F43" s="2"/>
      <c r="G43" s="2">
        <f t="shared" ref="G43:H45" si="48">BI42*(1+(G19/100))</f>
        <v>22802.594063603636</v>
      </c>
      <c r="H43" s="2">
        <f t="shared" si="48"/>
        <v>35874.205551282714</v>
      </c>
      <c r="I43" s="2">
        <f t="shared" ref="I43:I45" si="49">SUM(B43:H43)</f>
        <v>117787.57100845888</v>
      </c>
      <c r="J43" s="2">
        <f t="shared" si="16"/>
        <v>-7642.3684640703868</v>
      </c>
      <c r="K43" s="6">
        <f t="shared" si="17"/>
        <v>-6.0929380148063941E-2</v>
      </c>
      <c r="L43" s="7">
        <f t="shared" si="18"/>
        <v>0.93907061985193607</v>
      </c>
      <c r="N43">
        <f t="shared" si="19"/>
        <v>2015</v>
      </c>
      <c r="O43" s="2">
        <f t="shared" si="20"/>
        <v>6234.2338126943805</v>
      </c>
      <c r="P43" s="2"/>
      <c r="Q43" s="2"/>
      <c r="R43">
        <f t="shared" si="21"/>
        <v>2015</v>
      </c>
      <c r="S43" s="2">
        <f t="shared" si="7"/>
        <v>22895.814002282495</v>
      </c>
      <c r="T43" s="2"/>
      <c r="U43" s="2">
        <f t="shared" si="8"/>
        <v>22249.625254898143</v>
      </c>
      <c r="V43" s="2">
        <f t="shared" si="8"/>
        <v>10224.791848775258</v>
      </c>
      <c r="W43" s="2"/>
      <c r="X43" s="2">
        <f t="shared" si="9"/>
        <v>21555.747301064759</v>
      </c>
      <c r="Y43" s="2">
        <f t="shared" si="9"/>
        <v>34627.358788743841</v>
      </c>
      <c r="Z43" s="2">
        <f t="shared" si="22"/>
        <v>111553.3371957645</v>
      </c>
      <c r="AA43" s="2">
        <f t="shared" si="23"/>
        <v>-7669.6789268101711</v>
      </c>
      <c r="AB43" s="6">
        <f t="shared" si="24"/>
        <v>-6.4330522547130314E-2</v>
      </c>
      <c r="AC43" s="7">
        <f t="shared" si="25"/>
        <v>0.93566947745286966</v>
      </c>
      <c r="AD43" s="2">
        <f t="shared" si="26"/>
        <v>0</v>
      </c>
      <c r="AE43" s="2"/>
      <c r="AG43">
        <f t="shared" si="27"/>
        <v>2015</v>
      </c>
      <c r="AH43" s="6">
        <f t="shared" ref="AH43:AH45" si="50">S43/$Z43</f>
        <v>0.20524544202655923</v>
      </c>
      <c r="AI43" s="7"/>
      <c r="AJ43" s="6">
        <f t="shared" ref="AJ43:AK45" si="51">U43/$Z43</f>
        <v>0.19945279822379824</v>
      </c>
      <c r="AK43" s="6">
        <f t="shared" si="51"/>
        <v>9.1658323325924454E-2</v>
      </c>
      <c r="AL43" s="7"/>
      <c r="AM43" s="6">
        <f t="shared" ref="AM43:AN45" si="52">X43/$Z43</f>
        <v>0.19323265303337958</v>
      </c>
      <c r="AN43" s="6">
        <f t="shared" si="52"/>
        <v>0.31041078339033845</v>
      </c>
      <c r="AO43" s="6">
        <f t="shared" si="28"/>
        <v>1</v>
      </c>
      <c r="AP43" s="7">
        <f t="shared" si="29"/>
        <v>0.68958921660966155</v>
      </c>
      <c r="AQ43" s="7">
        <f t="shared" si="30"/>
        <v>0</v>
      </c>
      <c r="AR43" s="22"/>
      <c r="AS43">
        <f t="shared" si="31"/>
        <v>2015</v>
      </c>
      <c r="AT43" s="1" t="b">
        <f t="shared" si="32"/>
        <v>1</v>
      </c>
      <c r="AV43" s="1" t="b">
        <f t="shared" si="33"/>
        <v>1</v>
      </c>
      <c r="AW43" s="1" t="b">
        <f t="shared" si="34"/>
        <v>1</v>
      </c>
      <c r="AY43" s="1" t="b">
        <f t="shared" si="10"/>
        <v>1</v>
      </c>
      <c r="AZ43" s="1" t="b">
        <f t="shared" si="35"/>
        <v>1</v>
      </c>
      <c r="BA43" s="1" t="b">
        <f t="shared" si="36"/>
        <v>1</v>
      </c>
      <c r="BC43">
        <f t="shared" si="37"/>
        <v>2015</v>
      </c>
      <c r="BD43" s="2">
        <f t="shared" ref="BD43:BD45" si="53">S43</f>
        <v>22895.814002282495</v>
      </c>
      <c r="BE43" s="2"/>
      <c r="BF43" s="2">
        <f t="shared" ref="BF43:BG45" si="54">U43</f>
        <v>22249.625254898143</v>
      </c>
      <c r="BG43" s="2">
        <f t="shared" si="54"/>
        <v>10224.791848775258</v>
      </c>
      <c r="BH43" s="2"/>
      <c r="BI43" s="2">
        <f t="shared" ref="BI43:BJ45" si="55">X43</f>
        <v>21555.747301064759</v>
      </c>
      <c r="BJ43" s="2">
        <f t="shared" si="55"/>
        <v>34627.358788743841</v>
      </c>
      <c r="BK43" s="2">
        <f t="shared" si="38"/>
        <v>111553.3371957645</v>
      </c>
      <c r="BL43" s="2">
        <f t="shared" si="39"/>
        <v>0</v>
      </c>
      <c r="BM43" s="2"/>
    </row>
    <row r="44" spans="1:65" x14ac:dyDescent="0.25">
      <c r="A44">
        <f t="shared" ref="A44:A45" si="56">A20</f>
        <v>2016</v>
      </c>
      <c r="B44" s="2">
        <f t="shared" ref="B44:B45" si="57">BD43*(1+(B20/100))</f>
        <v>25602.09921735229</v>
      </c>
      <c r="C44" s="2"/>
      <c r="D44" s="2">
        <f t="shared" si="47"/>
        <v>24712.65877061537</v>
      </c>
      <c r="E44" s="2">
        <f t="shared" si="47"/>
        <v>12082.636527697721</v>
      </c>
      <c r="F44" s="2"/>
      <c r="G44" s="2">
        <f t="shared" si="48"/>
        <v>22558.089550564269</v>
      </c>
      <c r="H44" s="2">
        <f t="shared" si="48"/>
        <v>35493.042758462434</v>
      </c>
      <c r="I44" s="2">
        <f t="shared" si="49"/>
        <v>120448.52682469209</v>
      </c>
      <c r="J44" s="2">
        <f t="shared" si="16"/>
        <v>2660.9558162332105</v>
      </c>
      <c r="K44" s="6">
        <f t="shared" si="17"/>
        <v>2.2591142626093502E-2</v>
      </c>
      <c r="L44" s="7">
        <f t="shared" si="18"/>
        <v>1.0225911426260934</v>
      </c>
      <c r="N44">
        <f t="shared" si="19"/>
        <v>2016</v>
      </c>
      <c r="O44" s="2">
        <f t="shared" ref="O44:O45" si="58">O43*(1+O20)</f>
        <v>6340.2157875101848</v>
      </c>
      <c r="P44" s="2"/>
      <c r="Q44" s="2"/>
      <c r="R44">
        <f t="shared" si="21"/>
        <v>2016</v>
      </c>
      <c r="S44" s="2">
        <f t="shared" si="7"/>
        <v>24334.056059850252</v>
      </c>
      <c r="T44" s="2"/>
      <c r="U44" s="2">
        <f t="shared" ref="U44:V45" si="59">D44-($O44/5)</f>
        <v>23444.615613113332</v>
      </c>
      <c r="V44" s="2">
        <f t="shared" si="59"/>
        <v>10814.593370195684</v>
      </c>
      <c r="W44" s="2"/>
      <c r="X44" s="2">
        <f t="shared" ref="X44:Y45" si="60">G44-($O44/5)</f>
        <v>21290.046393062232</v>
      </c>
      <c r="Y44" s="2">
        <f t="shared" si="60"/>
        <v>34224.9996009604</v>
      </c>
      <c r="Z44" s="2">
        <f t="shared" si="22"/>
        <v>114108.31103718191</v>
      </c>
      <c r="AA44" s="2">
        <f t="shared" si="23"/>
        <v>2554.9738414174062</v>
      </c>
      <c r="AB44" s="6">
        <f t="shared" si="24"/>
        <v>2.2903607419056348E-2</v>
      </c>
      <c r="AC44" s="7">
        <f t="shared" si="25"/>
        <v>1.0229036074190563</v>
      </c>
      <c r="AD44" s="2">
        <f t="shared" si="26"/>
        <v>0</v>
      </c>
      <c r="AE44" s="2"/>
      <c r="AG44">
        <f t="shared" si="27"/>
        <v>2016</v>
      </c>
      <c r="AH44" s="6">
        <f t="shared" si="50"/>
        <v>0.21325402013812178</v>
      </c>
      <c r="AI44" s="7"/>
      <c r="AJ44" s="6">
        <f t="shared" si="51"/>
        <v>0.20545931667916778</v>
      </c>
      <c r="AK44" s="6">
        <f t="shared" si="51"/>
        <v>9.4774808880238148E-2</v>
      </c>
      <c r="AL44" s="7"/>
      <c r="AM44" s="6">
        <f t="shared" si="52"/>
        <v>0.18657752620775295</v>
      </c>
      <c r="AN44" s="6">
        <f t="shared" si="52"/>
        <v>0.29993432809471932</v>
      </c>
      <c r="AO44" s="6">
        <f t="shared" si="28"/>
        <v>1</v>
      </c>
      <c r="AP44" s="7">
        <f t="shared" si="29"/>
        <v>0.70006567190528068</v>
      </c>
      <c r="AQ44" s="7">
        <f t="shared" si="30"/>
        <v>0</v>
      </c>
      <c r="AR44" s="22"/>
      <c r="AS44">
        <f t="shared" si="31"/>
        <v>2016</v>
      </c>
      <c r="AT44" s="1" t="b">
        <f t="shared" si="32"/>
        <v>1</v>
      </c>
      <c r="AV44" s="1" t="b">
        <f t="shared" si="33"/>
        <v>1</v>
      </c>
      <c r="AW44" s="1" t="b">
        <f t="shared" si="34"/>
        <v>1</v>
      </c>
      <c r="AY44" s="1" t="b">
        <f t="shared" si="10"/>
        <v>1</v>
      </c>
      <c r="AZ44" s="1" t="b">
        <f t="shared" si="35"/>
        <v>1</v>
      </c>
      <c r="BA44" s="1" t="b">
        <f t="shared" si="36"/>
        <v>1</v>
      </c>
      <c r="BC44">
        <f t="shared" si="37"/>
        <v>2016</v>
      </c>
      <c r="BD44" s="2">
        <f t="shared" si="53"/>
        <v>24334.056059850252</v>
      </c>
      <c r="BE44" s="2"/>
      <c r="BF44" s="2">
        <f t="shared" si="54"/>
        <v>23444.615613113332</v>
      </c>
      <c r="BG44" s="2">
        <f t="shared" si="54"/>
        <v>10814.593370195684</v>
      </c>
      <c r="BH44" s="2"/>
      <c r="BI44" s="2">
        <f t="shared" si="55"/>
        <v>21290.046393062232</v>
      </c>
      <c r="BJ44" s="2">
        <f t="shared" si="55"/>
        <v>34224.9996009604</v>
      </c>
      <c r="BK44" s="2">
        <f t="shared" si="38"/>
        <v>114108.31103718191</v>
      </c>
      <c r="BL44" s="2">
        <f t="shared" si="39"/>
        <v>0</v>
      </c>
      <c r="BM44" s="2"/>
    </row>
    <row r="45" spans="1:65" x14ac:dyDescent="0.25">
      <c r="A45">
        <f t="shared" si="56"/>
        <v>2017</v>
      </c>
      <c r="B45" s="2">
        <f t="shared" si="57"/>
        <v>29607.2460080198</v>
      </c>
      <c r="C45" s="2"/>
      <c r="D45" s="2">
        <f t="shared" si="47"/>
        <v>28039.760273283544</v>
      </c>
      <c r="E45" s="2">
        <f t="shared" si="47"/>
        <v>12555.742902797188</v>
      </c>
      <c r="F45" s="2"/>
      <c r="G45" s="2">
        <f t="shared" si="48"/>
        <v>27123.519104761283</v>
      </c>
      <c r="H45" s="2">
        <f t="shared" si="48"/>
        <v>35409.184587153628</v>
      </c>
      <c r="I45" s="2">
        <f t="shared" si="49"/>
        <v>132735.45287601545</v>
      </c>
      <c r="J45" s="2">
        <f t="shared" si="16"/>
        <v>12286.92605132336</v>
      </c>
      <c r="K45" s="6">
        <f t="shared" si="17"/>
        <v>0.10200976612363619</v>
      </c>
      <c r="L45" s="7">
        <f t="shared" si="18"/>
        <v>1.1020097661236361</v>
      </c>
      <c r="N45">
        <f t="shared" si="19"/>
        <v>2017</v>
      </c>
      <c r="O45" s="2">
        <f t="shared" si="58"/>
        <v>6481.6025995716618</v>
      </c>
      <c r="P45" s="2"/>
      <c r="Q45" s="2"/>
      <c r="R45">
        <f t="shared" si="21"/>
        <v>2017</v>
      </c>
      <c r="S45" s="2">
        <f t="shared" si="7"/>
        <v>28310.925488105466</v>
      </c>
      <c r="T45" s="2"/>
      <c r="U45" s="2">
        <f t="shared" si="59"/>
        <v>26743.43975336921</v>
      </c>
      <c r="V45" s="2">
        <f t="shared" si="59"/>
        <v>11259.422382882856</v>
      </c>
      <c r="W45" s="2"/>
      <c r="X45" s="2">
        <f t="shared" si="60"/>
        <v>25827.198584846949</v>
      </c>
      <c r="Y45" s="2">
        <f t="shared" si="60"/>
        <v>34112.864067239294</v>
      </c>
      <c r="Z45" s="2">
        <f t="shared" si="22"/>
        <v>126253.85027644377</v>
      </c>
      <c r="AA45" s="2">
        <f t="shared" si="23"/>
        <v>12145.539239261867</v>
      </c>
      <c r="AB45" s="6">
        <f t="shared" si="24"/>
        <v>0.10643869082686075</v>
      </c>
      <c r="AC45" s="7">
        <f t="shared" si="25"/>
        <v>1.1064386908268609</v>
      </c>
      <c r="AD45" s="2">
        <f t="shared" si="26"/>
        <v>0</v>
      </c>
      <c r="AE45" s="2"/>
      <c r="AG45">
        <f t="shared" si="27"/>
        <v>2017</v>
      </c>
      <c r="AH45" s="6">
        <f t="shared" si="50"/>
        <v>0.2242381157177879</v>
      </c>
      <c r="AI45" s="7"/>
      <c r="AJ45" s="6">
        <f t="shared" si="51"/>
        <v>0.21182276575971445</v>
      </c>
      <c r="AK45" s="6">
        <f t="shared" si="51"/>
        <v>8.9180823857881342E-2</v>
      </c>
      <c r="AL45" s="7"/>
      <c r="AM45" s="6">
        <f t="shared" si="52"/>
        <v>0.20456563129200458</v>
      </c>
      <c r="AN45" s="6">
        <f t="shared" si="52"/>
        <v>0.27019266337261172</v>
      </c>
      <c r="AO45" s="6">
        <f t="shared" si="28"/>
        <v>1</v>
      </c>
      <c r="AP45" s="7">
        <f t="shared" si="29"/>
        <v>0.72980733662738828</v>
      </c>
      <c r="AQ45" s="7">
        <f t="shared" si="30"/>
        <v>0</v>
      </c>
      <c r="AR45" s="22"/>
      <c r="AS45">
        <f t="shared" si="31"/>
        <v>2017</v>
      </c>
      <c r="AT45" s="1" t="b">
        <f t="shared" si="32"/>
        <v>1</v>
      </c>
      <c r="AV45" s="1" t="b">
        <f t="shared" si="33"/>
        <v>1</v>
      </c>
      <c r="AW45" s="1" t="b">
        <f t="shared" si="34"/>
        <v>1</v>
      </c>
      <c r="AY45" s="1" t="b">
        <f t="shared" si="10"/>
        <v>1</v>
      </c>
      <c r="AZ45" s="1" t="b">
        <f t="shared" si="35"/>
        <v>1</v>
      </c>
      <c r="BA45" s="1" t="b">
        <f t="shared" si="36"/>
        <v>1</v>
      </c>
      <c r="BC45">
        <f t="shared" si="37"/>
        <v>2017</v>
      </c>
      <c r="BD45" s="2">
        <f t="shared" si="53"/>
        <v>28310.925488105466</v>
      </c>
      <c r="BE45" s="2"/>
      <c r="BF45" s="2">
        <f t="shared" si="54"/>
        <v>26743.43975336921</v>
      </c>
      <c r="BG45" s="2">
        <f t="shared" si="54"/>
        <v>11259.422382882856</v>
      </c>
      <c r="BH45" s="2"/>
      <c r="BI45" s="2">
        <f t="shared" si="55"/>
        <v>25827.198584846949</v>
      </c>
      <c r="BJ45" s="2">
        <f t="shared" si="55"/>
        <v>34112.864067239294</v>
      </c>
      <c r="BK45" s="2">
        <f t="shared" si="38"/>
        <v>126253.85027644377</v>
      </c>
      <c r="BL45" s="2">
        <f t="shared" si="39"/>
        <v>0</v>
      </c>
      <c r="BM45" s="2"/>
    </row>
    <row r="46" spans="1:65" x14ac:dyDescent="0.25">
      <c r="A46" s="9" t="s">
        <v>41</v>
      </c>
      <c r="B46" s="10">
        <f>BD45</f>
        <v>28310.925488105466</v>
      </c>
      <c r="C46" s="10"/>
      <c r="D46" s="10">
        <f>BF45</f>
        <v>26743.43975336921</v>
      </c>
      <c r="E46" s="10">
        <f>BG45</f>
        <v>11259.422382882856</v>
      </c>
      <c r="F46" s="10"/>
      <c r="G46" s="10">
        <f>BI45</f>
        <v>25827.198584846949</v>
      </c>
      <c r="H46" s="10">
        <f>BJ45</f>
        <v>34112.864067239294</v>
      </c>
      <c r="I46" s="10">
        <f>SUM(B46:H46)</f>
        <v>126253.85027644377</v>
      </c>
      <c r="J46" s="10"/>
      <c r="K46" s="10"/>
      <c r="N46" t="s">
        <v>68</v>
      </c>
      <c r="O46" s="2">
        <f>O42</f>
        <v>6206.9233499545808</v>
      </c>
      <c r="P46" s="2"/>
      <c r="R46" s="9" t="s">
        <v>41</v>
      </c>
      <c r="S46" s="10">
        <f>S45</f>
        <v>28310.925488105466</v>
      </c>
      <c r="T46" s="10"/>
      <c r="U46" s="10">
        <f>U45</f>
        <v>26743.43975336921</v>
      </c>
      <c r="V46" s="10">
        <f>V45</f>
        <v>11259.422382882856</v>
      </c>
      <c r="W46" s="10"/>
      <c r="X46" s="10">
        <f>X45</f>
        <v>25827.198584846949</v>
      </c>
      <c r="Y46" s="10">
        <f>Y45</f>
        <v>34112.864067239294</v>
      </c>
      <c r="Z46" s="10">
        <f>SUM(S46:Y46)</f>
        <v>126253.85027644377</v>
      </c>
      <c r="AA46" s="10"/>
      <c r="AB46" s="10"/>
      <c r="AD46" s="40"/>
      <c r="AE46" s="40"/>
      <c r="AK46" s="7"/>
    </row>
    <row r="47" spans="1:65" x14ac:dyDescent="0.25">
      <c r="A47" s="11" t="s">
        <v>28</v>
      </c>
      <c r="I47" s="6">
        <f>(Z46-Z27)/Z27</f>
        <v>0.26253850276443774</v>
      </c>
      <c r="K47" s="6"/>
      <c r="N47" t="s">
        <v>114</v>
      </c>
      <c r="O47" s="2">
        <f>SUM(O28:O45)</f>
        <v>100384.98681376441</v>
      </c>
      <c r="P47" s="2"/>
      <c r="AB47" s="6"/>
    </row>
    <row r="48" spans="1:65" x14ac:dyDescent="0.25">
      <c r="A48" s="1" t="s">
        <v>29</v>
      </c>
      <c r="I48" s="12">
        <f>STDEV(AC28:AC45)</f>
        <v>0.1250577155092176</v>
      </c>
    </row>
    <row r="49" spans="1:16" x14ac:dyDescent="0.25">
      <c r="A49" s="1" t="s">
        <v>30</v>
      </c>
      <c r="I49" s="13">
        <f>((1+I47)^(1/16))-1</f>
        <v>1.46769375323339E-2</v>
      </c>
    </row>
    <row r="50" spans="1:16" x14ac:dyDescent="0.25">
      <c r="A50" s="1" t="s">
        <v>45</v>
      </c>
      <c r="I50" s="28">
        <f>AA36</f>
        <v>-36488.849428593443</v>
      </c>
      <c r="O50" s="2"/>
      <c r="P50" s="2"/>
    </row>
    <row r="51" spans="1:16" x14ac:dyDescent="0.25">
      <c r="A51" s="1" t="s">
        <v>46</v>
      </c>
      <c r="I51" s="29">
        <f>AB36</f>
        <v>-0.31459550599083091</v>
      </c>
    </row>
    <row r="52" spans="1:16" x14ac:dyDescent="0.25">
      <c r="A52" s="1" t="s">
        <v>22</v>
      </c>
      <c r="I52" s="2">
        <f>O47</f>
        <v>100384.98681376441</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B2C1-7490-4755-8DA8-D68C36778459}">
  <dimension ref="A1:CH56"/>
  <sheetViews>
    <sheetView workbookViewId="0">
      <selection activeCell="O28" sqref="O2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95</v>
      </c>
      <c r="N1" s="18" t="s">
        <v>67</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86"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86"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4" spans="1:86" x14ac:dyDescent="0.25">
      <c r="A24" s="18" t="s">
        <v>14</v>
      </c>
      <c r="N24" s="18" t="s">
        <v>119</v>
      </c>
      <c r="R24" s="18" t="s">
        <v>20</v>
      </c>
      <c r="AG24" s="18" t="s">
        <v>21</v>
      </c>
      <c r="AT24" s="18" t="s">
        <v>25</v>
      </c>
      <c r="BN24" s="18" t="s">
        <v>121</v>
      </c>
    </row>
    <row r="25" spans="1:86"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O25" s="68">
        <v>4.4999999999999998E-2</v>
      </c>
      <c r="S25" s="4" t="str">
        <f t="shared" ref="S25:Z27"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5" t="s">
        <v>7</v>
      </c>
      <c r="AT25" s="4" t="str">
        <f>AH25</f>
        <v>LC Stocks</v>
      </c>
      <c r="AU25" s="4" t="str">
        <f t="shared" ref="AU25:BA26" si="3">AI25</f>
        <v>Ext Mkt</v>
      </c>
      <c r="AV25" s="4" t="str">
        <f t="shared" si="3"/>
        <v>Mcap Stk</v>
      </c>
      <c r="AW25" s="4" t="str">
        <f t="shared" si="3"/>
        <v>Small Cap</v>
      </c>
      <c r="AX25" s="4" t="str">
        <f t="shared" si="3"/>
        <v>Intl Val</v>
      </c>
      <c r="AY25" s="4" t="str">
        <f t="shared" si="3"/>
        <v>Tot Int Stk</v>
      </c>
      <c r="AZ25" s="4" t="str">
        <f t="shared" si="3"/>
        <v>Bonds</v>
      </c>
      <c r="BA25" s="4">
        <f t="shared" si="3"/>
        <v>0</v>
      </c>
      <c r="BB25" t="s">
        <v>51</v>
      </c>
      <c r="BO25" s="4" t="str">
        <f t="shared" ref="BO25:BU27" si="4">AH25</f>
        <v>LC Stocks</v>
      </c>
      <c r="BP25" s="4" t="str">
        <f t="shared" si="4"/>
        <v>Ext Mkt</v>
      </c>
      <c r="BQ25" s="4" t="str">
        <f t="shared" si="4"/>
        <v>Mcap Stk</v>
      </c>
      <c r="BR25" s="4" t="str">
        <f t="shared" si="4"/>
        <v>Small Cap</v>
      </c>
      <c r="BS25" s="4" t="str">
        <f t="shared" si="4"/>
        <v>Intl Val</v>
      </c>
      <c r="BT25" s="4" t="str">
        <f t="shared" si="4"/>
        <v>Tot Int Stk</v>
      </c>
      <c r="BU25" s="4" t="str">
        <f t="shared" si="4"/>
        <v>Bonds</v>
      </c>
      <c r="BV25" s="5"/>
    </row>
    <row r="26" spans="1:86"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5" t="s">
        <v>50</v>
      </c>
      <c r="AS26" t="s">
        <v>116</v>
      </c>
      <c r="AT26" s="4" t="str">
        <f>AH26</f>
        <v>VFINX</v>
      </c>
      <c r="AU26" s="4" t="str">
        <f t="shared" si="3"/>
        <v>VEXMX</v>
      </c>
      <c r="AV26" s="4" t="str">
        <f t="shared" si="3"/>
        <v>VIMSX</v>
      </c>
      <c r="AW26" s="4" t="str">
        <f t="shared" si="3"/>
        <v>NAESX</v>
      </c>
      <c r="AX26" s="4" t="str">
        <f t="shared" si="3"/>
        <v>VTRIX</v>
      </c>
      <c r="AY26" s="4" t="str">
        <f t="shared" si="3"/>
        <v>VGTSX</v>
      </c>
      <c r="AZ26" s="4" t="str">
        <f t="shared" si="3"/>
        <v>VBMFX</v>
      </c>
      <c r="BA26" s="4" t="str">
        <f t="shared" si="3"/>
        <v>Total</v>
      </c>
      <c r="BB26" t="s">
        <v>50</v>
      </c>
      <c r="BN26" t="str">
        <f t="shared" ref="BN26:BN42" si="5">AG26</f>
        <v>Fund</v>
      </c>
      <c r="BO26" s="4" t="str">
        <f t="shared" si="4"/>
        <v>VFINX</v>
      </c>
      <c r="BP26" s="4" t="str">
        <f t="shared" si="4"/>
        <v>VEXMX</v>
      </c>
      <c r="BQ26" s="4" t="str">
        <f t="shared" si="4"/>
        <v>VIMSX</v>
      </c>
      <c r="BR26" s="4" t="str">
        <f t="shared" si="4"/>
        <v>NAESX</v>
      </c>
      <c r="BS26" s="4" t="str">
        <f t="shared" si="4"/>
        <v>VTRIX</v>
      </c>
      <c r="BT26" s="4" t="str">
        <f t="shared" si="4"/>
        <v>VGTSX</v>
      </c>
      <c r="BU26" s="4" t="str">
        <f t="shared" si="4"/>
        <v>VBMFX</v>
      </c>
      <c r="BV26" s="4" t="str">
        <f>AO26</f>
        <v>Total</v>
      </c>
    </row>
    <row r="27" spans="1:86"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N27" s="19"/>
      <c r="R27" t="str">
        <f>A27</f>
        <v>Stating Balance</v>
      </c>
      <c r="S27" s="2">
        <f>B27</f>
        <v>20000</v>
      </c>
      <c r="T27" s="2">
        <f t="shared" si="1"/>
        <v>0</v>
      </c>
      <c r="U27" s="2">
        <f t="shared" si="1"/>
        <v>20000</v>
      </c>
      <c r="V27" s="2">
        <f t="shared" si="1"/>
        <v>10000</v>
      </c>
      <c r="W27" s="2">
        <f t="shared" si="1"/>
        <v>0</v>
      </c>
      <c r="X27" s="2">
        <f t="shared" si="1"/>
        <v>20000</v>
      </c>
      <c r="Y27" s="2">
        <f t="shared" si="1"/>
        <v>30000</v>
      </c>
      <c r="Z27" s="2">
        <f t="shared" si="1"/>
        <v>100000</v>
      </c>
      <c r="AD27" s="2"/>
      <c r="AE27" s="2"/>
      <c r="AG27" s="19" t="s">
        <v>49</v>
      </c>
      <c r="AH27" s="6">
        <f t="shared" ref="AH27:AN42" si="6">S27/$Z27</f>
        <v>0.2</v>
      </c>
      <c r="AI27" s="6"/>
      <c r="AJ27" s="6">
        <f t="shared" si="6"/>
        <v>0.2</v>
      </c>
      <c r="AK27" s="6">
        <f t="shared" si="6"/>
        <v>0.1</v>
      </c>
      <c r="AL27" s="6"/>
      <c r="AM27" s="6">
        <f t="shared" si="6"/>
        <v>0.2</v>
      </c>
      <c r="AN27" s="6">
        <f>Y27/$Z27</f>
        <v>0.3</v>
      </c>
      <c r="AO27" s="55">
        <f>SUM(AH27:AN27)</f>
        <v>1</v>
      </c>
      <c r="AP27" s="22"/>
      <c r="AS27" s="19" t="str">
        <f t="shared" ref="AS27" si="7">BN27</f>
        <v>Target Allocation</v>
      </c>
      <c r="AT27" s="22">
        <f>AH27</f>
        <v>0.2</v>
      </c>
      <c r="AU27" s="22"/>
      <c r="AV27" s="22">
        <f>AJ27</f>
        <v>0.2</v>
      </c>
      <c r="AW27" s="22">
        <f>AK27</f>
        <v>0.1</v>
      </c>
      <c r="AX27" s="22"/>
      <c r="AY27" s="22">
        <f>AM27</f>
        <v>0.2</v>
      </c>
      <c r="AZ27" s="22">
        <f>AN27</f>
        <v>0.3</v>
      </c>
      <c r="BA27" s="22">
        <f>AO27</f>
        <v>1</v>
      </c>
      <c r="BB27" s="2"/>
      <c r="BC27" s="2"/>
      <c r="BM27" s="22"/>
      <c r="BN27" s="19" t="str">
        <f t="shared" si="5"/>
        <v>Target Allocation</v>
      </c>
      <c r="BO27" s="22">
        <f t="shared" si="4"/>
        <v>0.2</v>
      </c>
      <c r="BP27" s="22">
        <f t="shared" si="4"/>
        <v>0</v>
      </c>
      <c r="BQ27" s="23">
        <f t="shared" si="4"/>
        <v>0.2</v>
      </c>
      <c r="BR27" s="23">
        <f t="shared" si="4"/>
        <v>0.1</v>
      </c>
      <c r="BS27" s="22">
        <f t="shared" si="4"/>
        <v>0</v>
      </c>
      <c r="BT27" s="23">
        <f t="shared" si="4"/>
        <v>0.2</v>
      </c>
      <c r="BU27" s="22">
        <f t="shared" si="4"/>
        <v>0.3</v>
      </c>
      <c r="BV27" s="22">
        <f>AO27</f>
        <v>1</v>
      </c>
    </row>
    <row r="28" spans="1:86" x14ac:dyDescent="0.25">
      <c r="A28">
        <f t="shared" ref="A28:A43" si="8">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N28">
        <f>A28</f>
        <v>2000</v>
      </c>
      <c r="O28" s="2">
        <f>I28*O25</f>
        <v>4582.5884999999998</v>
      </c>
      <c r="P28" s="2"/>
      <c r="Q28" s="2"/>
      <c r="R28">
        <f>A28</f>
        <v>2000</v>
      </c>
      <c r="S28" s="2">
        <f t="shared" ref="S28:S45" si="9">B28-($O28/5)</f>
        <v>17271.4823</v>
      </c>
      <c r="T28" s="2"/>
      <c r="U28" s="2">
        <f t="shared" ref="U28:V43" si="10">D28-($O28/5)</f>
        <v>22703.082299999998</v>
      </c>
      <c r="V28" s="2">
        <f t="shared" si="10"/>
        <v>8816.9822999999997</v>
      </c>
      <c r="W28" s="2"/>
      <c r="X28" s="2">
        <f t="shared" ref="X28:Y43" si="11">G28-($O28/5)</f>
        <v>15960.6823</v>
      </c>
      <c r="Y28" s="2">
        <f t="shared" si="11"/>
        <v>32500.4823</v>
      </c>
      <c r="Z28" s="2">
        <f>SUM(S28:Y28)</f>
        <v>97252.711500000005</v>
      </c>
      <c r="AA28" s="2">
        <f>Z28-Z27</f>
        <v>-2747.2884999999951</v>
      </c>
      <c r="AB28" s="6">
        <f>(AA28/Z27)</f>
        <v>-2.747288499999995E-2</v>
      </c>
      <c r="AC28" s="7">
        <f>AB28+1</f>
        <v>0.972527115</v>
      </c>
      <c r="AD28" s="2">
        <f>Z28-(I28-O28)</f>
        <v>0</v>
      </c>
      <c r="AE28" s="2"/>
      <c r="AG28">
        <f t="shared" ref="AG28:AG45" si="12">A28</f>
        <v>2000</v>
      </c>
      <c r="AH28" s="6">
        <f t="shared" si="6"/>
        <v>0.17759383809057086</v>
      </c>
      <c r="AI28" s="6"/>
      <c r="AJ28" s="6">
        <f t="shared" si="6"/>
        <v>0.23344420890516762</v>
      </c>
      <c r="AK28" s="6">
        <f t="shared" si="6"/>
        <v>9.0660529295370842E-2</v>
      </c>
      <c r="AL28" s="6"/>
      <c r="AM28" s="6">
        <f t="shared" si="6"/>
        <v>0.1641155506497112</v>
      </c>
      <c r="AN28" s="6">
        <f t="shared" si="6"/>
        <v>0.33418587305917941</v>
      </c>
      <c r="AO28" s="55">
        <f t="shared" ref="AO28:AO45" si="13">SUM(AH28:AN28)</f>
        <v>1</v>
      </c>
      <c r="AP28" s="7">
        <f>SUM(AH28:AM28)</f>
        <v>0.66581412694082054</v>
      </c>
      <c r="AQ28" s="7">
        <f>AO28-(AP28+AN28)</f>
        <v>0</v>
      </c>
      <c r="AS28">
        <f>A28</f>
        <v>2000</v>
      </c>
      <c r="AT28" s="2">
        <f>S28</f>
        <v>17271.4823</v>
      </c>
      <c r="AU28" s="2"/>
      <c r="AV28" s="2">
        <f>U28</f>
        <v>22703.082299999998</v>
      </c>
      <c r="AW28" s="2">
        <f>V28</f>
        <v>8816.9822999999997</v>
      </c>
      <c r="AX28" s="2"/>
      <c r="AY28" s="2">
        <f>X28</f>
        <v>15960.6823</v>
      </c>
      <c r="AZ28" s="2">
        <f>Y28</f>
        <v>32500.4823</v>
      </c>
      <c r="BA28" s="2">
        <f t="shared" ref="BA28:BA45" si="14">Z28</f>
        <v>97252.711500000005</v>
      </c>
      <c r="BB28" s="2">
        <f t="shared" ref="BB28:BB45" si="15">SUM(AT28:AZ28)-Z28</f>
        <v>0</v>
      </c>
      <c r="BC28" s="2"/>
      <c r="BM28" s="22"/>
      <c r="BN28">
        <f t="shared" si="5"/>
        <v>2000</v>
      </c>
      <c r="BO28" s="1" t="b">
        <f>AND((S28/$Z28)&gt;0.15,(S28/$Z28)&lt;0.25)</f>
        <v>1</v>
      </c>
      <c r="BP28" s="1" t="b">
        <f>AND((T28/$Z28)&gt;0.25,(T28/$Z28)&lt;0.35)</f>
        <v>0</v>
      </c>
      <c r="BS28" s="1" t="b">
        <f t="shared" ref="BS28:BS36" si="16">AND((W28/$Z28)&gt;0.15,(W28/$Z28)&lt;0.25)</f>
        <v>0</v>
      </c>
      <c r="BU28" s="1" t="b">
        <f>AND((Y28/$Z28)&gt;0.25,(Y28/$Z28)&lt;0.35)</f>
        <v>1</v>
      </c>
      <c r="BV28" s="1" t="b">
        <f>AND((Z28/$Z28)&gt;0.999,(Z28/$Z28)&lt;1.01)</f>
        <v>1</v>
      </c>
      <c r="CH28" s="2"/>
    </row>
    <row r="29" spans="1:86" x14ac:dyDescent="0.25">
      <c r="A29">
        <f t="shared" si="8"/>
        <v>2001</v>
      </c>
      <c r="B29" s="2">
        <f>AT28*(1+(B5/100))</f>
        <v>15195.45012754</v>
      </c>
      <c r="C29" s="2"/>
      <c r="D29" s="2">
        <f t="shared" ref="D29:E32" si="17">AV28*(1+(D5/100))</f>
        <v>22589.793919322998</v>
      </c>
      <c r="E29" s="2">
        <f t="shared" si="17"/>
        <v>9090.3087512999991</v>
      </c>
      <c r="F29" s="2"/>
      <c r="G29" s="2">
        <f t="shared" ref="G29:H32" si="18">AY28*(1+(G5/100))</f>
        <v>12744.125996081</v>
      </c>
      <c r="H29" s="2">
        <f t="shared" si="18"/>
        <v>35240.272957890003</v>
      </c>
      <c r="I29" s="2">
        <f>SUM(B29:H29)</f>
        <v>94859.951752133988</v>
      </c>
      <c r="J29" s="2">
        <f t="shared" ref="J29:J45" si="19">I29-I28</f>
        <v>-6975.3482478660153</v>
      </c>
      <c r="K29" s="6">
        <f t="shared" ref="K29:K45" si="20">(J29/I28)</f>
        <v>-6.8496368625280385E-2</v>
      </c>
      <c r="L29" s="7">
        <f t="shared" ref="L29:L45" si="21">K29+1</f>
        <v>0.93150363137471959</v>
      </c>
      <c r="N29">
        <f t="shared" ref="N29:N45" si="22">A29</f>
        <v>2001</v>
      </c>
      <c r="O29" s="2">
        <f t="shared" ref="O29:O43" si="23">O28*(1+O5)</f>
        <v>4655.9099159999996</v>
      </c>
      <c r="P29" s="2"/>
      <c r="Q29" s="2"/>
      <c r="R29">
        <f t="shared" ref="R29:R45" si="24">A29</f>
        <v>2001</v>
      </c>
      <c r="S29" s="2">
        <f t="shared" si="9"/>
        <v>14264.26814434</v>
      </c>
      <c r="T29" s="2"/>
      <c r="U29" s="2">
        <f t="shared" si="10"/>
        <v>21658.611936122998</v>
      </c>
      <c r="V29" s="2">
        <f t="shared" si="10"/>
        <v>8159.126768099999</v>
      </c>
      <c r="W29" s="2"/>
      <c r="X29" s="2">
        <f t="shared" si="11"/>
        <v>11812.944012881</v>
      </c>
      <c r="Y29" s="2">
        <f t="shared" si="11"/>
        <v>34309.090974690007</v>
      </c>
      <c r="Z29" s="2">
        <f>SUM(S29:Y29)</f>
        <v>90204.041836134013</v>
      </c>
      <c r="AA29" s="2">
        <f t="shared" ref="AA29:AA45" si="25">Z29-Z28</f>
        <v>-7048.6696638659923</v>
      </c>
      <c r="AB29" s="6">
        <f t="shared" ref="AB29:AB45" si="26">(AA29/Z28)</f>
        <v>-7.247787290605251E-2</v>
      </c>
      <c r="AC29" s="7">
        <f t="shared" ref="AC29:AC45" si="27">AB29+1</f>
        <v>0.92752212709394755</v>
      </c>
      <c r="AD29" s="2">
        <f>Z29-(I29-O29)</f>
        <v>0</v>
      </c>
      <c r="AE29" s="2"/>
      <c r="AG29">
        <f t="shared" si="12"/>
        <v>2001</v>
      </c>
      <c r="AH29" s="6">
        <f t="shared" si="6"/>
        <v>0.15813335914872506</v>
      </c>
      <c r="AI29" s="6"/>
      <c r="AJ29" s="6">
        <f t="shared" si="6"/>
        <v>0.24010688983835501</v>
      </c>
      <c r="AK29" s="6">
        <f t="shared" si="6"/>
        <v>9.0451897742254039E-2</v>
      </c>
      <c r="AL29" s="6"/>
      <c r="AM29" s="6">
        <f t="shared" si="6"/>
        <v>0.13095803438986212</v>
      </c>
      <c r="AN29" s="6">
        <f t="shared" si="6"/>
        <v>0.38034981888080366</v>
      </c>
      <c r="AO29" s="55">
        <f t="shared" si="13"/>
        <v>0.99999999999999989</v>
      </c>
      <c r="AP29" s="7">
        <f t="shared" ref="AP29:AP45" si="28">SUM(AH29:AM29)</f>
        <v>0.61965018111919623</v>
      </c>
      <c r="AQ29" s="7">
        <f t="shared" ref="AQ29:AQ45" si="29">AO29-(AP29+AN29)</f>
        <v>0</v>
      </c>
      <c r="AS29">
        <f t="shared" ref="AS29:AS45" si="30">A29</f>
        <v>2001</v>
      </c>
      <c r="AT29" s="2">
        <f>S29</f>
        <v>14264.26814434</v>
      </c>
      <c r="AU29" s="2"/>
      <c r="AV29" s="2">
        <f>U29</f>
        <v>21658.611936122998</v>
      </c>
      <c r="AW29" s="2">
        <f>V29</f>
        <v>8159.126768099999</v>
      </c>
      <c r="AX29" s="2"/>
      <c r="AY29" s="2">
        <f>X29</f>
        <v>11812.944012881</v>
      </c>
      <c r="AZ29" s="2">
        <f>Y29</f>
        <v>34309.090974690007</v>
      </c>
      <c r="BA29" s="2">
        <f t="shared" si="14"/>
        <v>90204.041836134013</v>
      </c>
      <c r="BB29" s="2">
        <f t="shared" si="15"/>
        <v>0</v>
      </c>
      <c r="BC29" s="2"/>
      <c r="BM29" s="22"/>
      <c r="BN29">
        <f t="shared" si="5"/>
        <v>2001</v>
      </c>
      <c r="BO29" s="1" t="b">
        <f t="shared" ref="BO29:BO42" si="31">AND((S29/$Z29)&gt;0.15,(S29/$Z29)&lt;0.25)</f>
        <v>1</v>
      </c>
      <c r="BP29" s="1" t="b">
        <f t="shared" ref="BP29:BP38" si="32">AND((T29/$Z29)&gt;0.25,(T29/$Z29)&lt;0.35)</f>
        <v>0</v>
      </c>
      <c r="BS29" s="1" t="b">
        <f t="shared" si="16"/>
        <v>0</v>
      </c>
      <c r="BU29" s="1" t="b">
        <f t="shared" ref="BU29:BU42" si="33">AND((Y29/$Z29)&gt;0.25,(Y29/$Z29)&lt;0.35)</f>
        <v>0</v>
      </c>
      <c r="BV29" s="1" t="b">
        <f t="shared" ref="BV29:BV42" si="34">AND((Z29/$Z29)&gt;0.999,(Z29/$Z29)&lt;1.01)</f>
        <v>1</v>
      </c>
      <c r="CH29" s="2"/>
    </row>
    <row r="30" spans="1:86" x14ac:dyDescent="0.25">
      <c r="A30">
        <f t="shared" si="8"/>
        <v>2002</v>
      </c>
      <c r="B30" s="2">
        <f>AT29*(1+(B6/100))</f>
        <v>11104.73275036869</v>
      </c>
      <c r="C30" s="2"/>
      <c r="D30" s="2">
        <f t="shared" si="17"/>
        <v>18494.721904494152</v>
      </c>
      <c r="E30" s="2">
        <f t="shared" si="17"/>
        <v>6525.5064065910174</v>
      </c>
      <c r="F30" s="2"/>
      <c r="G30" s="2">
        <f t="shared" si="18"/>
        <v>10031.197667418159</v>
      </c>
      <c r="H30" s="2">
        <f t="shared" si="18"/>
        <v>37143.021889199401</v>
      </c>
      <c r="I30" s="2">
        <f t="shared" ref="I30:I45" si="35">SUM(B30:H30)</f>
        <v>83299.180618071419</v>
      </c>
      <c r="J30" s="2">
        <f t="shared" si="19"/>
        <v>-11560.771134062568</v>
      </c>
      <c r="K30" s="6">
        <f t="shared" si="20"/>
        <v>-0.1218719904504115</v>
      </c>
      <c r="L30" s="7">
        <f t="shared" si="21"/>
        <v>0.87812800954958847</v>
      </c>
      <c r="N30">
        <f t="shared" si="22"/>
        <v>2002</v>
      </c>
      <c r="O30" s="2">
        <f t="shared" si="23"/>
        <v>4772.3076638999992</v>
      </c>
      <c r="P30" s="2"/>
      <c r="Q30" s="2"/>
      <c r="R30">
        <f t="shared" si="24"/>
        <v>2002</v>
      </c>
      <c r="S30" s="2">
        <f t="shared" si="9"/>
        <v>10150.27121758869</v>
      </c>
      <c r="T30" s="2"/>
      <c r="U30" s="2">
        <f t="shared" si="10"/>
        <v>17540.260371714154</v>
      </c>
      <c r="V30" s="2">
        <f t="shared" si="10"/>
        <v>5571.0448738110172</v>
      </c>
      <c r="W30" s="2"/>
      <c r="X30" s="2">
        <f t="shared" si="11"/>
        <v>9076.7361346381585</v>
      </c>
      <c r="Y30" s="2">
        <f t="shared" si="11"/>
        <v>36188.560356419403</v>
      </c>
      <c r="Z30" s="2">
        <f t="shared" ref="Z30:Z40" si="36">SUM(S30:Y30)</f>
        <v>78526.872954171413</v>
      </c>
      <c r="AA30" s="2">
        <f t="shared" si="25"/>
        <v>-11677.1688819626</v>
      </c>
      <c r="AB30" s="6">
        <f t="shared" si="26"/>
        <v>-0.12945283431063451</v>
      </c>
      <c r="AC30" s="7">
        <f t="shared" si="27"/>
        <v>0.87054716568936552</v>
      </c>
      <c r="AD30" s="2">
        <f t="shared" ref="AD30:AD45" si="37">Z30-(I30-O30)</f>
        <v>0</v>
      </c>
      <c r="AE30" s="2"/>
      <c r="AG30">
        <f t="shared" si="12"/>
        <v>2002</v>
      </c>
      <c r="AH30" s="6">
        <f t="shared" si="6"/>
        <v>0.12925856889160003</v>
      </c>
      <c r="AI30" s="6"/>
      <c r="AJ30" s="6">
        <f t="shared" si="6"/>
        <v>0.22336634214316312</v>
      </c>
      <c r="AK30" s="6">
        <f t="shared" si="6"/>
        <v>7.0944438053229253E-2</v>
      </c>
      <c r="AL30" s="6"/>
      <c r="AM30" s="6">
        <f t="shared" si="6"/>
        <v>0.11558764271608493</v>
      </c>
      <c r="AN30" s="6">
        <f t="shared" si="6"/>
        <v>0.46084300819592278</v>
      </c>
      <c r="AO30" s="55">
        <f t="shared" si="13"/>
        <v>1</v>
      </c>
      <c r="AP30" s="7">
        <f t="shared" si="28"/>
        <v>0.53915699180407728</v>
      </c>
      <c r="AQ30" s="7">
        <f t="shared" si="29"/>
        <v>0</v>
      </c>
      <c r="AS30">
        <f t="shared" si="30"/>
        <v>2002</v>
      </c>
      <c r="AT30" s="36">
        <v>0</v>
      </c>
      <c r="AU30" s="36"/>
      <c r="AV30" s="36">
        <v>0</v>
      </c>
      <c r="AW30" s="36">
        <v>0</v>
      </c>
      <c r="AX30" s="36"/>
      <c r="AY30" s="36">
        <v>0</v>
      </c>
      <c r="AZ30" s="36">
        <f>Z30</f>
        <v>78526.872954171413</v>
      </c>
      <c r="BA30" s="2">
        <f t="shared" si="14"/>
        <v>78526.872954171413</v>
      </c>
      <c r="BB30" s="2">
        <f t="shared" si="15"/>
        <v>0</v>
      </c>
      <c r="BC30" s="2"/>
      <c r="BM30" s="22"/>
      <c r="BN30">
        <f t="shared" si="5"/>
        <v>2002</v>
      </c>
      <c r="BO30" s="1" t="b">
        <f t="shared" si="31"/>
        <v>0</v>
      </c>
      <c r="BP30" s="1" t="b">
        <f t="shared" si="32"/>
        <v>0</v>
      </c>
      <c r="BS30" s="1" t="b">
        <f t="shared" si="16"/>
        <v>0</v>
      </c>
      <c r="BU30" s="1" t="b">
        <f t="shared" si="33"/>
        <v>0</v>
      </c>
      <c r="BV30" s="1" t="b">
        <f t="shared" si="34"/>
        <v>1</v>
      </c>
      <c r="CH30" s="2"/>
    </row>
    <row r="31" spans="1:86" x14ac:dyDescent="0.25">
      <c r="A31">
        <f t="shared" si="8"/>
        <v>2003</v>
      </c>
      <c r="B31" s="2">
        <f>AT30*(1+(B7/100))</f>
        <v>0</v>
      </c>
      <c r="C31" s="2"/>
      <c r="D31" s="2">
        <f t="shared" si="17"/>
        <v>0</v>
      </c>
      <c r="E31" s="2">
        <f t="shared" si="17"/>
        <v>0</v>
      </c>
      <c r="F31" s="2"/>
      <c r="G31" s="2">
        <f t="shared" si="18"/>
        <v>0</v>
      </c>
      <c r="H31" s="2">
        <f t="shared" si="18"/>
        <v>81644.389810452019</v>
      </c>
      <c r="I31" s="2">
        <f t="shared" si="35"/>
        <v>81644.389810452019</v>
      </c>
      <c r="J31" s="2">
        <f t="shared" si="19"/>
        <v>-1654.7908076193999</v>
      </c>
      <c r="K31" s="6">
        <f t="shared" si="20"/>
        <v>-1.9865631274413757E-2</v>
      </c>
      <c r="L31" s="7">
        <f t="shared" si="21"/>
        <v>0.98013436872558624</v>
      </c>
      <c r="N31">
        <f t="shared" si="22"/>
        <v>2003</v>
      </c>
      <c r="O31" s="2">
        <f t="shared" si="23"/>
        <v>4867.7538171779988</v>
      </c>
      <c r="P31" s="2"/>
      <c r="Q31" s="2"/>
      <c r="R31">
        <f t="shared" si="24"/>
        <v>2003</v>
      </c>
      <c r="S31" s="36">
        <v>0</v>
      </c>
      <c r="T31" s="36"/>
      <c r="U31" s="36">
        <v>0</v>
      </c>
      <c r="V31" s="36">
        <v>0</v>
      </c>
      <c r="W31" s="36"/>
      <c r="X31" s="36">
        <v>0</v>
      </c>
      <c r="Y31" s="36">
        <f>H31-($O31/1)</f>
        <v>76776.635993274016</v>
      </c>
      <c r="Z31" s="2">
        <f t="shared" si="36"/>
        <v>76776.635993274016</v>
      </c>
      <c r="AA31" s="2">
        <f t="shared" si="25"/>
        <v>-1750.2369608973968</v>
      </c>
      <c r="AB31" s="6">
        <f t="shared" si="26"/>
        <v>-2.2288382244876118E-2</v>
      </c>
      <c r="AC31" s="7">
        <f t="shared" si="27"/>
        <v>0.97771161775512383</v>
      </c>
      <c r="AD31" s="2">
        <f t="shared" si="37"/>
        <v>0</v>
      </c>
      <c r="AE31" s="2"/>
      <c r="AG31">
        <f t="shared" si="12"/>
        <v>2003</v>
      </c>
      <c r="AH31" s="6">
        <f t="shared" si="6"/>
        <v>0</v>
      </c>
      <c r="AI31" s="6"/>
      <c r="AJ31" s="6">
        <f t="shared" si="6"/>
        <v>0</v>
      </c>
      <c r="AK31" s="6">
        <f t="shared" si="6"/>
        <v>0</v>
      </c>
      <c r="AL31" s="6"/>
      <c r="AM31" s="6">
        <f t="shared" si="6"/>
        <v>0</v>
      </c>
      <c r="AN31" s="6">
        <f t="shared" si="6"/>
        <v>1</v>
      </c>
      <c r="AO31" s="55">
        <f t="shared" si="13"/>
        <v>1</v>
      </c>
      <c r="AP31" s="7">
        <f t="shared" si="28"/>
        <v>0</v>
      </c>
      <c r="AQ31" s="7">
        <f t="shared" si="29"/>
        <v>0</v>
      </c>
      <c r="AS31">
        <f t="shared" si="30"/>
        <v>2003</v>
      </c>
      <c r="AT31" s="24">
        <f>$Z31*AT$27</f>
        <v>15355.327198654804</v>
      </c>
      <c r="AU31" s="24"/>
      <c r="AV31" s="24">
        <f>$Z31*AV$27</f>
        <v>15355.327198654804</v>
      </c>
      <c r="AW31" s="24">
        <f>$Z31*AW$27</f>
        <v>7677.6635993274022</v>
      </c>
      <c r="AX31" s="24"/>
      <c r="AY31" s="24">
        <f>$Z31*AY$27</f>
        <v>15355.327198654804</v>
      </c>
      <c r="AZ31" s="24">
        <f>$Z31*AZ$27</f>
        <v>23032.990797982206</v>
      </c>
      <c r="BA31" s="2">
        <f t="shared" si="14"/>
        <v>76776.635993274016</v>
      </c>
      <c r="BB31" s="2">
        <f t="shared" si="15"/>
        <v>0</v>
      </c>
      <c r="BC31" s="2"/>
      <c r="BM31" s="22"/>
      <c r="BN31">
        <f t="shared" si="5"/>
        <v>2003</v>
      </c>
      <c r="BO31" s="1" t="b">
        <f t="shared" si="31"/>
        <v>0</v>
      </c>
      <c r="BP31" s="1" t="b">
        <f t="shared" si="32"/>
        <v>0</v>
      </c>
      <c r="BS31" s="1" t="b">
        <f t="shared" si="16"/>
        <v>0</v>
      </c>
      <c r="BU31" s="1" t="b">
        <f t="shared" si="33"/>
        <v>0</v>
      </c>
      <c r="BV31" s="1" t="b">
        <f t="shared" si="34"/>
        <v>1</v>
      </c>
      <c r="CH31" s="2"/>
    </row>
    <row r="32" spans="1:86" x14ac:dyDescent="0.25">
      <c r="A32">
        <f t="shared" si="8"/>
        <v>2004</v>
      </c>
      <c r="B32" s="2">
        <f>AT31*(1+(B8/100))</f>
        <v>17004.489339790329</v>
      </c>
      <c r="C32" s="2"/>
      <c r="D32" s="2">
        <f t="shared" si="17"/>
        <v>18480.596943397017</v>
      </c>
      <c r="E32" s="2">
        <f t="shared" si="17"/>
        <v>9205.2883256855766</v>
      </c>
      <c r="F32" s="2"/>
      <c r="G32" s="2">
        <f t="shared" si="18"/>
        <v>18554.916727038504</v>
      </c>
      <c r="H32" s="2">
        <f t="shared" si="18"/>
        <v>24009.589607816652</v>
      </c>
      <c r="I32" s="2">
        <f t="shared" si="35"/>
        <v>87254.880943728087</v>
      </c>
      <c r="J32" s="2">
        <f t="shared" si="19"/>
        <v>5610.4911332760676</v>
      </c>
      <c r="K32" s="6">
        <f t="shared" si="20"/>
        <v>6.8718636348456347E-2</v>
      </c>
      <c r="L32" s="7">
        <f t="shared" si="21"/>
        <v>1.0687186363484564</v>
      </c>
      <c r="N32">
        <f t="shared" si="22"/>
        <v>2004</v>
      </c>
      <c r="O32" s="2">
        <f t="shared" si="23"/>
        <v>5028.3896931448726</v>
      </c>
      <c r="P32" s="2"/>
      <c r="Q32" s="2"/>
      <c r="R32">
        <f t="shared" si="24"/>
        <v>2004</v>
      </c>
      <c r="S32" s="2">
        <f t="shared" ref="S32" si="38">B32-($O32/5)</f>
        <v>15998.811401161354</v>
      </c>
      <c r="T32" s="2"/>
      <c r="U32" s="2">
        <f t="shared" ref="U32:V32" si="39">D32-($O32/5)</f>
        <v>17474.919004768042</v>
      </c>
      <c r="V32" s="2">
        <f t="shared" si="39"/>
        <v>8199.6103870566021</v>
      </c>
      <c r="W32" s="2"/>
      <c r="X32" s="2">
        <f t="shared" ref="X32" si="40">G32-($O32/5)</f>
        <v>17549.23878840953</v>
      </c>
      <c r="Y32" s="2">
        <f t="shared" si="11"/>
        <v>23003.911669187677</v>
      </c>
      <c r="Z32" s="2">
        <f t="shared" si="36"/>
        <v>82226.491250583204</v>
      </c>
      <c r="AA32" s="2">
        <f t="shared" si="25"/>
        <v>5449.8552573091874</v>
      </c>
      <c r="AB32" s="6">
        <f t="shared" si="26"/>
        <v>7.0983251438453479E-2</v>
      </c>
      <c r="AC32" s="7">
        <f t="shared" si="27"/>
        <v>1.0709832514384534</v>
      </c>
      <c r="AD32" s="2">
        <f t="shared" si="37"/>
        <v>0</v>
      </c>
      <c r="AE32" s="2"/>
      <c r="AG32">
        <f t="shared" si="12"/>
        <v>2004</v>
      </c>
      <c r="AH32" s="6">
        <f t="shared" si="6"/>
        <v>0.19457003646678017</v>
      </c>
      <c r="AI32" s="56"/>
      <c r="AJ32" s="6">
        <f t="shared" si="6"/>
        <v>0.21252176444588469</v>
      </c>
      <c r="AK32" s="6">
        <f t="shared" si="6"/>
        <v>9.9719813679857647E-2</v>
      </c>
      <c r="AL32" s="56"/>
      <c r="AM32" s="6">
        <f t="shared" si="6"/>
        <v>0.21342560677833933</v>
      </c>
      <c r="AN32" s="6">
        <f t="shared" si="6"/>
        <v>0.27976277862913818</v>
      </c>
      <c r="AO32" s="55">
        <f t="shared" si="13"/>
        <v>1</v>
      </c>
      <c r="AP32" s="7">
        <f t="shared" si="28"/>
        <v>0.72023722137086177</v>
      </c>
      <c r="AQ32" s="7">
        <f t="shared" si="29"/>
        <v>0</v>
      </c>
      <c r="AS32">
        <f t="shared" si="30"/>
        <v>2004</v>
      </c>
      <c r="AT32" s="2">
        <f t="shared" ref="AT32" si="41">S32</f>
        <v>15998.811401161354</v>
      </c>
      <c r="AU32" s="2"/>
      <c r="AV32" s="2">
        <f t="shared" ref="AV32:AW35" si="42">U32</f>
        <v>17474.919004768042</v>
      </c>
      <c r="AW32" s="2">
        <f t="shared" si="42"/>
        <v>8199.6103870566021</v>
      </c>
      <c r="AX32" s="2"/>
      <c r="AY32" s="2">
        <f t="shared" ref="AY32:AZ35" si="43">X32</f>
        <v>17549.23878840953</v>
      </c>
      <c r="AZ32" s="2">
        <f t="shared" si="43"/>
        <v>23003.911669187677</v>
      </c>
      <c r="BA32" s="2">
        <f t="shared" si="14"/>
        <v>82226.491250583204</v>
      </c>
      <c r="BB32" s="2">
        <f t="shared" si="15"/>
        <v>0</v>
      </c>
      <c r="BC32" s="2"/>
      <c r="BM32" s="22"/>
      <c r="BN32">
        <f t="shared" si="5"/>
        <v>2004</v>
      </c>
      <c r="BO32" s="1" t="b">
        <f t="shared" si="31"/>
        <v>1</v>
      </c>
      <c r="BP32" s="25" t="b">
        <f t="shared" si="32"/>
        <v>0</v>
      </c>
      <c r="BS32" s="25" t="b">
        <f t="shared" si="16"/>
        <v>0</v>
      </c>
      <c r="BU32" s="1" t="b">
        <f t="shared" si="33"/>
        <v>1</v>
      </c>
      <c r="BV32" s="1" t="b">
        <f t="shared" si="34"/>
        <v>1</v>
      </c>
      <c r="CH32" s="2"/>
    </row>
    <row r="33" spans="1:86" x14ac:dyDescent="0.25">
      <c r="A33">
        <f t="shared" si="8"/>
        <v>2005</v>
      </c>
      <c r="B33" s="2">
        <f t="shared" ref="B33" si="44">AT32*(1+(B9/100))</f>
        <v>16761.954704996751</v>
      </c>
      <c r="C33" s="2"/>
      <c r="D33" s="2">
        <f t="shared" ref="D33:E33" si="45">AV32*(1+(D9/100))</f>
        <v>19909.349971322277</v>
      </c>
      <c r="E33" s="2">
        <f t="shared" si="45"/>
        <v>8803.3476998555798</v>
      </c>
      <c r="F33" s="2"/>
      <c r="G33" s="2">
        <f t="shared" ref="G33:H33" si="46">AY32*(1+(G9/100))</f>
        <v>20281.830760152778</v>
      </c>
      <c r="H33" s="2">
        <f t="shared" si="46"/>
        <v>23556.005549248181</v>
      </c>
      <c r="I33" s="2">
        <f t="shared" si="35"/>
        <v>89312.488685575561</v>
      </c>
      <c r="J33" s="2">
        <f t="shared" si="19"/>
        <v>2057.6077418474742</v>
      </c>
      <c r="K33" s="6">
        <f t="shared" si="20"/>
        <v>2.3581577552944627E-2</v>
      </c>
      <c r="L33" s="7">
        <f t="shared" si="21"/>
        <v>1.0235815775529447</v>
      </c>
      <c r="N33">
        <f t="shared" si="22"/>
        <v>2005</v>
      </c>
      <c r="O33" s="2">
        <f t="shared" si="23"/>
        <v>5194.3265530186527</v>
      </c>
      <c r="P33" s="2"/>
      <c r="Q33" s="2"/>
      <c r="R33">
        <f t="shared" si="24"/>
        <v>2005</v>
      </c>
      <c r="S33" s="2">
        <f t="shared" si="9"/>
        <v>15723.08939439302</v>
      </c>
      <c r="T33" s="2"/>
      <c r="U33" s="2">
        <f t="shared" si="10"/>
        <v>18870.484660718546</v>
      </c>
      <c r="V33" s="2">
        <f t="shared" si="10"/>
        <v>7764.4823892518489</v>
      </c>
      <c r="W33" s="2"/>
      <c r="X33" s="2">
        <f t="shared" si="11"/>
        <v>19242.965449549047</v>
      </c>
      <c r="Y33" s="2">
        <f t="shared" si="11"/>
        <v>22517.14023864445</v>
      </c>
      <c r="Z33" s="2">
        <f t="shared" si="36"/>
        <v>84118.162132556914</v>
      </c>
      <c r="AA33" s="2">
        <f t="shared" si="25"/>
        <v>1891.6708819737105</v>
      </c>
      <c r="AB33" s="6">
        <f t="shared" si="26"/>
        <v>2.3005613558395557E-2</v>
      </c>
      <c r="AC33" s="7">
        <f t="shared" si="27"/>
        <v>1.0230056135583956</v>
      </c>
      <c r="AD33" s="2">
        <f t="shared" si="37"/>
        <v>0</v>
      </c>
      <c r="AE33" s="2"/>
      <c r="AG33">
        <f t="shared" si="12"/>
        <v>2005</v>
      </c>
      <c r="AH33" s="6">
        <f t="shared" si="6"/>
        <v>0.18691670140885769</v>
      </c>
      <c r="AI33" s="6"/>
      <c r="AJ33" s="6">
        <f t="shared" si="6"/>
        <v>0.22433305938117917</v>
      </c>
      <c r="AK33" s="6">
        <f t="shared" si="6"/>
        <v>9.2304470192968002E-2</v>
      </c>
      <c r="AL33" s="6"/>
      <c r="AM33" s="6">
        <f t="shared" si="6"/>
        <v>0.22876112556079362</v>
      </c>
      <c r="AN33" s="6">
        <f t="shared" si="6"/>
        <v>0.26768464345620152</v>
      </c>
      <c r="AO33" s="55">
        <f t="shared" si="13"/>
        <v>1</v>
      </c>
      <c r="AP33" s="7">
        <f t="shared" si="28"/>
        <v>0.73231535654379842</v>
      </c>
      <c r="AQ33" s="7">
        <f t="shared" si="29"/>
        <v>0</v>
      </c>
      <c r="AS33">
        <f t="shared" si="30"/>
        <v>2005</v>
      </c>
      <c r="AT33" s="2">
        <f>S33</f>
        <v>15723.08939439302</v>
      </c>
      <c r="AU33" s="2"/>
      <c r="AV33" s="2">
        <f t="shared" si="42"/>
        <v>18870.484660718546</v>
      </c>
      <c r="AW33" s="2">
        <f t="shared" si="42"/>
        <v>7764.4823892518489</v>
      </c>
      <c r="AX33" s="2"/>
      <c r="AY33" s="2">
        <f t="shared" si="43"/>
        <v>19242.965449549047</v>
      </c>
      <c r="AZ33" s="2">
        <f t="shared" si="43"/>
        <v>22517.14023864445</v>
      </c>
      <c r="BA33" s="2">
        <f t="shared" si="14"/>
        <v>84118.162132556914</v>
      </c>
      <c r="BB33" s="2">
        <f t="shared" si="15"/>
        <v>0</v>
      </c>
      <c r="BC33" s="2"/>
      <c r="BM33" s="22"/>
      <c r="BN33">
        <f t="shared" si="5"/>
        <v>2005</v>
      </c>
      <c r="BO33" s="1" t="b">
        <f t="shared" si="31"/>
        <v>1</v>
      </c>
      <c r="BP33" s="1" t="b">
        <f t="shared" si="32"/>
        <v>0</v>
      </c>
      <c r="BS33" s="1" t="b">
        <f t="shared" si="16"/>
        <v>0</v>
      </c>
      <c r="BU33" s="1" t="b">
        <f t="shared" si="33"/>
        <v>1</v>
      </c>
      <c r="BV33" s="1" t="b">
        <f t="shared" si="34"/>
        <v>1</v>
      </c>
      <c r="CH33" s="2"/>
    </row>
    <row r="34" spans="1:86" x14ac:dyDescent="0.25">
      <c r="A34">
        <f t="shared" si="8"/>
        <v>2006</v>
      </c>
      <c r="B34" s="2">
        <f t="shared" ref="B34:B43" si="47">AT33*(1+(B10/100))</f>
        <v>18182.180575676091</v>
      </c>
      <c r="C34" s="2"/>
      <c r="D34" s="2">
        <f t="shared" ref="D34:E40" si="48">AV33*(1+(D10/100))</f>
        <v>21436.304460036445</v>
      </c>
      <c r="E34" s="2">
        <f t="shared" si="48"/>
        <v>8980.0897521131192</v>
      </c>
      <c r="F34" s="2"/>
      <c r="G34" s="2">
        <f t="shared" ref="G34:H40" si="49">AY33*(1+(G10/100))</f>
        <v>24368.714156345428</v>
      </c>
      <c r="H34" s="2">
        <f t="shared" si="49"/>
        <v>23478.622126834565</v>
      </c>
      <c r="I34" s="2">
        <f t="shared" si="35"/>
        <v>96445.911071005656</v>
      </c>
      <c r="J34" s="2">
        <f t="shared" si="19"/>
        <v>7133.4223854300944</v>
      </c>
      <c r="K34" s="6">
        <f t="shared" si="20"/>
        <v>7.9870379724198415E-2</v>
      </c>
      <c r="L34" s="7">
        <f t="shared" si="21"/>
        <v>1.0798703797241984</v>
      </c>
      <c r="N34">
        <f t="shared" si="22"/>
        <v>2006</v>
      </c>
      <c r="O34" s="2">
        <f t="shared" si="23"/>
        <v>5324.1847168441182</v>
      </c>
      <c r="P34" s="2"/>
      <c r="Q34" s="2"/>
      <c r="R34">
        <f t="shared" si="24"/>
        <v>2006</v>
      </c>
      <c r="S34" s="2">
        <f t="shared" si="9"/>
        <v>17117.343632307267</v>
      </c>
      <c r="T34" s="2"/>
      <c r="U34" s="2">
        <f t="shared" si="10"/>
        <v>20371.467516667621</v>
      </c>
      <c r="V34" s="2">
        <f t="shared" si="10"/>
        <v>7915.2528087442952</v>
      </c>
      <c r="W34" s="2"/>
      <c r="X34" s="2">
        <f t="shared" si="11"/>
        <v>23303.877212976604</v>
      </c>
      <c r="Y34" s="2">
        <f t="shared" si="11"/>
        <v>22413.785183465741</v>
      </c>
      <c r="Z34" s="2">
        <f t="shared" si="36"/>
        <v>91121.72635416151</v>
      </c>
      <c r="AA34" s="2">
        <f t="shared" si="25"/>
        <v>7003.5642216045962</v>
      </c>
      <c r="AB34" s="6">
        <f t="shared" si="26"/>
        <v>8.3258645268165593E-2</v>
      </c>
      <c r="AC34" s="7">
        <f t="shared" si="27"/>
        <v>1.0832586452681656</v>
      </c>
      <c r="AD34" s="2">
        <f t="shared" si="37"/>
        <v>0</v>
      </c>
      <c r="AE34" s="2"/>
      <c r="AG34">
        <f t="shared" si="12"/>
        <v>2006</v>
      </c>
      <c r="AH34" s="6">
        <f t="shared" si="6"/>
        <v>0.18785139743487225</v>
      </c>
      <c r="AI34" s="6"/>
      <c r="AJ34" s="6">
        <f t="shared" si="6"/>
        <v>0.22356323054602947</v>
      </c>
      <c r="AK34" s="6">
        <f t="shared" si="6"/>
        <v>8.686460546171168E-2</v>
      </c>
      <c r="AL34" s="6"/>
      <c r="AM34" s="6">
        <f t="shared" si="6"/>
        <v>0.25574446562175257</v>
      </c>
      <c r="AN34" s="6">
        <f t="shared" si="6"/>
        <v>0.24597630093563419</v>
      </c>
      <c r="AO34" s="55">
        <f t="shared" si="13"/>
        <v>1.0000000000000002</v>
      </c>
      <c r="AP34" s="7">
        <f t="shared" si="28"/>
        <v>0.75402369906436595</v>
      </c>
      <c r="AQ34" s="7">
        <f t="shared" si="29"/>
        <v>0</v>
      </c>
      <c r="AS34">
        <f t="shared" si="30"/>
        <v>2006</v>
      </c>
      <c r="AT34" s="2">
        <f>S34</f>
        <v>17117.343632307267</v>
      </c>
      <c r="AU34" s="2"/>
      <c r="AV34" s="2">
        <f t="shared" si="42"/>
        <v>20371.467516667621</v>
      </c>
      <c r="AW34" s="2">
        <f t="shared" si="42"/>
        <v>7915.2528087442952</v>
      </c>
      <c r="AX34" s="2"/>
      <c r="AY34" s="2">
        <f t="shared" si="43"/>
        <v>23303.877212976604</v>
      </c>
      <c r="AZ34" s="2">
        <f t="shared" si="43"/>
        <v>22413.785183465741</v>
      </c>
      <c r="BA34" s="2">
        <f t="shared" si="14"/>
        <v>91121.72635416151</v>
      </c>
      <c r="BB34" s="2">
        <f t="shared" si="15"/>
        <v>0</v>
      </c>
      <c r="BC34" s="2"/>
      <c r="BM34" s="22"/>
      <c r="BN34">
        <f t="shared" si="5"/>
        <v>2006</v>
      </c>
      <c r="BO34" s="1" t="b">
        <f t="shared" si="31"/>
        <v>1</v>
      </c>
      <c r="BP34" s="1" t="b">
        <f t="shared" si="32"/>
        <v>0</v>
      </c>
      <c r="BS34" s="1" t="b">
        <f t="shared" si="16"/>
        <v>0</v>
      </c>
      <c r="BU34" s="1" t="b">
        <f t="shared" si="33"/>
        <v>0</v>
      </c>
      <c r="BV34" s="1" t="b">
        <f t="shared" si="34"/>
        <v>1</v>
      </c>
      <c r="CH34" s="2"/>
    </row>
    <row r="35" spans="1:86" x14ac:dyDescent="0.25">
      <c r="A35">
        <f t="shared" si="8"/>
        <v>2007</v>
      </c>
      <c r="B35" s="2">
        <f t="shared" si="47"/>
        <v>18039.96845408863</v>
      </c>
      <c r="C35" s="2"/>
      <c r="D35" s="2">
        <f t="shared" si="48"/>
        <v>21598.033575846181</v>
      </c>
      <c r="E35" s="2">
        <f t="shared" si="48"/>
        <v>8006.7531312133797</v>
      </c>
      <c r="F35" s="2"/>
      <c r="G35" s="2">
        <f t="shared" si="49"/>
        <v>26921.105033974829</v>
      </c>
      <c r="H35" s="2">
        <f t="shared" si="49"/>
        <v>23964.819118161569</v>
      </c>
      <c r="I35" s="2">
        <f t="shared" si="35"/>
        <v>98530.679313284592</v>
      </c>
      <c r="J35" s="2">
        <f t="shared" si="19"/>
        <v>2084.7682422789367</v>
      </c>
      <c r="K35" s="6">
        <f t="shared" si="20"/>
        <v>2.161593186406921E-2</v>
      </c>
      <c r="L35" s="7">
        <f t="shared" si="21"/>
        <v>1.0216159318640692</v>
      </c>
      <c r="N35">
        <f t="shared" si="22"/>
        <v>2007</v>
      </c>
      <c r="O35" s="2">
        <f t="shared" si="23"/>
        <v>5542.4762902347265</v>
      </c>
      <c r="P35" s="2"/>
      <c r="Q35" s="2"/>
      <c r="R35">
        <f t="shared" si="24"/>
        <v>2007</v>
      </c>
      <c r="S35" s="2">
        <f t="shared" si="9"/>
        <v>16931.473196041683</v>
      </c>
      <c r="T35" s="2"/>
      <c r="U35" s="2">
        <f t="shared" si="10"/>
        <v>20489.538317799233</v>
      </c>
      <c r="V35" s="2">
        <f t="shared" si="10"/>
        <v>6898.2578731664344</v>
      </c>
      <c r="W35" s="2"/>
      <c r="X35" s="2">
        <f t="shared" si="11"/>
        <v>25812.609775927885</v>
      </c>
      <c r="Y35" s="2">
        <f t="shared" si="11"/>
        <v>22856.323860114622</v>
      </c>
      <c r="Z35" s="2">
        <f t="shared" si="36"/>
        <v>92988.203023049864</v>
      </c>
      <c r="AA35" s="2">
        <f t="shared" si="25"/>
        <v>1866.4766688883537</v>
      </c>
      <c r="AB35" s="6">
        <f t="shared" si="26"/>
        <v>2.0483333048739064E-2</v>
      </c>
      <c r="AC35" s="7">
        <f t="shared" si="27"/>
        <v>1.0204833330487391</v>
      </c>
      <c r="AD35" s="2">
        <f t="shared" si="37"/>
        <v>0</v>
      </c>
      <c r="AE35" s="2"/>
      <c r="AG35">
        <f t="shared" si="12"/>
        <v>2007</v>
      </c>
      <c r="AH35" s="6">
        <f t="shared" si="6"/>
        <v>0.18208194852248857</v>
      </c>
      <c r="AI35" s="6"/>
      <c r="AJ35" s="6">
        <f t="shared" si="6"/>
        <v>0.22034556698251603</v>
      </c>
      <c r="AK35" s="6">
        <f t="shared" si="6"/>
        <v>7.4184226051303495E-2</v>
      </c>
      <c r="AL35" s="6"/>
      <c r="AM35" s="6">
        <f t="shared" si="6"/>
        <v>0.27759015592041786</v>
      </c>
      <c r="AN35" s="6">
        <f t="shared" si="6"/>
        <v>0.24579810252327394</v>
      </c>
      <c r="AO35" s="55">
        <f t="shared" si="13"/>
        <v>0.99999999999999989</v>
      </c>
      <c r="AP35" s="7">
        <f t="shared" si="28"/>
        <v>0.75420189747672595</v>
      </c>
      <c r="AQ35" s="7">
        <f t="shared" si="29"/>
        <v>0</v>
      </c>
      <c r="AS35">
        <f t="shared" si="30"/>
        <v>2007</v>
      </c>
      <c r="AT35" s="2">
        <f>S35</f>
        <v>16931.473196041683</v>
      </c>
      <c r="AU35" s="2"/>
      <c r="AV35" s="2">
        <f t="shared" si="42"/>
        <v>20489.538317799233</v>
      </c>
      <c r="AW35" s="2">
        <f t="shared" si="42"/>
        <v>6898.2578731664344</v>
      </c>
      <c r="AX35" s="2"/>
      <c r="AY35" s="2">
        <f t="shared" si="43"/>
        <v>25812.609775927885</v>
      </c>
      <c r="AZ35" s="2">
        <f t="shared" si="43"/>
        <v>22856.323860114622</v>
      </c>
      <c r="BA35" s="2">
        <f t="shared" si="14"/>
        <v>92988.203023049864</v>
      </c>
      <c r="BB35" s="2">
        <f t="shared" si="15"/>
        <v>0</v>
      </c>
      <c r="BC35" s="2"/>
      <c r="BM35" s="22"/>
      <c r="BN35">
        <f t="shared" si="5"/>
        <v>2007</v>
      </c>
      <c r="BO35" s="1" t="b">
        <f t="shared" si="31"/>
        <v>1</v>
      </c>
      <c r="BP35" s="1" t="b">
        <f t="shared" si="32"/>
        <v>0</v>
      </c>
      <c r="BS35" s="1" t="b">
        <f t="shared" si="16"/>
        <v>0</v>
      </c>
      <c r="BU35" s="1" t="b">
        <f t="shared" si="33"/>
        <v>0</v>
      </c>
      <c r="BV35" s="1" t="b">
        <f t="shared" si="34"/>
        <v>1</v>
      </c>
      <c r="CH35" s="2"/>
    </row>
    <row r="36" spans="1:86" x14ac:dyDescent="0.25">
      <c r="A36">
        <f t="shared" si="8"/>
        <v>2008</v>
      </c>
      <c r="B36" s="2">
        <f t="shared" si="47"/>
        <v>10663.44181886705</v>
      </c>
      <c r="C36" s="2"/>
      <c r="D36" s="2">
        <f t="shared" si="48"/>
        <v>11919.993811762883</v>
      </c>
      <c r="E36" s="2">
        <f t="shared" si="48"/>
        <v>4410.0562583153014</v>
      </c>
      <c r="F36" s="2"/>
      <c r="G36" s="2">
        <f t="shared" si="49"/>
        <v>14428.990738645929</v>
      </c>
      <c r="H36" s="2">
        <f t="shared" si="49"/>
        <v>24010.568215050411</v>
      </c>
      <c r="I36" s="2">
        <f t="shared" si="35"/>
        <v>65433.050842641576</v>
      </c>
      <c r="J36" s="2">
        <f t="shared" si="19"/>
        <v>-33097.628470643016</v>
      </c>
      <c r="K36" s="6">
        <f t="shared" si="20"/>
        <v>-0.33591190785772412</v>
      </c>
      <c r="L36" s="7">
        <f t="shared" si="21"/>
        <v>0.66408809214227582</v>
      </c>
      <c r="N36">
        <f t="shared" si="22"/>
        <v>2008</v>
      </c>
      <c r="O36" s="2">
        <f t="shared" si="23"/>
        <v>5542.4762902347265</v>
      </c>
      <c r="P36" s="2"/>
      <c r="Q36" s="2"/>
      <c r="R36">
        <f t="shared" si="24"/>
        <v>2008</v>
      </c>
      <c r="S36" s="2">
        <f t="shared" si="9"/>
        <v>9554.9465608201044</v>
      </c>
      <c r="T36" s="2"/>
      <c r="U36" s="2">
        <f t="shared" si="10"/>
        <v>10811.498553715937</v>
      </c>
      <c r="V36" s="2">
        <f t="shared" si="10"/>
        <v>3301.5610002683561</v>
      </c>
      <c r="W36" s="2"/>
      <c r="X36" s="2">
        <f t="shared" si="11"/>
        <v>13320.495480598984</v>
      </c>
      <c r="Y36" s="2">
        <f t="shared" si="11"/>
        <v>22902.072957003467</v>
      </c>
      <c r="Z36" s="2">
        <f t="shared" si="36"/>
        <v>59890.574552406855</v>
      </c>
      <c r="AA36" s="2">
        <f t="shared" si="25"/>
        <v>-33097.628470643009</v>
      </c>
      <c r="AB36" s="6">
        <f t="shared" si="26"/>
        <v>-0.35593362808009943</v>
      </c>
      <c r="AC36" s="7">
        <f t="shared" si="27"/>
        <v>0.64406637191990057</v>
      </c>
      <c r="AD36" s="2">
        <f t="shared" si="37"/>
        <v>0</v>
      </c>
      <c r="AE36" s="2"/>
      <c r="AG36">
        <f t="shared" si="12"/>
        <v>2008</v>
      </c>
      <c r="AH36" s="6">
        <f t="shared" si="6"/>
        <v>0.15954007174299373</v>
      </c>
      <c r="AI36" s="6"/>
      <c r="AJ36" s="6">
        <f t="shared" si="6"/>
        <v>0.18052086884315005</v>
      </c>
      <c r="AK36" s="6">
        <f t="shared" si="6"/>
        <v>5.5126554135481648E-2</v>
      </c>
      <c r="AL36" s="6"/>
      <c r="AM36" s="6">
        <f t="shared" si="6"/>
        <v>0.22241388699557343</v>
      </c>
      <c r="AN36" s="6">
        <f t="shared" si="6"/>
        <v>0.38239861828280103</v>
      </c>
      <c r="AO36" s="55">
        <f t="shared" si="13"/>
        <v>0.99999999999999978</v>
      </c>
      <c r="AP36" s="7">
        <f t="shared" si="28"/>
        <v>0.61760138171719881</v>
      </c>
      <c r="AQ36" s="7">
        <f t="shared" si="29"/>
        <v>0</v>
      </c>
      <c r="AS36">
        <f t="shared" si="30"/>
        <v>2008</v>
      </c>
      <c r="AT36" s="36">
        <v>0</v>
      </c>
      <c r="AU36" s="36"/>
      <c r="AV36" s="36">
        <v>0</v>
      </c>
      <c r="AW36" s="36">
        <v>0</v>
      </c>
      <c r="AX36" s="36"/>
      <c r="AY36" s="36">
        <v>0</v>
      </c>
      <c r="AZ36" s="36">
        <f>Z36</f>
        <v>59890.574552406855</v>
      </c>
      <c r="BA36" s="2">
        <f t="shared" si="14"/>
        <v>59890.574552406855</v>
      </c>
      <c r="BB36" s="2">
        <f t="shared" si="15"/>
        <v>0</v>
      </c>
      <c r="BC36" s="2"/>
      <c r="BM36" s="22"/>
      <c r="BN36">
        <f t="shared" si="5"/>
        <v>2008</v>
      </c>
      <c r="BO36" s="1" t="b">
        <f t="shared" si="31"/>
        <v>1</v>
      </c>
      <c r="BP36" s="1" t="b">
        <f t="shared" si="32"/>
        <v>0</v>
      </c>
      <c r="BS36" s="1" t="b">
        <f t="shared" si="16"/>
        <v>0</v>
      </c>
      <c r="BU36" s="25" t="b">
        <f t="shared" si="33"/>
        <v>0</v>
      </c>
      <c r="BV36" s="1" t="b">
        <f t="shared" si="34"/>
        <v>1</v>
      </c>
      <c r="CH36" s="2"/>
    </row>
    <row r="37" spans="1:86" x14ac:dyDescent="0.25">
      <c r="A37">
        <f t="shared" si="8"/>
        <v>2009</v>
      </c>
      <c r="B37" s="2">
        <f t="shared" si="47"/>
        <v>0</v>
      </c>
      <c r="C37" s="2"/>
      <c r="D37" s="2">
        <f t="shared" si="48"/>
        <v>0</v>
      </c>
      <c r="E37" s="2">
        <f t="shared" si="48"/>
        <v>0</v>
      </c>
      <c r="F37" s="2"/>
      <c r="G37" s="2">
        <f t="shared" si="49"/>
        <v>0</v>
      </c>
      <c r="H37" s="2">
        <f t="shared" si="49"/>
        <v>63442.085623364575</v>
      </c>
      <c r="I37" s="2">
        <f t="shared" si="35"/>
        <v>63442.085623364575</v>
      </c>
      <c r="J37" s="2">
        <f t="shared" si="19"/>
        <v>-1990.9652192770009</v>
      </c>
      <c r="K37" s="6">
        <f t="shared" si="20"/>
        <v>-3.0427516272548975E-2</v>
      </c>
      <c r="L37" s="7">
        <f t="shared" si="21"/>
        <v>0.96957248372745097</v>
      </c>
      <c r="N37">
        <f t="shared" si="22"/>
        <v>2009</v>
      </c>
      <c r="O37" s="2">
        <f t="shared" si="23"/>
        <v>5697.6656263612995</v>
      </c>
      <c r="P37" s="2"/>
      <c r="Q37" s="2"/>
      <c r="R37">
        <f t="shared" si="24"/>
        <v>2009</v>
      </c>
      <c r="S37" s="36">
        <v>0</v>
      </c>
      <c r="T37" s="36"/>
      <c r="U37" s="36">
        <v>0</v>
      </c>
      <c r="V37" s="36">
        <v>0</v>
      </c>
      <c r="W37" s="36"/>
      <c r="X37" s="36">
        <v>0</v>
      </c>
      <c r="Y37" s="36">
        <f>H37-($O37/1)</f>
        <v>57744.419997003279</v>
      </c>
      <c r="Z37" s="2">
        <f t="shared" si="36"/>
        <v>57744.419997003279</v>
      </c>
      <c r="AA37" s="2">
        <f t="shared" si="25"/>
        <v>-2146.1545554035765</v>
      </c>
      <c r="AB37" s="6">
        <f t="shared" si="26"/>
        <v>-3.5834596202205374E-2</v>
      </c>
      <c r="AC37" s="7">
        <f t="shared" si="27"/>
        <v>0.96416540379779458</v>
      </c>
      <c r="AD37" s="2">
        <f t="shared" si="37"/>
        <v>0</v>
      </c>
      <c r="AE37" s="2"/>
      <c r="AG37">
        <f t="shared" si="12"/>
        <v>2009</v>
      </c>
      <c r="AH37" s="6">
        <f t="shared" si="6"/>
        <v>0</v>
      </c>
      <c r="AI37" s="6"/>
      <c r="AJ37" s="6">
        <f t="shared" si="6"/>
        <v>0</v>
      </c>
      <c r="AK37" s="6">
        <f t="shared" si="6"/>
        <v>0</v>
      </c>
      <c r="AL37" s="6"/>
      <c r="AM37" s="6">
        <f t="shared" si="6"/>
        <v>0</v>
      </c>
      <c r="AN37" s="6">
        <f t="shared" si="6"/>
        <v>1</v>
      </c>
      <c r="AO37" s="55">
        <f t="shared" si="13"/>
        <v>1</v>
      </c>
      <c r="AP37" s="7">
        <f t="shared" si="28"/>
        <v>0</v>
      </c>
      <c r="AQ37" s="7">
        <f t="shared" si="29"/>
        <v>0</v>
      </c>
      <c r="AS37">
        <f t="shared" si="30"/>
        <v>2009</v>
      </c>
      <c r="AT37" s="24">
        <f>$Z37*AT$27</f>
        <v>11548.883999400656</v>
      </c>
      <c r="AU37" s="24"/>
      <c r="AV37" s="24">
        <f>$Z37*AV$27</f>
        <v>11548.883999400656</v>
      </c>
      <c r="AW37" s="24">
        <f>$Z37*AW$27</f>
        <v>5774.4419997003279</v>
      </c>
      <c r="AX37" s="24"/>
      <c r="AY37" s="24">
        <f>$Z37*AY$27</f>
        <v>11548.883999400656</v>
      </c>
      <c r="AZ37" s="24">
        <f>$Z37*AZ$27</f>
        <v>17323.325999100984</v>
      </c>
      <c r="BA37" s="2">
        <f t="shared" si="14"/>
        <v>57744.419997003279</v>
      </c>
      <c r="BB37" s="2">
        <f t="shared" si="15"/>
        <v>0</v>
      </c>
      <c r="BC37" s="2"/>
      <c r="BM37" s="22"/>
      <c r="BN37">
        <f t="shared" si="5"/>
        <v>2009</v>
      </c>
      <c r="BO37" s="1" t="b">
        <f t="shared" si="31"/>
        <v>0</v>
      </c>
      <c r="BP37" s="1" t="b">
        <f t="shared" si="32"/>
        <v>0</v>
      </c>
      <c r="BS37" s="1"/>
      <c r="BT37" s="1" t="b">
        <f t="shared" ref="BT37:BT42" si="50">AND((X37/$Z37)&gt;0.15,(X37/$Z37)&lt;0.25)</f>
        <v>0</v>
      </c>
      <c r="BU37" s="1" t="b">
        <f t="shared" si="33"/>
        <v>0</v>
      </c>
      <c r="BV37" s="1" t="b">
        <f t="shared" si="34"/>
        <v>1</v>
      </c>
      <c r="CH37" s="2"/>
    </row>
    <row r="38" spans="1:86" x14ac:dyDescent="0.25">
      <c r="A38">
        <f t="shared" si="8"/>
        <v>2010</v>
      </c>
      <c r="B38" s="2">
        <f t="shared" si="47"/>
        <v>13270.822603711295</v>
      </c>
      <c r="C38" s="2"/>
      <c r="D38" s="2">
        <f t="shared" si="48"/>
        <v>14489.229865648062</v>
      </c>
      <c r="E38" s="2">
        <f t="shared" si="48"/>
        <v>7375.1173220172595</v>
      </c>
      <c r="F38" s="2"/>
      <c r="G38" s="2">
        <f t="shared" si="49"/>
        <v>12833.119900134008</v>
      </c>
      <c r="H38" s="2">
        <f t="shared" si="49"/>
        <v>18435.483528243269</v>
      </c>
      <c r="I38" s="2">
        <f t="shared" si="35"/>
        <v>66403.773219753886</v>
      </c>
      <c r="J38" s="2">
        <f t="shared" si="19"/>
        <v>2961.6875963893108</v>
      </c>
      <c r="K38" s="6">
        <f t="shared" si="20"/>
        <v>4.6683326490429479E-2</v>
      </c>
      <c r="L38" s="7">
        <f t="shared" si="21"/>
        <v>1.0466833264904294</v>
      </c>
      <c r="N38">
        <f t="shared" si="22"/>
        <v>2010</v>
      </c>
      <c r="O38" s="2">
        <f t="shared" si="23"/>
        <v>5777.4329451303574</v>
      </c>
      <c r="P38" s="2"/>
      <c r="Q38" s="2"/>
      <c r="R38">
        <f t="shared" si="24"/>
        <v>2010</v>
      </c>
      <c r="S38" s="2">
        <f t="shared" ref="S38" si="51">B38-($O38/5)</f>
        <v>12115.336014685223</v>
      </c>
      <c r="T38" s="2"/>
      <c r="U38" s="2">
        <f t="shared" ref="U38:V38" si="52">D38-($O38/5)</f>
        <v>13333.74327662199</v>
      </c>
      <c r="V38" s="2">
        <f t="shared" si="52"/>
        <v>6219.6307329911879</v>
      </c>
      <c r="W38" s="2"/>
      <c r="X38" s="2">
        <f t="shared" ref="X38" si="53">G38-($O38/5)</f>
        <v>11677.633311107937</v>
      </c>
      <c r="Y38" s="2">
        <f t="shared" si="11"/>
        <v>17279.996939217199</v>
      </c>
      <c r="Z38" s="2">
        <f t="shared" si="36"/>
        <v>60626.340274623537</v>
      </c>
      <c r="AA38" s="2">
        <f t="shared" si="25"/>
        <v>2881.9202776202583</v>
      </c>
      <c r="AB38" s="6">
        <f t="shared" si="26"/>
        <v>4.9908203732409458E-2</v>
      </c>
      <c r="AC38" s="7">
        <f t="shared" si="27"/>
        <v>1.0499082037324095</v>
      </c>
      <c r="AD38" s="2">
        <f t="shared" si="37"/>
        <v>0</v>
      </c>
      <c r="AE38" s="2"/>
      <c r="AG38">
        <f t="shared" si="12"/>
        <v>2010</v>
      </c>
      <c r="AH38" s="6">
        <f t="shared" si="6"/>
        <v>0.19983617615388799</v>
      </c>
      <c r="AI38" s="6"/>
      <c r="AJ38" s="6">
        <f t="shared" si="6"/>
        <v>0.21993317122925721</v>
      </c>
      <c r="AK38" s="6">
        <f t="shared" si="6"/>
        <v>0.1025895791304188</v>
      </c>
      <c r="AL38" s="7"/>
      <c r="AM38" s="6">
        <f t="shared" si="6"/>
        <v>0.19261649735430034</v>
      </c>
      <c r="AN38" s="6">
        <f t="shared" si="6"/>
        <v>0.28502457613213567</v>
      </c>
      <c r="AO38" s="55">
        <f t="shared" si="13"/>
        <v>1</v>
      </c>
      <c r="AP38" s="7">
        <f t="shared" si="28"/>
        <v>0.71497542386786428</v>
      </c>
      <c r="AQ38" s="7">
        <f t="shared" si="29"/>
        <v>0</v>
      </c>
      <c r="AS38">
        <f t="shared" si="30"/>
        <v>2010</v>
      </c>
      <c r="AT38" s="2">
        <f>S38</f>
        <v>12115.336014685223</v>
      </c>
      <c r="AU38" s="2"/>
      <c r="AV38" s="2">
        <f t="shared" ref="AV38:AW45" si="54">U38</f>
        <v>13333.74327662199</v>
      </c>
      <c r="AW38" s="2">
        <f t="shared" si="54"/>
        <v>6219.6307329911879</v>
      </c>
      <c r="AX38" s="2"/>
      <c r="AY38" s="2">
        <f t="shared" ref="AY38:AZ45" si="55">X38</f>
        <v>11677.633311107937</v>
      </c>
      <c r="AZ38" s="2">
        <f t="shared" si="55"/>
        <v>17279.996939217199</v>
      </c>
      <c r="BA38" s="2">
        <f t="shared" si="14"/>
        <v>60626.340274623537</v>
      </c>
      <c r="BB38" s="2">
        <f t="shared" si="15"/>
        <v>0</v>
      </c>
      <c r="BC38" s="2"/>
      <c r="BM38" s="22"/>
      <c r="BN38">
        <f t="shared" si="5"/>
        <v>2010</v>
      </c>
      <c r="BO38" s="25" t="b">
        <f t="shared" si="31"/>
        <v>1</v>
      </c>
      <c r="BP38" s="1" t="b">
        <f t="shared" si="32"/>
        <v>0</v>
      </c>
      <c r="BT38" s="1" t="b">
        <f t="shared" si="50"/>
        <v>1</v>
      </c>
      <c r="BU38" s="1" t="b">
        <f t="shared" si="33"/>
        <v>1</v>
      </c>
      <c r="BV38" s="1" t="b">
        <f t="shared" si="34"/>
        <v>1</v>
      </c>
      <c r="CH38" s="2"/>
    </row>
    <row r="39" spans="1:86" x14ac:dyDescent="0.25">
      <c r="A39">
        <f t="shared" si="8"/>
        <v>2011</v>
      </c>
      <c r="B39" s="2">
        <f t="shared" si="47"/>
        <v>12354.008134174523</v>
      </c>
      <c r="C39" s="2"/>
      <c r="D39" s="2">
        <f t="shared" si="48"/>
        <v>13052.401293485265</v>
      </c>
      <c r="E39" s="2">
        <f t="shared" si="48"/>
        <v>6045.4810724674344</v>
      </c>
      <c r="F39" s="2"/>
      <c r="G39" s="2">
        <f t="shared" si="49"/>
        <v>9977.3699010106211</v>
      </c>
      <c r="H39" s="2">
        <f t="shared" si="49"/>
        <v>18586.36470782202</v>
      </c>
      <c r="I39" s="2">
        <f t="shared" si="35"/>
        <v>60015.625108959866</v>
      </c>
      <c r="J39" s="2">
        <f t="shared" si="19"/>
        <v>-6388.1481107940199</v>
      </c>
      <c r="K39" s="6">
        <f t="shared" si="20"/>
        <v>-9.6201583148797107E-2</v>
      </c>
      <c r="L39" s="7">
        <f t="shared" si="21"/>
        <v>0.90379841685120288</v>
      </c>
      <c r="N39">
        <f t="shared" si="22"/>
        <v>2011</v>
      </c>
      <c r="O39" s="2">
        <f t="shared" si="23"/>
        <v>5950.7559334842681</v>
      </c>
      <c r="P39" s="2"/>
      <c r="Q39" s="2"/>
      <c r="R39">
        <f t="shared" si="24"/>
        <v>2011</v>
      </c>
      <c r="S39" s="2">
        <f t="shared" si="9"/>
        <v>11163.856947477669</v>
      </c>
      <c r="T39" s="2"/>
      <c r="U39" s="2">
        <f t="shared" si="10"/>
        <v>11862.250106788411</v>
      </c>
      <c r="V39" s="2">
        <f t="shared" si="10"/>
        <v>4855.3298857705813</v>
      </c>
      <c r="W39" s="2"/>
      <c r="X39" s="2">
        <f t="shared" si="11"/>
        <v>8787.2187143137671</v>
      </c>
      <c r="Y39" s="2">
        <f t="shared" si="11"/>
        <v>17396.213521125166</v>
      </c>
      <c r="Z39" s="2">
        <f t="shared" si="36"/>
        <v>54064.869175475593</v>
      </c>
      <c r="AA39" s="2">
        <f t="shared" si="25"/>
        <v>-6561.4710991479442</v>
      </c>
      <c r="AB39" s="6">
        <f t="shared" si="26"/>
        <v>-0.10822805845488895</v>
      </c>
      <c r="AC39" s="7">
        <f t="shared" si="27"/>
        <v>0.89177194154511108</v>
      </c>
      <c r="AD39" s="2">
        <f t="shared" si="37"/>
        <v>0</v>
      </c>
      <c r="AE39" s="2"/>
      <c r="AG39">
        <f t="shared" si="12"/>
        <v>2011</v>
      </c>
      <c r="AH39" s="6">
        <f t="shared" si="6"/>
        <v>0.20649003905370986</v>
      </c>
      <c r="AI39" s="7"/>
      <c r="AJ39" s="6">
        <f t="shared" si="6"/>
        <v>0.21940772793304483</v>
      </c>
      <c r="AK39" s="6">
        <f t="shared" si="6"/>
        <v>8.9805634598169176E-2</v>
      </c>
      <c r="AL39" s="7"/>
      <c r="AM39" s="6">
        <f t="shared" si="6"/>
        <v>0.16253102704814726</v>
      </c>
      <c r="AN39" s="6">
        <f t="shared" si="6"/>
        <v>0.3217655713669289</v>
      </c>
      <c r="AO39" s="55">
        <f t="shared" si="13"/>
        <v>1</v>
      </c>
      <c r="AP39" s="7">
        <f t="shared" si="28"/>
        <v>0.67823442863307115</v>
      </c>
      <c r="AQ39" s="7">
        <f t="shared" si="29"/>
        <v>0</v>
      </c>
      <c r="AS39">
        <f t="shared" si="30"/>
        <v>2011</v>
      </c>
      <c r="AT39" s="2">
        <f>S39</f>
        <v>11163.856947477669</v>
      </c>
      <c r="AU39" s="2"/>
      <c r="AV39" s="2">
        <f t="shared" si="54"/>
        <v>11862.250106788411</v>
      </c>
      <c r="AW39" s="2">
        <f t="shared" si="54"/>
        <v>4855.3298857705813</v>
      </c>
      <c r="AX39" s="2"/>
      <c r="AY39" s="2">
        <f t="shared" si="55"/>
        <v>8787.2187143137671</v>
      </c>
      <c r="AZ39" s="2">
        <f t="shared" si="55"/>
        <v>17396.213521125166</v>
      </c>
      <c r="BA39" s="2">
        <f t="shared" si="14"/>
        <v>54064.869175475593</v>
      </c>
      <c r="BB39" s="2">
        <f t="shared" si="15"/>
        <v>0</v>
      </c>
      <c r="BC39" s="2"/>
      <c r="BM39" s="22"/>
      <c r="BN39">
        <f t="shared" si="5"/>
        <v>2011</v>
      </c>
      <c r="BO39" s="1" t="b">
        <f t="shared" si="31"/>
        <v>1</v>
      </c>
      <c r="BQ39" s="1" t="b">
        <f>AND((U39/$Z39)&gt;0.15,(U39/$Z39)&lt;0.25)</f>
        <v>1</v>
      </c>
      <c r="BR39" s="1" t="b">
        <f>AND((V39/$Z39)&gt;0.05,(V39/$Z39)&lt;0.15)</f>
        <v>1</v>
      </c>
      <c r="BT39" s="1" t="b">
        <f t="shared" si="50"/>
        <v>1</v>
      </c>
      <c r="BU39" s="1" t="b">
        <f t="shared" si="33"/>
        <v>1</v>
      </c>
      <c r="BV39" s="1" t="b">
        <f t="shared" si="34"/>
        <v>1</v>
      </c>
      <c r="CH39" s="2"/>
    </row>
    <row r="40" spans="1:86" x14ac:dyDescent="0.25">
      <c r="A40">
        <f t="shared" si="8"/>
        <v>2012</v>
      </c>
      <c r="B40" s="2">
        <f t="shared" si="47"/>
        <v>12929.979116568635</v>
      </c>
      <c r="C40" s="2"/>
      <c r="D40" s="2">
        <f t="shared" si="48"/>
        <v>13736.485623660979</v>
      </c>
      <c r="E40" s="2">
        <f t="shared" si="48"/>
        <v>5731.2313971635949</v>
      </c>
      <c r="F40" s="2"/>
      <c r="G40" s="2">
        <f t="shared" si="49"/>
        <v>10381.220189090285</v>
      </c>
      <c r="H40" s="2">
        <f t="shared" si="49"/>
        <v>18100.760168730736</v>
      </c>
      <c r="I40" s="2">
        <f t="shared" si="35"/>
        <v>60879.676495214226</v>
      </c>
      <c r="J40" s="2">
        <f t="shared" si="19"/>
        <v>864.05138625435939</v>
      </c>
      <c r="K40" s="6">
        <f t="shared" si="20"/>
        <v>1.4397107164770049E-2</v>
      </c>
      <c r="L40" s="7">
        <f t="shared" si="21"/>
        <v>1.0143971071647699</v>
      </c>
      <c r="N40">
        <f t="shared" si="22"/>
        <v>2012</v>
      </c>
      <c r="O40" s="2">
        <f t="shared" si="23"/>
        <v>6057.8695402869853</v>
      </c>
      <c r="P40" s="2"/>
      <c r="Q40" s="2"/>
      <c r="R40">
        <f t="shared" si="24"/>
        <v>2012</v>
      </c>
      <c r="S40" s="2">
        <f t="shared" si="9"/>
        <v>11718.405208511238</v>
      </c>
      <c r="T40" s="2"/>
      <c r="U40" s="2">
        <f t="shared" si="10"/>
        <v>12524.911715603583</v>
      </c>
      <c r="V40" s="2">
        <f t="shared" si="10"/>
        <v>4519.6574891061973</v>
      </c>
      <c r="W40" s="2"/>
      <c r="X40" s="2">
        <f t="shared" si="11"/>
        <v>9169.6462810328885</v>
      </c>
      <c r="Y40" s="2">
        <f t="shared" si="11"/>
        <v>16889.186260673338</v>
      </c>
      <c r="Z40" s="2">
        <f t="shared" si="36"/>
        <v>54821.806954927248</v>
      </c>
      <c r="AA40" s="2">
        <f t="shared" si="25"/>
        <v>756.93777945165493</v>
      </c>
      <c r="AB40" s="6">
        <f t="shared" si="26"/>
        <v>1.4000547693824996E-2</v>
      </c>
      <c r="AC40" s="7">
        <f t="shared" si="27"/>
        <v>1.014000547693825</v>
      </c>
      <c r="AD40" s="2">
        <f t="shared" si="37"/>
        <v>0</v>
      </c>
      <c r="AE40" s="2"/>
      <c r="AG40">
        <f t="shared" si="12"/>
        <v>2012</v>
      </c>
      <c r="AH40" s="6">
        <f t="shared" si="6"/>
        <v>0.21375445027096132</v>
      </c>
      <c r="AI40" s="7"/>
      <c r="AJ40" s="6">
        <f t="shared" si="6"/>
        <v>0.22846586807875865</v>
      </c>
      <c r="AK40" s="6">
        <f t="shared" si="6"/>
        <v>8.2442694616434595E-2</v>
      </c>
      <c r="AL40" s="7"/>
      <c r="AM40" s="6">
        <f t="shared" si="6"/>
        <v>0.16726275163771748</v>
      </c>
      <c r="AN40" s="6">
        <f t="shared" si="6"/>
        <v>0.30807423539612788</v>
      </c>
      <c r="AO40" s="55">
        <f t="shared" si="13"/>
        <v>1</v>
      </c>
      <c r="AP40" s="7">
        <f t="shared" si="28"/>
        <v>0.69192576460387212</v>
      </c>
      <c r="AQ40" s="7">
        <f t="shared" si="29"/>
        <v>0</v>
      </c>
      <c r="AS40">
        <f t="shared" si="30"/>
        <v>2012</v>
      </c>
      <c r="AT40" s="2">
        <f>S40</f>
        <v>11718.405208511238</v>
      </c>
      <c r="AU40" s="2"/>
      <c r="AV40" s="2">
        <f t="shared" si="54"/>
        <v>12524.911715603583</v>
      </c>
      <c r="AW40" s="2">
        <f t="shared" si="54"/>
        <v>4519.6574891061973</v>
      </c>
      <c r="AX40" s="2"/>
      <c r="AY40" s="2">
        <f t="shared" si="55"/>
        <v>9169.6462810328885</v>
      </c>
      <c r="AZ40" s="2">
        <f t="shared" si="55"/>
        <v>16889.186260673338</v>
      </c>
      <c r="BA40" s="2">
        <f t="shared" si="14"/>
        <v>54821.806954927248</v>
      </c>
      <c r="BB40" s="2">
        <f t="shared" si="15"/>
        <v>0</v>
      </c>
      <c r="BC40" s="2"/>
      <c r="BM40" s="22"/>
      <c r="BN40">
        <f t="shared" si="5"/>
        <v>2012</v>
      </c>
      <c r="BO40" s="1" t="b">
        <f t="shared" si="31"/>
        <v>1</v>
      </c>
      <c r="BQ40" s="1" t="b">
        <f t="shared" ref="BQ40:BQ42" si="56">AND((U40/$Z40)&gt;0.15,(U40/$Z40)&lt;0.25)</f>
        <v>1</v>
      </c>
      <c r="BR40" s="1" t="b">
        <f t="shared" ref="BR40:BR42" si="57">AND((V40/$Z40)&gt;0.05,(V40/$Z40)&lt;0.15)</f>
        <v>1</v>
      </c>
      <c r="BT40" s="1" t="b">
        <f t="shared" si="50"/>
        <v>1</v>
      </c>
      <c r="BU40" s="1" t="b">
        <f t="shared" si="33"/>
        <v>1</v>
      </c>
      <c r="BV40" s="1" t="b">
        <f t="shared" si="34"/>
        <v>1</v>
      </c>
      <c r="CH40" s="2"/>
    </row>
    <row r="41" spans="1:86" x14ac:dyDescent="0.25">
      <c r="A41">
        <f t="shared" si="8"/>
        <v>2013</v>
      </c>
      <c r="B41" s="2">
        <f t="shared" si="47"/>
        <v>15489.388004610155</v>
      </c>
      <c r="C41" s="2"/>
      <c r="D41" s="2">
        <f t="shared" ref="D41:E42" si="58">AV40*(1+(D17/100))</f>
        <v>16908.630816064837</v>
      </c>
      <c r="E41" s="2">
        <f t="shared" si="58"/>
        <v>6219.9526365079482</v>
      </c>
      <c r="F41" s="2"/>
      <c r="G41" s="2">
        <f t="shared" ref="G41:H42" si="59">AY40*(1+(G17/100))</f>
        <v>10548.761081700233</v>
      </c>
      <c r="H41" s="2">
        <f t="shared" si="59"/>
        <v>16507.490651182121</v>
      </c>
      <c r="I41" s="2">
        <f t="shared" si="35"/>
        <v>65674.223190065299</v>
      </c>
      <c r="J41" s="2">
        <f t="shared" si="19"/>
        <v>4794.546694851073</v>
      </c>
      <c r="K41" s="6">
        <f t="shared" si="20"/>
        <v>7.8754470635664001E-2</v>
      </c>
      <c r="L41" s="7">
        <f t="shared" si="21"/>
        <v>1.078754470635664</v>
      </c>
      <c r="N41">
        <f t="shared" si="22"/>
        <v>2013</v>
      </c>
      <c r="O41" s="2">
        <f t="shared" si="23"/>
        <v>6127.8737782156004</v>
      </c>
      <c r="P41" s="2"/>
      <c r="Q41" s="2"/>
      <c r="R41">
        <f t="shared" si="24"/>
        <v>2013</v>
      </c>
      <c r="S41" s="2">
        <f t="shared" si="9"/>
        <v>14263.813248967035</v>
      </c>
      <c r="T41" s="2"/>
      <c r="U41" s="2">
        <f t="shared" si="10"/>
        <v>15683.056060421717</v>
      </c>
      <c r="V41" s="2">
        <f t="shared" si="10"/>
        <v>4994.3778808648276</v>
      </c>
      <c r="W41" s="2"/>
      <c r="X41" s="2">
        <f t="shared" si="11"/>
        <v>9323.1863260571135</v>
      </c>
      <c r="Y41" s="2">
        <f t="shared" si="11"/>
        <v>15281.915895539001</v>
      </c>
      <c r="Z41" s="2">
        <f t="shared" ref="Z41:Z45" si="60">SUM(S41:Y41)</f>
        <v>59546.349411849689</v>
      </c>
      <c r="AA41" s="2">
        <f t="shared" si="25"/>
        <v>4724.5424569224415</v>
      </c>
      <c r="AB41" s="6">
        <f t="shared" si="26"/>
        <v>8.6179984195099785E-2</v>
      </c>
      <c r="AC41" s="7">
        <f t="shared" si="27"/>
        <v>1.0861799841950999</v>
      </c>
      <c r="AD41" s="2">
        <f t="shared" si="37"/>
        <v>0</v>
      </c>
      <c r="AE41" s="2"/>
      <c r="AG41">
        <f t="shared" si="12"/>
        <v>2013</v>
      </c>
      <c r="AH41" s="6">
        <f t="shared" si="6"/>
        <v>0.23954135542906255</v>
      </c>
      <c r="AI41" s="7"/>
      <c r="AJ41" s="6">
        <f t="shared" si="6"/>
        <v>0.26337560934173404</v>
      </c>
      <c r="AK41" s="6">
        <f t="shared" si="6"/>
        <v>8.387378790127728E-2</v>
      </c>
      <c r="AL41" s="7"/>
      <c r="AM41" s="6">
        <f t="shared" si="6"/>
        <v>0.15657024180565141</v>
      </c>
      <c r="AN41" s="6">
        <f t="shared" si="6"/>
        <v>0.25663900552227487</v>
      </c>
      <c r="AO41" s="55">
        <f t="shared" si="13"/>
        <v>1.0000000000000002</v>
      </c>
      <c r="AP41" s="7">
        <f t="shared" si="28"/>
        <v>0.7433609944777253</v>
      </c>
      <c r="AQ41" s="7">
        <f t="shared" si="29"/>
        <v>0</v>
      </c>
      <c r="AS41">
        <f t="shared" si="30"/>
        <v>2013</v>
      </c>
      <c r="AT41" s="2">
        <f t="shared" ref="AT41:AT45" si="61">S41</f>
        <v>14263.813248967035</v>
      </c>
      <c r="AU41" s="2"/>
      <c r="AV41" s="2">
        <f t="shared" si="54"/>
        <v>15683.056060421717</v>
      </c>
      <c r="AW41" s="2">
        <f t="shared" si="54"/>
        <v>4994.3778808648276</v>
      </c>
      <c r="AX41" s="2"/>
      <c r="AY41" s="2">
        <f t="shared" si="55"/>
        <v>9323.1863260571135</v>
      </c>
      <c r="AZ41" s="2">
        <f t="shared" si="55"/>
        <v>15281.915895539001</v>
      </c>
      <c r="BA41" s="2">
        <f t="shared" si="14"/>
        <v>59546.349411849689</v>
      </c>
      <c r="BB41" s="2">
        <f t="shared" si="15"/>
        <v>0</v>
      </c>
      <c r="BC41" s="2"/>
      <c r="BM41" s="22"/>
      <c r="BO41" s="1"/>
      <c r="BQ41" s="1"/>
      <c r="BR41" s="1"/>
      <c r="BT41" s="1"/>
      <c r="BU41" s="1"/>
      <c r="BV41" s="1"/>
      <c r="CH41" s="2"/>
    </row>
    <row r="42" spans="1:86" x14ac:dyDescent="0.25">
      <c r="A42">
        <f t="shared" si="8"/>
        <v>2014</v>
      </c>
      <c r="B42" s="2">
        <f t="shared" si="47"/>
        <v>16190.854418902481</v>
      </c>
      <c r="C42" s="2"/>
      <c r="D42" s="2">
        <f t="shared" si="58"/>
        <v>17815.951684639072</v>
      </c>
      <c r="E42" s="2">
        <f t="shared" si="58"/>
        <v>5362.4635306845657</v>
      </c>
      <c r="F42" s="2"/>
      <c r="G42" s="2">
        <f t="shared" si="59"/>
        <v>8927.8832258322927</v>
      </c>
      <c r="H42" s="2">
        <f t="shared" si="59"/>
        <v>16162.154251122049</v>
      </c>
      <c r="I42" s="2">
        <f t="shared" si="35"/>
        <v>64459.30711118046</v>
      </c>
      <c r="J42" s="2">
        <f t="shared" si="19"/>
        <v>-1214.9160788848385</v>
      </c>
      <c r="K42" s="6">
        <f t="shared" si="20"/>
        <v>-1.8499131316236442E-2</v>
      </c>
      <c r="L42" s="7">
        <f t="shared" si="21"/>
        <v>0.98150086868376352</v>
      </c>
      <c r="N42">
        <f t="shared" si="22"/>
        <v>2014</v>
      </c>
      <c r="O42" s="2">
        <f t="shared" si="23"/>
        <v>6206.9233499545808</v>
      </c>
      <c r="P42" s="2"/>
      <c r="Q42" s="2"/>
      <c r="R42">
        <f t="shared" si="24"/>
        <v>2014</v>
      </c>
      <c r="S42" s="2">
        <f t="shared" si="9"/>
        <v>14949.469748911566</v>
      </c>
      <c r="T42" s="2"/>
      <c r="U42" s="2">
        <f t="shared" si="10"/>
        <v>16574.567014648157</v>
      </c>
      <c r="V42" s="2">
        <f t="shared" si="10"/>
        <v>4121.0788606936494</v>
      </c>
      <c r="W42" s="2"/>
      <c r="X42" s="2">
        <f t="shared" si="11"/>
        <v>7686.4985558413764</v>
      </c>
      <c r="Y42" s="2">
        <f t="shared" si="11"/>
        <v>14920.769581131133</v>
      </c>
      <c r="Z42" s="2">
        <f t="shared" si="60"/>
        <v>58252.383761225879</v>
      </c>
      <c r="AA42" s="2">
        <f t="shared" si="25"/>
        <v>-1293.9656506238098</v>
      </c>
      <c r="AB42" s="6">
        <f t="shared" si="26"/>
        <v>-2.1730394279490646E-2</v>
      </c>
      <c r="AC42" s="7">
        <f t="shared" si="27"/>
        <v>0.97826960572050936</v>
      </c>
      <c r="AD42" s="2">
        <f t="shared" si="37"/>
        <v>0</v>
      </c>
      <c r="AE42" s="2"/>
      <c r="AG42">
        <f t="shared" si="12"/>
        <v>2014</v>
      </c>
      <c r="AH42" s="6">
        <f t="shared" si="6"/>
        <v>0.25663275532532415</v>
      </c>
      <c r="AI42" s="7"/>
      <c r="AJ42" s="6">
        <f t="shared" si="6"/>
        <v>0.28453027918285068</v>
      </c>
      <c r="AK42" s="6">
        <f t="shared" si="6"/>
        <v>7.0745239844360389E-2</v>
      </c>
      <c r="AL42" s="7"/>
      <c r="AM42" s="6">
        <f t="shared" si="6"/>
        <v>0.13195165690296928</v>
      </c>
      <c r="AN42" s="6">
        <f t="shared" si="6"/>
        <v>0.25614006874449557</v>
      </c>
      <c r="AO42" s="55">
        <f t="shared" si="13"/>
        <v>1</v>
      </c>
      <c r="AP42" s="7">
        <f t="shared" si="28"/>
        <v>0.74385993125550454</v>
      </c>
      <c r="AQ42" s="7">
        <f t="shared" si="29"/>
        <v>0</v>
      </c>
      <c r="AS42">
        <f t="shared" si="30"/>
        <v>2014</v>
      </c>
      <c r="AT42" s="2">
        <f t="shared" si="61"/>
        <v>14949.469748911566</v>
      </c>
      <c r="AU42" s="2"/>
      <c r="AV42" s="2">
        <f t="shared" si="54"/>
        <v>16574.567014648157</v>
      </c>
      <c r="AW42" s="2">
        <f t="shared" si="54"/>
        <v>4121.0788606936494</v>
      </c>
      <c r="AX42" s="2"/>
      <c r="AY42" s="2">
        <f t="shared" si="55"/>
        <v>7686.4985558413764</v>
      </c>
      <c r="AZ42" s="2">
        <f t="shared" si="55"/>
        <v>14920.769581131133</v>
      </c>
      <c r="BA42" s="2">
        <f t="shared" si="14"/>
        <v>58252.383761225879</v>
      </c>
      <c r="BB42" s="2">
        <f t="shared" si="15"/>
        <v>0</v>
      </c>
      <c r="BC42" s="2"/>
      <c r="BM42" s="22"/>
      <c r="BN42">
        <f t="shared" si="5"/>
        <v>2014</v>
      </c>
      <c r="BO42" s="1" t="b">
        <f t="shared" si="31"/>
        <v>0</v>
      </c>
      <c r="BQ42" s="1" t="b">
        <f t="shared" si="56"/>
        <v>0</v>
      </c>
      <c r="BR42" s="1" t="b">
        <f t="shared" si="57"/>
        <v>1</v>
      </c>
      <c r="BT42" s="1" t="b">
        <f t="shared" si="50"/>
        <v>0</v>
      </c>
      <c r="BU42" s="1" t="b">
        <f t="shared" si="33"/>
        <v>1</v>
      </c>
      <c r="BV42" s="1" t="b">
        <f t="shared" si="34"/>
        <v>1</v>
      </c>
      <c r="CH42" s="2"/>
    </row>
    <row r="43" spans="1:86" x14ac:dyDescent="0.25">
      <c r="A43">
        <f t="shared" si="8"/>
        <v>2015</v>
      </c>
      <c r="B43" s="2">
        <f t="shared" si="47"/>
        <v>15136.33812077296</v>
      </c>
      <c r="C43" s="2"/>
      <c r="D43" s="2">
        <f>AV42*(1+(D19/100))</f>
        <v>16332.578336234295</v>
      </c>
      <c r="E43" s="2">
        <f>AW42*(1+(E19/100))</f>
        <v>3965.302079759429</v>
      </c>
      <c r="F43" s="2"/>
      <c r="G43" s="2">
        <f>AY42*(1+(G19/100))</f>
        <v>7350.598568951109</v>
      </c>
      <c r="H43" s="2">
        <f>AZ42*(1+(H19/100))</f>
        <v>14965.531889874524</v>
      </c>
      <c r="I43" s="2">
        <f t="shared" si="35"/>
        <v>57750.348995592314</v>
      </c>
      <c r="J43" s="2">
        <f t="shared" si="19"/>
        <v>-6708.958115588146</v>
      </c>
      <c r="K43" s="6">
        <f t="shared" si="20"/>
        <v>-0.10408051864436622</v>
      </c>
      <c r="L43" s="7">
        <f t="shared" si="21"/>
        <v>0.89591948135563382</v>
      </c>
      <c r="N43">
        <f t="shared" si="22"/>
        <v>2015</v>
      </c>
      <c r="O43" s="2">
        <f t="shared" si="23"/>
        <v>6234.2338126943805</v>
      </c>
      <c r="P43" s="2"/>
      <c r="Q43" s="2"/>
      <c r="R43">
        <f t="shared" si="24"/>
        <v>2015</v>
      </c>
      <c r="S43" s="2">
        <f t="shared" si="9"/>
        <v>13889.491358234083</v>
      </c>
      <c r="T43" s="2"/>
      <c r="U43" s="2">
        <f t="shared" si="10"/>
        <v>15085.731573695419</v>
      </c>
      <c r="V43" s="2">
        <f t="shared" si="10"/>
        <v>2718.4553172205528</v>
      </c>
      <c r="W43" s="2"/>
      <c r="X43" s="2">
        <f t="shared" si="11"/>
        <v>6103.7518064122323</v>
      </c>
      <c r="Y43" s="2">
        <f t="shared" si="11"/>
        <v>13718.685127335648</v>
      </c>
      <c r="Z43" s="2">
        <f t="shared" si="60"/>
        <v>51516.115182897935</v>
      </c>
      <c r="AA43" s="2">
        <f t="shared" si="25"/>
        <v>-6736.2685783279449</v>
      </c>
      <c r="AB43" s="6">
        <f t="shared" si="26"/>
        <v>-0.1156393634626118</v>
      </c>
      <c r="AC43" s="7">
        <f t="shared" si="27"/>
        <v>0.88436063653738817</v>
      </c>
      <c r="AD43" s="2">
        <f t="shared" si="37"/>
        <v>0</v>
      </c>
      <c r="AE43" s="2"/>
      <c r="AG43">
        <f t="shared" si="12"/>
        <v>2015</v>
      </c>
      <c r="AH43" s="6">
        <f t="shared" ref="AH43:AH45" si="62">S43/$Z43</f>
        <v>0.26961449458916203</v>
      </c>
      <c r="AI43" s="7"/>
      <c r="AJ43" s="6">
        <f t="shared" ref="AJ43:AK45" si="63">U43/$Z43</f>
        <v>0.29283519380559786</v>
      </c>
      <c r="AK43" s="6">
        <f t="shared" si="63"/>
        <v>5.2769027857966513E-2</v>
      </c>
      <c r="AL43" s="7"/>
      <c r="AM43" s="6">
        <f t="shared" ref="AM43:AN45" si="64">X43/$Z43</f>
        <v>0.11848237749958533</v>
      </c>
      <c r="AN43" s="6">
        <f t="shared" si="64"/>
        <v>0.26629890624768826</v>
      </c>
      <c r="AO43" s="55">
        <f t="shared" si="13"/>
        <v>1</v>
      </c>
      <c r="AP43" s="7">
        <f t="shared" si="28"/>
        <v>0.73370109375231174</v>
      </c>
      <c r="AQ43" s="7">
        <f t="shared" si="29"/>
        <v>0</v>
      </c>
      <c r="AS43">
        <f t="shared" si="30"/>
        <v>2015</v>
      </c>
      <c r="AT43" s="2">
        <f t="shared" si="61"/>
        <v>13889.491358234083</v>
      </c>
      <c r="AU43" s="2"/>
      <c r="AV43" s="2">
        <f t="shared" si="54"/>
        <v>15085.731573695419</v>
      </c>
      <c r="AW43" s="2">
        <f t="shared" si="54"/>
        <v>2718.4553172205528</v>
      </c>
      <c r="AX43" s="2"/>
      <c r="AY43" s="2">
        <f t="shared" si="55"/>
        <v>6103.7518064122323</v>
      </c>
      <c r="AZ43" s="2">
        <f t="shared" si="55"/>
        <v>13718.685127335648</v>
      </c>
      <c r="BA43" s="2">
        <f t="shared" si="14"/>
        <v>51516.115182897935</v>
      </c>
      <c r="BB43" s="2">
        <f t="shared" si="15"/>
        <v>0</v>
      </c>
      <c r="BC43" s="2"/>
      <c r="BM43" s="22"/>
      <c r="BO43" s="1"/>
      <c r="BQ43" s="1"/>
      <c r="BR43" s="1"/>
      <c r="BT43" s="1"/>
      <c r="BU43" s="1"/>
      <c r="BV43" s="1"/>
      <c r="CH43" s="2"/>
    </row>
    <row r="44" spans="1:86" x14ac:dyDescent="0.25">
      <c r="A44">
        <f t="shared" ref="A44:A45" si="65">A20</f>
        <v>2016</v>
      </c>
      <c r="B44" s="2">
        <f t="shared" ref="B44:B45" si="66">AT43*(1+(B20/100))</f>
        <v>15531.229236777353</v>
      </c>
      <c r="C44" s="2"/>
      <c r="D44" s="2">
        <f t="shared" ref="D44:E45" si="67">AV43*(1+(D20/100))</f>
        <v>16755.722058903502</v>
      </c>
      <c r="E44" s="2">
        <f t="shared" si="67"/>
        <v>3212.3986483595272</v>
      </c>
      <c r="F44" s="2"/>
      <c r="G44" s="2">
        <f t="shared" ref="G44:H45" si="68">AY43*(1+(G20/100))</f>
        <v>6387.576265410401</v>
      </c>
      <c r="H44" s="2">
        <f t="shared" si="68"/>
        <v>14061.652255519039</v>
      </c>
      <c r="I44" s="2">
        <f t="shared" si="35"/>
        <v>55948.578464969825</v>
      </c>
      <c r="J44" s="2">
        <f t="shared" si="19"/>
        <v>-1801.7705306224889</v>
      </c>
      <c r="K44" s="6">
        <f t="shared" si="20"/>
        <v>-3.1199301163703886E-2</v>
      </c>
      <c r="L44" s="7">
        <f t="shared" si="21"/>
        <v>0.96880069883629616</v>
      </c>
      <c r="N44">
        <f t="shared" si="22"/>
        <v>2016</v>
      </c>
      <c r="O44" s="2">
        <f t="shared" ref="O44:O45" si="69">O43*(1+O20)</f>
        <v>6340.2157875101848</v>
      </c>
      <c r="P44" s="2"/>
      <c r="Q44" s="2"/>
      <c r="R44">
        <f t="shared" si="24"/>
        <v>2016</v>
      </c>
      <c r="S44" s="2">
        <f t="shared" si="9"/>
        <v>14263.186079275316</v>
      </c>
      <c r="T44" s="2"/>
      <c r="U44" s="2">
        <f t="shared" ref="U44:V45" si="70">D44-($O44/5)</f>
        <v>15487.678901401465</v>
      </c>
      <c r="V44" s="2">
        <f t="shared" si="70"/>
        <v>1944.3554908574902</v>
      </c>
      <c r="W44" s="2"/>
      <c r="X44" s="2">
        <f t="shared" ref="X44:Y45" si="71">G44-($O44/5)</f>
        <v>5119.5331079083644</v>
      </c>
      <c r="Y44" s="2">
        <f t="shared" si="71"/>
        <v>12793.609098017001</v>
      </c>
      <c r="Z44" s="2">
        <f t="shared" si="60"/>
        <v>49608.362677459634</v>
      </c>
      <c r="AA44" s="2">
        <f t="shared" si="25"/>
        <v>-1907.7525054383004</v>
      </c>
      <c r="AB44" s="6">
        <f t="shared" si="26"/>
        <v>-3.7032150011024639E-2</v>
      </c>
      <c r="AC44" s="7">
        <f t="shared" si="27"/>
        <v>0.96296784998897533</v>
      </c>
      <c r="AD44" s="2">
        <f t="shared" si="37"/>
        <v>0</v>
      </c>
      <c r="AE44" s="2"/>
      <c r="AG44">
        <f t="shared" si="12"/>
        <v>2016</v>
      </c>
      <c r="AH44" s="6">
        <f t="shared" si="62"/>
        <v>0.28751575963130965</v>
      </c>
      <c r="AI44" s="7"/>
      <c r="AJ44" s="6">
        <f t="shared" si="63"/>
        <v>0.31219895327121011</v>
      </c>
      <c r="AK44" s="6">
        <f t="shared" si="63"/>
        <v>3.9194107322170095E-2</v>
      </c>
      <c r="AL44" s="7"/>
      <c r="AM44" s="6">
        <f t="shared" si="64"/>
        <v>0.1031989937098752</v>
      </c>
      <c r="AN44" s="6">
        <f t="shared" si="64"/>
        <v>0.25789218606543501</v>
      </c>
      <c r="AO44" s="55">
        <f t="shared" si="13"/>
        <v>1</v>
      </c>
      <c r="AP44" s="7">
        <f t="shared" si="28"/>
        <v>0.74210781393456504</v>
      </c>
      <c r="AQ44" s="7">
        <f t="shared" si="29"/>
        <v>0</v>
      </c>
      <c r="AS44">
        <f t="shared" si="30"/>
        <v>2016</v>
      </c>
      <c r="AT44" s="2">
        <f t="shared" si="61"/>
        <v>14263.186079275316</v>
      </c>
      <c r="AU44" s="2"/>
      <c r="AV44" s="2">
        <f t="shared" si="54"/>
        <v>15487.678901401465</v>
      </c>
      <c r="AW44" s="2">
        <f t="shared" si="54"/>
        <v>1944.3554908574902</v>
      </c>
      <c r="AX44" s="2"/>
      <c r="AY44" s="2">
        <f t="shared" si="55"/>
        <v>5119.5331079083644</v>
      </c>
      <c r="AZ44" s="2">
        <f t="shared" si="55"/>
        <v>12793.609098017001</v>
      </c>
      <c r="BA44" s="2">
        <f t="shared" si="14"/>
        <v>49608.362677459634</v>
      </c>
      <c r="BB44" s="2">
        <f t="shared" si="15"/>
        <v>0</v>
      </c>
      <c r="BC44" s="2"/>
      <c r="BM44" s="22"/>
      <c r="BO44" s="1"/>
      <c r="BQ44" s="1"/>
      <c r="BR44" s="1"/>
      <c r="BT44" s="1"/>
      <c r="BU44" s="1"/>
      <c r="BV44" s="1"/>
      <c r="CH44" s="2"/>
    </row>
    <row r="45" spans="1:86" x14ac:dyDescent="0.25">
      <c r="A45">
        <f t="shared" si="65"/>
        <v>2017</v>
      </c>
      <c r="B45" s="2">
        <f t="shared" si="66"/>
        <v>17354.018502654275</v>
      </c>
      <c r="C45" s="2"/>
      <c r="D45" s="2">
        <f t="shared" si="67"/>
        <v>18523.263966076152</v>
      </c>
      <c r="E45" s="2">
        <f t="shared" si="67"/>
        <v>2257.3967248855461</v>
      </c>
      <c r="F45" s="2"/>
      <c r="G45" s="2">
        <f t="shared" si="68"/>
        <v>6522.285179475256</v>
      </c>
      <c r="H45" s="2">
        <f t="shared" si="68"/>
        <v>13236.267972808389</v>
      </c>
      <c r="I45" s="2">
        <f t="shared" si="35"/>
        <v>57893.232345899618</v>
      </c>
      <c r="J45" s="2">
        <f t="shared" si="19"/>
        <v>1944.6538809297926</v>
      </c>
      <c r="K45" s="6">
        <f t="shared" si="20"/>
        <v>3.4757878292606972E-2</v>
      </c>
      <c r="L45" s="7">
        <f t="shared" si="21"/>
        <v>1.034757878292607</v>
      </c>
      <c r="N45">
        <f t="shared" si="22"/>
        <v>2017</v>
      </c>
      <c r="O45" s="2">
        <f t="shared" si="69"/>
        <v>6481.6025995716618</v>
      </c>
      <c r="P45" s="2"/>
      <c r="Q45" s="2"/>
      <c r="R45">
        <f t="shared" si="24"/>
        <v>2017</v>
      </c>
      <c r="S45" s="2">
        <f t="shared" si="9"/>
        <v>16057.697982739943</v>
      </c>
      <c r="T45" s="2"/>
      <c r="U45" s="2">
        <f t="shared" si="70"/>
        <v>17226.943446161818</v>
      </c>
      <c r="V45" s="2">
        <f t="shared" si="70"/>
        <v>961.07620497121366</v>
      </c>
      <c r="W45" s="2"/>
      <c r="X45" s="2">
        <f t="shared" si="71"/>
        <v>5225.9646595609238</v>
      </c>
      <c r="Y45" s="2">
        <f t="shared" si="71"/>
        <v>11939.947452894057</v>
      </c>
      <c r="Z45" s="2">
        <f t="shared" si="60"/>
        <v>51411.629746327955</v>
      </c>
      <c r="AA45" s="2">
        <f t="shared" si="25"/>
        <v>1803.2670688683211</v>
      </c>
      <c r="AB45" s="6">
        <f t="shared" si="26"/>
        <v>3.6350062198034702E-2</v>
      </c>
      <c r="AC45" s="7">
        <f t="shared" si="27"/>
        <v>1.0363500621980346</v>
      </c>
      <c r="AD45" s="2">
        <f t="shared" si="37"/>
        <v>0</v>
      </c>
      <c r="AE45" s="2"/>
      <c r="AG45">
        <f t="shared" si="12"/>
        <v>2017</v>
      </c>
      <c r="AH45" s="6">
        <f t="shared" si="62"/>
        <v>0.31233590652486276</v>
      </c>
      <c r="AI45" s="7"/>
      <c r="AJ45" s="6">
        <f t="shared" si="63"/>
        <v>0.3350787269565646</v>
      </c>
      <c r="AK45" s="6">
        <f t="shared" si="63"/>
        <v>1.8693750999789264E-2</v>
      </c>
      <c r="AL45" s="7"/>
      <c r="AM45" s="6">
        <f t="shared" si="64"/>
        <v>0.1016494650207852</v>
      </c>
      <c r="AN45" s="6">
        <f t="shared" si="64"/>
        <v>0.23224215049799818</v>
      </c>
      <c r="AO45" s="55">
        <f t="shared" si="13"/>
        <v>1</v>
      </c>
      <c r="AP45" s="7">
        <f t="shared" si="28"/>
        <v>0.76775784950200188</v>
      </c>
      <c r="AQ45" s="7">
        <f t="shared" si="29"/>
        <v>0</v>
      </c>
      <c r="AS45">
        <f t="shared" si="30"/>
        <v>2017</v>
      </c>
      <c r="AT45" s="2">
        <f t="shared" si="61"/>
        <v>16057.697982739943</v>
      </c>
      <c r="AU45" s="2"/>
      <c r="AV45" s="2">
        <f t="shared" si="54"/>
        <v>17226.943446161818</v>
      </c>
      <c r="AW45" s="2">
        <f t="shared" si="54"/>
        <v>961.07620497121366</v>
      </c>
      <c r="AX45" s="2"/>
      <c r="AY45" s="2">
        <f t="shared" si="55"/>
        <v>5225.9646595609238</v>
      </c>
      <c r="AZ45" s="2">
        <f t="shared" si="55"/>
        <v>11939.947452894057</v>
      </c>
      <c r="BA45" s="2">
        <f t="shared" si="14"/>
        <v>51411.629746327955</v>
      </c>
      <c r="BB45" s="2">
        <f t="shared" si="15"/>
        <v>0</v>
      </c>
      <c r="BC45" s="2"/>
      <c r="BM45" s="22"/>
      <c r="BO45" s="1"/>
      <c r="BQ45" s="1"/>
      <c r="BR45" s="1"/>
      <c r="BT45" s="1"/>
      <c r="BU45" s="1"/>
      <c r="BV45" s="1"/>
      <c r="CH45" s="2"/>
    </row>
    <row r="46" spans="1:86" x14ac:dyDescent="0.25">
      <c r="A46" s="9" t="s">
        <v>41</v>
      </c>
      <c r="B46" s="10">
        <f>AT45</f>
        <v>16057.697982739943</v>
      </c>
      <c r="C46" s="10"/>
      <c r="D46" s="10">
        <f>AV45</f>
        <v>17226.943446161818</v>
      </c>
      <c r="E46" s="10">
        <f>AW45</f>
        <v>961.07620497121366</v>
      </c>
      <c r="F46" s="10"/>
      <c r="G46" s="10">
        <f>AY45</f>
        <v>5225.9646595609238</v>
      </c>
      <c r="H46" s="10">
        <f>AZ45</f>
        <v>11939.947452894057</v>
      </c>
      <c r="I46" s="10">
        <f>SUM(B46:H46)</f>
        <v>51411.629746327955</v>
      </c>
      <c r="J46" s="10"/>
      <c r="K46" s="10"/>
      <c r="N46" t="s">
        <v>68</v>
      </c>
      <c r="O46" s="2">
        <f>O42</f>
        <v>6206.9233499545808</v>
      </c>
      <c r="P46" s="2"/>
      <c r="R46" s="9" t="s">
        <v>41</v>
      </c>
      <c r="S46" s="10">
        <f>S45</f>
        <v>16057.697982739943</v>
      </c>
      <c r="T46" s="10"/>
      <c r="U46" s="10">
        <f>U45</f>
        <v>17226.943446161818</v>
      </c>
      <c r="V46" s="10">
        <f>V45</f>
        <v>961.07620497121366</v>
      </c>
      <c r="W46" s="10"/>
      <c r="X46" s="10">
        <f>X45</f>
        <v>5225.9646595609238</v>
      </c>
      <c r="Y46" s="10">
        <f>Y45</f>
        <v>11939.947452894057</v>
      </c>
      <c r="Z46" s="10">
        <f>SUM(S46:Y46)</f>
        <v>51411.629746327955</v>
      </c>
      <c r="AA46" s="40"/>
      <c r="AB46" s="40"/>
      <c r="AC46" s="40"/>
      <c r="AD46" s="40"/>
      <c r="AE46" s="40"/>
      <c r="AK46" s="7"/>
    </row>
    <row r="47" spans="1:86" x14ac:dyDescent="0.25">
      <c r="A47" s="11" t="s">
        <v>28</v>
      </c>
      <c r="I47" s="6">
        <f>(Z46-Z27)/Z27</f>
        <v>-0.48588370253672047</v>
      </c>
      <c r="K47" s="6"/>
      <c r="N47" t="s">
        <v>114</v>
      </c>
      <c r="O47" s="2">
        <f>SUM(O28:O45)</f>
        <v>100384.98681376441</v>
      </c>
      <c r="P47" s="2"/>
    </row>
    <row r="48" spans="1:86" x14ac:dyDescent="0.25">
      <c r="A48" s="1" t="s">
        <v>29</v>
      </c>
      <c r="I48" s="12">
        <f>STDEV(AC28:AC45)</f>
        <v>0.10465742842426999</v>
      </c>
    </row>
    <row r="49" spans="1:16" x14ac:dyDescent="0.25">
      <c r="A49" s="1" t="s">
        <v>30</v>
      </c>
      <c r="I49" s="13">
        <f>((1+I47)^(1/16))-1</f>
        <v>-4.0728955130078126E-2</v>
      </c>
    </row>
    <row r="50" spans="1:16" x14ac:dyDescent="0.25">
      <c r="A50" s="1" t="s">
        <v>45</v>
      </c>
      <c r="I50" s="28">
        <f>AA36</f>
        <v>-33097.628470643009</v>
      </c>
      <c r="O50" s="2"/>
      <c r="P50" s="2"/>
    </row>
    <row r="51" spans="1:16" x14ac:dyDescent="0.25">
      <c r="A51" s="1" t="s">
        <v>46</v>
      </c>
      <c r="I51" s="29">
        <f>AB36</f>
        <v>-0.35593362808009943</v>
      </c>
    </row>
    <row r="52" spans="1:16" x14ac:dyDescent="0.25">
      <c r="A52" s="1" t="s">
        <v>22</v>
      </c>
      <c r="I52" s="2">
        <f>O47</f>
        <v>100384.98681376441</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EBA3-7751-418C-A777-FD16F0A7DE4F}">
  <dimension ref="A1:BM56"/>
  <sheetViews>
    <sheetView topLeftCell="A21" workbookViewId="0">
      <pane ySplit="900" topLeftCell="A20" activePane="bottomLeft"/>
      <selection activeCell="O28" sqref="O28"/>
      <selection pane="bottomLeft" activeCell="A27" sqref="A27"/>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95</v>
      </c>
      <c r="N1" s="18" t="s">
        <v>67</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4" spans="1:65" x14ac:dyDescent="0.25">
      <c r="A24" s="18" t="s">
        <v>12</v>
      </c>
      <c r="N24" s="18" t="s">
        <v>119</v>
      </c>
      <c r="R24" s="18" t="s">
        <v>17</v>
      </c>
      <c r="AG24" s="18" t="s">
        <v>18</v>
      </c>
      <c r="AS24" s="18" t="s">
        <v>121</v>
      </c>
      <c r="BC24" s="18" t="s">
        <v>19</v>
      </c>
    </row>
    <row r="25" spans="1:65"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O25" s="68">
        <f>'4.5% Withdrawals-No Rebalancing'!O25</f>
        <v>4.4999999999999998E-2</v>
      </c>
      <c r="S25" s="4" t="str">
        <f t="shared" ref="S25:Z27"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5" t="s">
        <v>7</v>
      </c>
      <c r="AT25" s="4" t="str">
        <f t="shared" ref="AT25:AZ26" si="3">AH25</f>
        <v>LC Stocks</v>
      </c>
      <c r="AU25" s="4" t="str">
        <f t="shared" si="3"/>
        <v>Ext Mkt</v>
      </c>
      <c r="AV25" s="4" t="str">
        <f t="shared" si="3"/>
        <v>Mcap Stk</v>
      </c>
      <c r="AW25" s="4" t="str">
        <f t="shared" si="3"/>
        <v>Small Cap</v>
      </c>
      <c r="AX25" s="4" t="str">
        <f t="shared" si="3"/>
        <v>Intl Val</v>
      </c>
      <c r="AY25" s="4" t="str">
        <f t="shared" si="3"/>
        <v>Tot Int Stk</v>
      </c>
      <c r="AZ25" s="4" t="str">
        <f t="shared" si="3"/>
        <v>Bonds</v>
      </c>
      <c r="BA25" s="5"/>
      <c r="BD25" s="4" t="str">
        <f>AT25</f>
        <v>LC Stocks</v>
      </c>
      <c r="BE25" s="4" t="str">
        <f t="shared" ref="BE25:BK27" si="4">AU25</f>
        <v>Ext Mkt</v>
      </c>
      <c r="BF25" s="4" t="str">
        <f t="shared" si="4"/>
        <v>Mcap Stk</v>
      </c>
      <c r="BG25" s="4" t="str">
        <f t="shared" si="4"/>
        <v>Small Cap</v>
      </c>
      <c r="BH25" s="4" t="str">
        <f t="shared" si="4"/>
        <v>Intl Val</v>
      </c>
      <c r="BI25" s="4" t="str">
        <f t="shared" si="4"/>
        <v>Tot Int Stk</v>
      </c>
      <c r="BJ25" s="4" t="str">
        <f t="shared" si="4"/>
        <v>Bonds</v>
      </c>
      <c r="BK25" s="4"/>
      <c r="BL25" t="s">
        <v>51</v>
      </c>
    </row>
    <row r="26" spans="1:65"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5" t="s">
        <v>50</v>
      </c>
      <c r="AS26" t="str">
        <f>AG26</f>
        <v>Fund</v>
      </c>
      <c r="AT26" s="4" t="str">
        <f t="shared" si="3"/>
        <v>VFINX</v>
      </c>
      <c r="AU26" s="4" t="str">
        <f t="shared" si="3"/>
        <v>VEXMX</v>
      </c>
      <c r="AV26" s="4" t="str">
        <f t="shared" si="3"/>
        <v>VIMSX</v>
      </c>
      <c r="AW26" s="4" t="str">
        <f t="shared" si="3"/>
        <v>NAESX</v>
      </c>
      <c r="AX26" s="4" t="str">
        <f t="shared" si="3"/>
        <v>VTRIX</v>
      </c>
      <c r="AY26" s="4" t="str">
        <f t="shared" si="3"/>
        <v>VGTSX</v>
      </c>
      <c r="AZ26" s="4" t="str">
        <f t="shared" si="3"/>
        <v>VBMFX</v>
      </c>
      <c r="BA26" s="4" t="str">
        <f>AO26</f>
        <v>Total</v>
      </c>
      <c r="BC26" t="s">
        <v>116</v>
      </c>
      <c r="BD26" s="4" t="str">
        <f>AT26</f>
        <v>VFINX</v>
      </c>
      <c r="BE26" s="4" t="str">
        <f t="shared" si="4"/>
        <v>VEXMX</v>
      </c>
      <c r="BF26" s="4" t="str">
        <f t="shared" si="4"/>
        <v>VIMSX</v>
      </c>
      <c r="BG26" s="4" t="str">
        <f t="shared" si="4"/>
        <v>NAESX</v>
      </c>
      <c r="BH26" s="4" t="str">
        <f t="shared" si="4"/>
        <v>VTRIX</v>
      </c>
      <c r="BI26" s="4" t="str">
        <f t="shared" si="4"/>
        <v>VGTSX</v>
      </c>
      <c r="BJ26" s="4" t="str">
        <f t="shared" si="4"/>
        <v>VBMFX</v>
      </c>
      <c r="BK26" s="4" t="str">
        <f t="shared" si="4"/>
        <v>Total</v>
      </c>
      <c r="BL26" t="s">
        <v>50</v>
      </c>
    </row>
    <row r="27" spans="1:65" x14ac:dyDescent="0.25">
      <c r="A27" t="s">
        <v>115</v>
      </c>
      <c r="B27" s="2">
        <v>60000</v>
      </c>
      <c r="C27" s="2"/>
      <c r="D27" s="2"/>
      <c r="E27" s="2"/>
      <c r="F27" s="2"/>
      <c r="G27" s="2"/>
      <c r="H27" s="2">
        <v>40000</v>
      </c>
      <c r="I27" s="2">
        <f>SUM(B27:H27)</f>
        <v>100000</v>
      </c>
      <c r="R27" t="str">
        <f>A27</f>
        <v>Stating Balance</v>
      </c>
      <c r="S27" s="2">
        <f>B27</f>
        <v>60000</v>
      </c>
      <c r="T27" s="2"/>
      <c r="U27" s="2"/>
      <c r="V27" s="2"/>
      <c r="W27" s="2"/>
      <c r="X27" s="2"/>
      <c r="Y27" s="2">
        <f t="shared" si="1"/>
        <v>40000</v>
      </c>
      <c r="Z27" s="2">
        <f t="shared" si="1"/>
        <v>100000</v>
      </c>
      <c r="AD27" s="2"/>
      <c r="AE27" s="2"/>
      <c r="AG27" s="19" t="s">
        <v>49</v>
      </c>
      <c r="AH27" s="6">
        <f t="shared" ref="AH27:AN42" si="5">S27/$Z27</f>
        <v>0.6</v>
      </c>
      <c r="AI27" s="6"/>
      <c r="AJ27" s="6"/>
      <c r="AK27" s="6"/>
      <c r="AL27" s="6"/>
      <c r="AM27" s="6"/>
      <c r="AN27" s="6">
        <f>Y27/$Z27</f>
        <v>0.4</v>
      </c>
      <c r="AO27" s="6">
        <f>Z27/$Z27</f>
        <v>1</v>
      </c>
      <c r="AP27" s="22"/>
      <c r="AR27" s="22"/>
      <c r="AS27" s="19" t="str">
        <f>AG27</f>
        <v>Target Allocation</v>
      </c>
      <c r="AT27" s="22">
        <f>AH27</f>
        <v>0.6</v>
      </c>
      <c r="AU27" s="71"/>
      <c r="AV27" s="71"/>
      <c r="AW27" s="71"/>
      <c r="AX27" s="71"/>
      <c r="AY27" s="71"/>
      <c r="AZ27" s="22">
        <f>AN27</f>
        <v>0.4</v>
      </c>
      <c r="BA27" s="22">
        <f>AO27</f>
        <v>1</v>
      </c>
      <c r="BC27" s="19" t="str">
        <f>AS27</f>
        <v>Target Allocation</v>
      </c>
      <c r="BD27" s="22">
        <f>AT27</f>
        <v>0.6</v>
      </c>
      <c r="BE27" s="22"/>
      <c r="BF27" s="71"/>
      <c r="BG27" s="71"/>
      <c r="BH27" s="71"/>
      <c r="BI27" s="71"/>
      <c r="BJ27" s="22">
        <f t="shared" si="4"/>
        <v>0.4</v>
      </c>
      <c r="BK27" s="22">
        <f t="shared" si="4"/>
        <v>1</v>
      </c>
      <c r="BL27" s="2"/>
    </row>
    <row r="28" spans="1:65" x14ac:dyDescent="0.25">
      <c r="A28">
        <f t="shared" ref="A28:A45" si="6">A4</f>
        <v>2000</v>
      </c>
      <c r="B28" s="2">
        <f>B27*(1+(B4/100))</f>
        <v>54564</v>
      </c>
      <c r="C28" s="2"/>
      <c r="D28" s="2"/>
      <c r="E28" s="2"/>
      <c r="F28" s="2"/>
      <c r="G28" s="2"/>
      <c r="H28" s="2">
        <f>H27*(1+(H4/100))</f>
        <v>44556.000000000007</v>
      </c>
      <c r="I28" s="2">
        <f>SUM(B28:H28)</f>
        <v>99120</v>
      </c>
      <c r="J28" s="2">
        <f>I28-I27</f>
        <v>-880</v>
      </c>
      <c r="K28" s="6">
        <f>(J28/I27)</f>
        <v>-8.8000000000000005E-3</v>
      </c>
      <c r="L28" s="7">
        <f>K28+1</f>
        <v>0.99119999999999997</v>
      </c>
      <c r="N28">
        <f>A28</f>
        <v>2000</v>
      </c>
      <c r="O28" s="2">
        <f>I28*O25</f>
        <v>4460.3999999999996</v>
      </c>
      <c r="P28" s="2"/>
      <c r="Q28" s="2"/>
      <c r="R28">
        <f>A28</f>
        <v>2000</v>
      </c>
      <c r="S28" s="2">
        <f>B28-($O28*0.6)</f>
        <v>51887.76</v>
      </c>
      <c r="T28" s="2"/>
      <c r="U28" s="2"/>
      <c r="V28" s="2"/>
      <c r="W28" s="2"/>
      <c r="X28" s="2"/>
      <c r="Y28" s="2">
        <f>H28-($O28*0.4)</f>
        <v>42771.840000000011</v>
      </c>
      <c r="Z28" s="2">
        <f>SUM(S28:Y28)</f>
        <v>94659.6</v>
      </c>
      <c r="AA28" s="2">
        <f>Z28-Z27</f>
        <v>-5340.3999999999942</v>
      </c>
      <c r="AB28" s="6">
        <f>(AA28/Z27)</f>
        <v>-5.3403999999999945E-2</v>
      </c>
      <c r="AC28" s="7">
        <f>AB28+1</f>
        <v>0.9465960000000001</v>
      </c>
      <c r="AD28" s="2">
        <f>Z28-(I28-O28)</f>
        <v>0</v>
      </c>
      <c r="AE28" s="2"/>
      <c r="AG28">
        <f>A28</f>
        <v>2000</v>
      </c>
      <c r="AH28" s="6">
        <f t="shared" si="5"/>
        <v>0.54815105916357132</v>
      </c>
      <c r="AI28" s="6"/>
      <c r="AJ28" s="6"/>
      <c r="AK28" s="6"/>
      <c r="AL28" s="6"/>
      <c r="AM28" s="56"/>
      <c r="AN28" s="56">
        <f>Y28/$Z28</f>
        <v>0.45184894083642874</v>
      </c>
      <c r="AO28" s="6">
        <f>SUM(AH28:AN28)</f>
        <v>1</v>
      </c>
      <c r="AP28" s="7">
        <f>SUM(AH28:AM28)</f>
        <v>0.54815105916357132</v>
      </c>
      <c r="AQ28" s="7">
        <f>AO28-(AP28+AN28)</f>
        <v>0</v>
      </c>
      <c r="AR28" s="22"/>
      <c r="AS28">
        <f>AG28</f>
        <v>2000</v>
      </c>
      <c r="AT28" s="1" t="b">
        <f>AND((S28/$Z28)&gt;0.55,(S28/$Z28)&lt;0.65)</f>
        <v>0</v>
      </c>
      <c r="AU28" s="1"/>
      <c r="AV28" s="1"/>
      <c r="AW28" s="1"/>
      <c r="AX28" s="1"/>
      <c r="AY28" s="1"/>
      <c r="AZ28" s="1" t="b">
        <f>AND((Y28/$Z28)&gt;0.35,(Y28/$Z28)&lt;0.45)</f>
        <v>0</v>
      </c>
      <c r="BA28" s="1" t="b">
        <f>AND((Z28/$Z28)&gt;0.999,(Z28/$Z28)&lt;1.01)</f>
        <v>1</v>
      </c>
      <c r="BC28">
        <f>AS28</f>
        <v>2000</v>
      </c>
      <c r="BD28" s="2">
        <f>$Z28*0.6</f>
        <v>56795.76</v>
      </c>
      <c r="BE28" s="2"/>
      <c r="BF28" s="69"/>
      <c r="BG28" s="69"/>
      <c r="BH28" s="69"/>
      <c r="BI28" s="69"/>
      <c r="BJ28" s="2">
        <f>$Z28*0.4</f>
        <v>37863.840000000004</v>
      </c>
      <c r="BK28" s="2">
        <f>Z28</f>
        <v>94659.6</v>
      </c>
      <c r="BL28" s="2">
        <f>SUM(BD28:BJ28)-Z28</f>
        <v>0</v>
      </c>
      <c r="BM28" s="2"/>
    </row>
    <row r="29" spans="1:65" x14ac:dyDescent="0.25">
      <c r="A29">
        <f t="shared" si="6"/>
        <v>2001</v>
      </c>
      <c r="B29" s="2">
        <f t="shared" ref="B29:B45" si="7">BD28*(1+(B5/100))</f>
        <v>49968.909648000001</v>
      </c>
      <c r="C29" s="2"/>
      <c r="D29" s="2"/>
      <c r="E29" s="2"/>
      <c r="F29" s="2"/>
      <c r="G29" s="2"/>
      <c r="H29" s="2">
        <f t="shared" ref="G29:H44" si="8">BJ28*(1+(H5/100))</f>
        <v>41055.761712000007</v>
      </c>
      <c r="I29" s="2">
        <f>SUM(B29:H29)</f>
        <v>91024.671360000008</v>
      </c>
      <c r="J29" s="2">
        <f t="shared" ref="J29:J45" si="9">I29-I28</f>
        <v>-8095.3286399999924</v>
      </c>
      <c r="K29" s="6">
        <f t="shared" ref="K29:K45" si="10">(J29/I28)</f>
        <v>-8.1671999999999925E-2</v>
      </c>
      <c r="L29" s="7">
        <f t="shared" ref="L29:L45" si="11">K29+1</f>
        <v>0.91832800000000003</v>
      </c>
      <c r="N29">
        <f t="shared" ref="N29:N45" si="12">A29</f>
        <v>2001</v>
      </c>
      <c r="O29" s="2">
        <f t="shared" ref="O29:O45" si="13">O28*(1+O5)</f>
        <v>4531.7663999999995</v>
      </c>
      <c r="P29" s="2"/>
      <c r="Q29" s="2"/>
      <c r="R29">
        <f t="shared" ref="R29:R45" si="14">A29</f>
        <v>2001</v>
      </c>
      <c r="S29" s="2">
        <f t="shared" ref="S29:S45" si="15">B29-($O29*0.6)</f>
        <v>47249.849807999999</v>
      </c>
      <c r="T29" s="2"/>
      <c r="U29" s="2"/>
      <c r="V29" s="2"/>
      <c r="W29" s="2"/>
      <c r="X29" s="2"/>
      <c r="Y29" s="2">
        <f t="shared" ref="Y29:Y45" si="16">H29-($O29*0.4)</f>
        <v>39243.055152000008</v>
      </c>
      <c r="Z29" s="2">
        <f t="shared" ref="Z29:Z45" si="17">SUM(S29:Y29)</f>
        <v>86492.904960000014</v>
      </c>
      <c r="AA29" s="2">
        <f t="shared" ref="AA29:AA45" si="18">Z29-Z28</f>
        <v>-8166.6950399999914</v>
      </c>
      <c r="AB29" s="6">
        <f t="shared" ref="AB29:AB45" si="19">(AA29/Z28)</f>
        <v>-8.6274345549738118E-2</v>
      </c>
      <c r="AC29" s="7">
        <f t="shared" ref="AC29:AC45" si="20">AB29+1</f>
        <v>0.91372565445026188</v>
      </c>
      <c r="AD29" s="2">
        <f t="shared" ref="AD29:AD45" si="21">Z29-(I29-O29)</f>
        <v>0</v>
      </c>
      <c r="AE29" s="2"/>
      <c r="AG29">
        <f t="shared" ref="AG29:AG45" si="22">A29</f>
        <v>2001</v>
      </c>
      <c r="AH29" s="6">
        <f t="shared" si="5"/>
        <v>0.54628584656569723</v>
      </c>
      <c r="AI29" s="6"/>
      <c r="AJ29" s="6"/>
      <c r="AK29" s="6"/>
      <c r="AL29" s="6"/>
      <c r="AM29" s="56"/>
      <c r="AN29" s="56">
        <f t="shared" si="5"/>
        <v>0.45371415343430271</v>
      </c>
      <c r="AO29" s="6">
        <f t="shared" ref="AO29:AO45" si="23">SUM(AH29:AN29)</f>
        <v>1</v>
      </c>
      <c r="AP29" s="7">
        <f t="shared" ref="AP29:AP45" si="24">SUM(AH29:AM29)</f>
        <v>0.54628584656569723</v>
      </c>
      <c r="AQ29" s="7">
        <f t="shared" ref="AQ29:AQ45" si="25">AO29-(AP29+AN29)</f>
        <v>0</v>
      </c>
      <c r="AR29" s="22"/>
      <c r="AS29">
        <f t="shared" ref="AS29:AS45" si="26">AG29</f>
        <v>2001</v>
      </c>
      <c r="AT29" s="1" t="b">
        <f t="shared" ref="AT29:AT45" si="27">AND((S29/$Z29)&gt;0.55,(S29/$Z29)&lt;0.65)</f>
        <v>0</v>
      </c>
      <c r="AU29" s="1"/>
      <c r="AV29" s="1"/>
      <c r="AW29" s="1"/>
      <c r="AX29" s="1"/>
      <c r="AY29" s="1"/>
      <c r="AZ29" s="1" t="b">
        <f t="shared" ref="AZ29:AZ45" si="28">AND((Y29/$Z29)&gt;0.35,(Y29/$Z29)&lt;0.45)</f>
        <v>0</v>
      </c>
      <c r="BA29" s="1" t="b">
        <f t="shared" ref="BA29:BA45" si="29">AND((Z29/$Z29)&gt;0.999,(Z29/$Z29)&lt;1.01)</f>
        <v>1</v>
      </c>
      <c r="BC29">
        <f t="shared" ref="BC29:BC45" si="30">AS29</f>
        <v>2001</v>
      </c>
      <c r="BD29" s="2">
        <f t="shared" ref="BD29:BD45" si="31">$Z29*0.6</f>
        <v>51895.742976000009</v>
      </c>
      <c r="BE29" s="2"/>
      <c r="BF29" s="69"/>
      <c r="BG29" s="69"/>
      <c r="BH29" s="69"/>
      <c r="BI29" s="69"/>
      <c r="BJ29" s="2">
        <f t="shared" ref="BJ29:BJ45" si="32">$Z29*0.4</f>
        <v>34597.161984000006</v>
      </c>
      <c r="BK29" s="2">
        <f t="shared" ref="BK29:BK45" si="33">Z29</f>
        <v>86492.904960000014</v>
      </c>
      <c r="BL29" s="2">
        <f t="shared" ref="BL29:BL45" si="34">SUM(BD29:BJ29)-Z29</f>
        <v>0</v>
      </c>
      <c r="BM29" s="2"/>
    </row>
    <row r="30" spans="1:65" x14ac:dyDescent="0.25">
      <c r="A30">
        <f t="shared" si="6"/>
        <v>2002</v>
      </c>
      <c r="B30" s="2">
        <f t="shared" si="7"/>
        <v>40400.835906816006</v>
      </c>
      <c r="C30" s="2"/>
      <c r="D30" s="2"/>
      <c r="E30" s="2"/>
      <c r="F30" s="2"/>
      <c r="G30" s="2"/>
      <c r="H30" s="2">
        <f t="shared" si="8"/>
        <v>37454.887563878408</v>
      </c>
      <c r="I30" s="2">
        <f t="shared" ref="I30:I39" si="35">SUM(B30:H30)</f>
        <v>77855.723470694415</v>
      </c>
      <c r="J30" s="2">
        <f t="shared" si="9"/>
        <v>-13168.947889305593</v>
      </c>
      <c r="K30" s="6">
        <f t="shared" si="10"/>
        <v>-0.14467448981191897</v>
      </c>
      <c r="L30" s="7">
        <f t="shared" si="11"/>
        <v>0.85532551018808101</v>
      </c>
      <c r="N30">
        <f t="shared" si="12"/>
        <v>2002</v>
      </c>
      <c r="O30" s="2">
        <f t="shared" si="13"/>
        <v>4645.060559999999</v>
      </c>
      <c r="P30" s="2"/>
      <c r="Q30" s="2"/>
      <c r="R30">
        <f t="shared" si="14"/>
        <v>2002</v>
      </c>
      <c r="S30" s="2">
        <f t="shared" si="15"/>
        <v>37613.799570816009</v>
      </c>
      <c r="T30" s="2"/>
      <c r="U30" s="2"/>
      <c r="V30" s="2"/>
      <c r="W30" s="2"/>
      <c r="X30" s="2"/>
      <c r="Y30" s="2">
        <f t="shared" si="16"/>
        <v>35596.863339878408</v>
      </c>
      <c r="Z30" s="2">
        <f t="shared" si="17"/>
        <v>73210.662910694416</v>
      </c>
      <c r="AA30" s="2">
        <f t="shared" si="18"/>
        <v>-13282.242049305598</v>
      </c>
      <c r="AB30" s="6">
        <f t="shared" si="19"/>
        <v>-0.15356452711870616</v>
      </c>
      <c r="AC30" s="7">
        <f t="shared" si="20"/>
        <v>0.84643547288129384</v>
      </c>
      <c r="AD30" s="2">
        <f t="shared" si="21"/>
        <v>0</v>
      </c>
      <c r="AE30" s="2"/>
      <c r="AG30">
        <f t="shared" si="22"/>
        <v>2002</v>
      </c>
      <c r="AH30" s="6">
        <f t="shared" si="5"/>
        <v>0.51377488026162221</v>
      </c>
      <c r="AI30" s="6"/>
      <c r="AJ30" s="6"/>
      <c r="AK30" s="6"/>
      <c r="AL30" s="6"/>
      <c r="AM30" s="56"/>
      <c r="AN30" s="56">
        <f t="shared" si="5"/>
        <v>0.48622511973837779</v>
      </c>
      <c r="AO30" s="6">
        <f t="shared" si="23"/>
        <v>1</v>
      </c>
      <c r="AP30" s="7">
        <f t="shared" si="24"/>
        <v>0.51377488026162221</v>
      </c>
      <c r="AQ30" s="7">
        <f t="shared" si="25"/>
        <v>0</v>
      </c>
      <c r="AR30" s="22"/>
      <c r="AS30">
        <f t="shared" si="26"/>
        <v>2002</v>
      </c>
      <c r="AT30" s="1" t="b">
        <f t="shared" si="27"/>
        <v>0</v>
      </c>
      <c r="AU30" s="1"/>
      <c r="AV30" s="1"/>
      <c r="AW30" s="1"/>
      <c r="AX30" s="1"/>
      <c r="AY30" s="1"/>
      <c r="AZ30" s="1" t="b">
        <f t="shared" si="28"/>
        <v>0</v>
      </c>
      <c r="BA30" s="1" t="b">
        <f t="shared" si="29"/>
        <v>1</v>
      </c>
      <c r="BC30">
        <f t="shared" si="30"/>
        <v>2002</v>
      </c>
      <c r="BD30" s="2">
        <f t="shared" si="31"/>
        <v>43926.397746416646</v>
      </c>
      <c r="BE30" s="2"/>
      <c r="BF30" s="69"/>
      <c r="BG30" s="69"/>
      <c r="BH30" s="69"/>
      <c r="BI30" s="69"/>
      <c r="BJ30" s="2">
        <f t="shared" si="32"/>
        <v>29284.265164277767</v>
      </c>
      <c r="BK30" s="2">
        <f t="shared" si="33"/>
        <v>73210.662910694416</v>
      </c>
      <c r="BL30" s="2">
        <f t="shared" si="34"/>
        <v>0</v>
      </c>
      <c r="BM30" s="2"/>
    </row>
    <row r="31" spans="1:65" x14ac:dyDescent="0.25">
      <c r="A31">
        <f t="shared" si="6"/>
        <v>2003</v>
      </c>
      <c r="B31" s="2">
        <f t="shared" si="7"/>
        <v>56445.421104145389</v>
      </c>
      <c r="C31" s="2"/>
      <c r="D31" s="2"/>
      <c r="E31" s="2"/>
      <c r="F31" s="2"/>
      <c r="G31" s="2"/>
      <c r="H31" s="2">
        <f t="shared" si="8"/>
        <v>30446.850491299596</v>
      </c>
      <c r="I31" s="2">
        <f t="shared" si="35"/>
        <v>86892.271595444981</v>
      </c>
      <c r="J31" s="2">
        <f t="shared" si="9"/>
        <v>9036.5481247505668</v>
      </c>
      <c r="K31" s="6">
        <f t="shared" si="10"/>
        <v>0.11606787172367622</v>
      </c>
      <c r="L31" s="7">
        <f t="shared" si="11"/>
        <v>1.1160678717236763</v>
      </c>
      <c r="N31">
        <f t="shared" si="12"/>
        <v>2003</v>
      </c>
      <c r="O31" s="2">
        <f t="shared" si="13"/>
        <v>4737.961771199999</v>
      </c>
      <c r="P31" s="2"/>
      <c r="Q31" s="2"/>
      <c r="R31">
        <f t="shared" si="14"/>
        <v>2003</v>
      </c>
      <c r="S31" s="2">
        <f t="shared" si="15"/>
        <v>53602.644041425388</v>
      </c>
      <c r="T31" s="2"/>
      <c r="U31" s="2"/>
      <c r="V31" s="2"/>
      <c r="W31" s="2"/>
      <c r="X31" s="2"/>
      <c r="Y31" s="2">
        <f t="shared" si="16"/>
        <v>28551.665782819597</v>
      </c>
      <c r="Z31" s="2">
        <f t="shared" si="17"/>
        <v>82154.309824244992</v>
      </c>
      <c r="AA31" s="2">
        <f t="shared" si="18"/>
        <v>8943.6469135505758</v>
      </c>
      <c r="AB31" s="6">
        <f t="shared" si="19"/>
        <v>0.12216317347734482</v>
      </c>
      <c r="AC31" s="7">
        <f t="shared" si="20"/>
        <v>1.1221631734773447</v>
      </c>
      <c r="AD31" s="2">
        <f t="shared" si="21"/>
        <v>0</v>
      </c>
      <c r="AE31" s="2"/>
      <c r="AG31">
        <f t="shared" si="22"/>
        <v>2003</v>
      </c>
      <c r="AH31" s="6">
        <f t="shared" si="5"/>
        <v>0.65246295849966995</v>
      </c>
      <c r="AI31" s="6"/>
      <c r="AJ31" s="6"/>
      <c r="AK31" s="6"/>
      <c r="AL31" s="6"/>
      <c r="AM31" s="56"/>
      <c r="AN31" s="56">
        <f t="shared" si="5"/>
        <v>0.34753704150032994</v>
      </c>
      <c r="AO31" s="6">
        <f t="shared" si="23"/>
        <v>0.99999999999999989</v>
      </c>
      <c r="AP31" s="7">
        <f t="shared" si="24"/>
        <v>0.65246295849966995</v>
      </c>
      <c r="AQ31" s="7">
        <f t="shared" si="25"/>
        <v>0</v>
      </c>
      <c r="AR31" s="22"/>
      <c r="AS31">
        <f t="shared" si="26"/>
        <v>2003</v>
      </c>
      <c r="AT31" s="1" t="b">
        <f t="shared" si="27"/>
        <v>0</v>
      </c>
      <c r="AU31" s="1"/>
      <c r="AV31" s="1"/>
      <c r="AW31" s="1"/>
      <c r="AX31" s="1"/>
      <c r="AY31" s="1"/>
      <c r="AZ31" s="1" t="b">
        <f t="shared" si="28"/>
        <v>0</v>
      </c>
      <c r="BA31" s="1" t="b">
        <f t="shared" si="29"/>
        <v>1</v>
      </c>
      <c r="BC31">
        <f t="shared" si="30"/>
        <v>2003</v>
      </c>
      <c r="BD31" s="2">
        <f t="shared" si="31"/>
        <v>49292.585894546995</v>
      </c>
      <c r="BE31" s="2"/>
      <c r="BF31" s="69"/>
      <c r="BG31" s="69"/>
      <c r="BH31" s="69"/>
      <c r="BI31" s="69"/>
      <c r="BJ31" s="2">
        <f t="shared" si="32"/>
        <v>32861.723929697997</v>
      </c>
      <c r="BK31" s="2">
        <f t="shared" si="33"/>
        <v>82154.309824244992</v>
      </c>
      <c r="BL31" s="2">
        <f t="shared" si="34"/>
        <v>0</v>
      </c>
      <c r="BM31" s="2"/>
    </row>
    <row r="32" spans="1:65" x14ac:dyDescent="0.25">
      <c r="A32">
        <f t="shared" si="6"/>
        <v>2004</v>
      </c>
      <c r="B32" s="2">
        <f t="shared" si="7"/>
        <v>54586.60961962134</v>
      </c>
      <c r="C32" s="2"/>
      <c r="D32" s="2"/>
      <c r="E32" s="2"/>
      <c r="F32" s="2"/>
      <c r="G32" s="2"/>
      <c r="H32" s="2">
        <f t="shared" si="8"/>
        <v>34255.06102431719</v>
      </c>
      <c r="I32" s="2">
        <f t="shared" si="35"/>
        <v>88841.670643938531</v>
      </c>
      <c r="J32" s="2">
        <f t="shared" si="9"/>
        <v>1949.3990484935493</v>
      </c>
      <c r="K32" s="6">
        <f t="shared" si="10"/>
        <v>2.2434665508223858E-2</v>
      </c>
      <c r="L32" s="7">
        <f t="shared" si="11"/>
        <v>1.0224346655082239</v>
      </c>
      <c r="N32">
        <f t="shared" si="12"/>
        <v>2004</v>
      </c>
      <c r="O32" s="2">
        <f t="shared" si="13"/>
        <v>4894.3145096495982</v>
      </c>
      <c r="P32" s="2"/>
      <c r="Q32" s="2"/>
      <c r="R32">
        <f t="shared" si="14"/>
        <v>2004</v>
      </c>
      <c r="S32" s="2">
        <f t="shared" si="15"/>
        <v>51650.020913831584</v>
      </c>
      <c r="T32" s="2"/>
      <c r="U32" s="2"/>
      <c r="V32" s="2"/>
      <c r="W32" s="2"/>
      <c r="X32" s="2"/>
      <c r="Y32" s="2">
        <f t="shared" si="16"/>
        <v>32297.335220457353</v>
      </c>
      <c r="Z32" s="2">
        <f t="shared" si="17"/>
        <v>83947.356134288944</v>
      </c>
      <c r="AA32" s="2">
        <f t="shared" si="18"/>
        <v>1793.046310043952</v>
      </c>
      <c r="AB32" s="6">
        <f t="shared" si="19"/>
        <v>2.1825346885390017E-2</v>
      </c>
      <c r="AC32" s="7">
        <f t="shared" si="20"/>
        <v>1.02182534688539</v>
      </c>
      <c r="AD32" s="2">
        <f t="shared" si="21"/>
        <v>0</v>
      </c>
      <c r="AE32" s="2"/>
      <c r="AG32">
        <f t="shared" si="22"/>
        <v>2004</v>
      </c>
      <c r="AH32" s="6">
        <f t="shared" si="5"/>
        <v>0.61526679686264396</v>
      </c>
      <c r="AI32" s="56"/>
      <c r="AJ32" s="6"/>
      <c r="AK32" s="6"/>
      <c r="AL32" s="56"/>
      <c r="AM32" s="56"/>
      <c r="AN32" s="56">
        <f t="shared" si="5"/>
        <v>0.38473320313735593</v>
      </c>
      <c r="AO32" s="6">
        <f t="shared" si="23"/>
        <v>0.99999999999999989</v>
      </c>
      <c r="AP32" s="7">
        <f t="shared" si="24"/>
        <v>0.61526679686264396</v>
      </c>
      <c r="AQ32" s="7">
        <f t="shared" si="25"/>
        <v>0</v>
      </c>
      <c r="AR32" s="22"/>
      <c r="AS32">
        <f t="shared" si="26"/>
        <v>2004</v>
      </c>
      <c r="AT32" s="1" t="b">
        <f t="shared" si="27"/>
        <v>1</v>
      </c>
      <c r="AU32" s="1"/>
      <c r="AV32" s="1"/>
      <c r="AW32" s="1"/>
      <c r="AX32" s="1"/>
      <c r="AY32" s="1"/>
      <c r="AZ32" s="1" t="b">
        <f t="shared" si="28"/>
        <v>1</v>
      </c>
      <c r="BA32" s="1" t="b">
        <f t="shared" si="29"/>
        <v>1</v>
      </c>
      <c r="BC32">
        <f t="shared" si="30"/>
        <v>2004</v>
      </c>
      <c r="BD32" s="2">
        <f t="shared" si="31"/>
        <v>50368.413680573365</v>
      </c>
      <c r="BE32" s="2"/>
      <c r="BF32" s="69"/>
      <c r="BG32" s="69"/>
      <c r="BH32" s="69"/>
      <c r="BI32" s="69"/>
      <c r="BJ32" s="2">
        <f t="shared" si="32"/>
        <v>33578.942453715579</v>
      </c>
      <c r="BK32" s="2">
        <f t="shared" si="33"/>
        <v>83947.356134288944</v>
      </c>
      <c r="BL32" s="2">
        <f t="shared" si="34"/>
        <v>0</v>
      </c>
      <c r="BM32" s="2"/>
    </row>
    <row r="33" spans="1:65" x14ac:dyDescent="0.25">
      <c r="A33">
        <f t="shared" si="6"/>
        <v>2005</v>
      </c>
      <c r="B33" s="2">
        <f t="shared" si="7"/>
        <v>52770.987013136721</v>
      </c>
      <c r="C33" s="2"/>
      <c r="D33" s="2"/>
      <c r="E33" s="2"/>
      <c r="F33" s="2"/>
      <c r="G33" s="2"/>
      <c r="H33" s="2">
        <f t="shared" si="8"/>
        <v>34384.837072604751</v>
      </c>
      <c r="I33" s="2">
        <f t="shared" si="35"/>
        <v>87155.824085741478</v>
      </c>
      <c r="J33" s="2">
        <f t="shared" si="9"/>
        <v>-1685.8465581970522</v>
      </c>
      <c r="K33" s="6">
        <f t="shared" si="10"/>
        <v>-1.8975853853014792E-2</v>
      </c>
      <c r="L33" s="7">
        <f t="shared" si="11"/>
        <v>0.98102414614698519</v>
      </c>
      <c r="N33">
        <f t="shared" si="12"/>
        <v>2005</v>
      </c>
      <c r="O33" s="2">
        <f t="shared" si="13"/>
        <v>5055.8268884680347</v>
      </c>
      <c r="P33" s="2"/>
      <c r="Q33" s="2"/>
      <c r="R33">
        <f t="shared" si="14"/>
        <v>2005</v>
      </c>
      <c r="S33" s="2">
        <f t="shared" si="15"/>
        <v>49737.490880055899</v>
      </c>
      <c r="T33" s="2"/>
      <c r="U33" s="2"/>
      <c r="V33" s="2"/>
      <c r="W33" s="2"/>
      <c r="X33" s="2"/>
      <c r="Y33" s="2">
        <f t="shared" si="16"/>
        <v>32362.506317217536</v>
      </c>
      <c r="Z33" s="2">
        <f t="shared" si="17"/>
        <v>82099.997197273435</v>
      </c>
      <c r="AA33" s="2">
        <f t="shared" si="18"/>
        <v>-1847.3589370155096</v>
      </c>
      <c r="AB33" s="6">
        <f t="shared" si="19"/>
        <v>-2.2006159837366715E-2</v>
      </c>
      <c r="AC33" s="7">
        <f t="shared" si="20"/>
        <v>0.97799384016263324</v>
      </c>
      <c r="AD33" s="2">
        <f t="shared" si="21"/>
        <v>0</v>
      </c>
      <c r="AE33" s="2"/>
      <c r="AG33">
        <f t="shared" si="22"/>
        <v>2005</v>
      </c>
      <c r="AH33" s="6">
        <f t="shared" si="5"/>
        <v>0.60581598755167432</v>
      </c>
      <c r="AI33" s="6"/>
      <c r="AJ33" s="6"/>
      <c r="AK33" s="6"/>
      <c r="AL33" s="6"/>
      <c r="AM33" s="56"/>
      <c r="AN33" s="56">
        <f t="shared" si="5"/>
        <v>0.39418401244832568</v>
      </c>
      <c r="AO33" s="6">
        <f t="shared" si="23"/>
        <v>1</v>
      </c>
      <c r="AP33" s="7">
        <f t="shared" si="24"/>
        <v>0.60581598755167432</v>
      </c>
      <c r="AQ33" s="7">
        <f t="shared" si="25"/>
        <v>0</v>
      </c>
      <c r="AR33" s="22"/>
      <c r="AS33">
        <f t="shared" si="26"/>
        <v>2005</v>
      </c>
      <c r="AT33" s="1" t="b">
        <f t="shared" si="27"/>
        <v>1</v>
      </c>
      <c r="AU33" s="1"/>
      <c r="AV33" s="1"/>
      <c r="AW33" s="1"/>
      <c r="AX33" s="1"/>
      <c r="AY33" s="1"/>
      <c r="AZ33" s="1" t="b">
        <f t="shared" si="28"/>
        <v>1</v>
      </c>
      <c r="BA33" s="1" t="b">
        <f t="shared" si="29"/>
        <v>1</v>
      </c>
      <c r="BC33">
        <f t="shared" si="30"/>
        <v>2005</v>
      </c>
      <c r="BD33" s="2">
        <f t="shared" si="31"/>
        <v>49259.998318364058</v>
      </c>
      <c r="BE33" s="2"/>
      <c r="BF33" s="69"/>
      <c r="BG33" s="69"/>
      <c r="BH33" s="69"/>
      <c r="BI33" s="69"/>
      <c r="BJ33" s="2">
        <f t="shared" si="32"/>
        <v>32839.998878909377</v>
      </c>
      <c r="BK33" s="2">
        <f t="shared" si="33"/>
        <v>82099.997197273435</v>
      </c>
      <c r="BL33" s="2">
        <f t="shared" si="34"/>
        <v>0</v>
      </c>
      <c r="BM33" s="2"/>
    </row>
    <row r="34" spans="1:65" x14ac:dyDescent="0.25">
      <c r="A34">
        <f t="shared" si="6"/>
        <v>2006</v>
      </c>
      <c r="B34" s="2">
        <f t="shared" si="7"/>
        <v>56964.262055356201</v>
      </c>
      <c r="C34" s="2"/>
      <c r="D34" s="2"/>
      <c r="E34" s="2"/>
      <c r="F34" s="2"/>
      <c r="G34" s="2"/>
      <c r="H34" s="2">
        <f t="shared" si="8"/>
        <v>34242.266831038804</v>
      </c>
      <c r="I34" s="2">
        <f t="shared" si="35"/>
        <v>91206.528886395012</v>
      </c>
      <c r="J34" s="2">
        <f t="shared" si="9"/>
        <v>4050.7048006535333</v>
      </c>
      <c r="K34" s="6">
        <f t="shared" si="10"/>
        <v>4.6476581951294067E-2</v>
      </c>
      <c r="L34" s="7">
        <f t="shared" si="11"/>
        <v>1.046476581951294</v>
      </c>
      <c r="N34">
        <f t="shared" si="12"/>
        <v>2006</v>
      </c>
      <c r="O34" s="2">
        <f t="shared" si="13"/>
        <v>5182.2225606797347</v>
      </c>
      <c r="P34" s="2"/>
      <c r="Q34" s="2"/>
      <c r="R34">
        <f t="shared" si="14"/>
        <v>2006</v>
      </c>
      <c r="S34" s="2">
        <f t="shared" si="15"/>
        <v>53854.928518948363</v>
      </c>
      <c r="T34" s="2"/>
      <c r="U34" s="2"/>
      <c r="V34" s="2"/>
      <c r="W34" s="2"/>
      <c r="X34" s="2"/>
      <c r="Y34" s="2">
        <f t="shared" si="16"/>
        <v>32169.377806766908</v>
      </c>
      <c r="Z34" s="2">
        <f t="shared" si="17"/>
        <v>86024.306325715268</v>
      </c>
      <c r="AA34" s="2">
        <f t="shared" si="18"/>
        <v>3924.3091284418333</v>
      </c>
      <c r="AB34" s="6">
        <f t="shared" si="19"/>
        <v>4.7799138397195476E-2</v>
      </c>
      <c r="AC34" s="7">
        <f t="shared" si="20"/>
        <v>1.0477991383971954</v>
      </c>
      <c r="AD34" s="2">
        <f t="shared" si="21"/>
        <v>0</v>
      </c>
      <c r="AE34" s="2"/>
      <c r="AG34">
        <f t="shared" si="22"/>
        <v>2006</v>
      </c>
      <c r="AH34" s="6">
        <f t="shared" si="5"/>
        <v>0.62604315941864785</v>
      </c>
      <c r="AI34" s="6"/>
      <c r="AJ34" s="6"/>
      <c r="AK34" s="6"/>
      <c r="AL34" s="6"/>
      <c r="AM34" s="56"/>
      <c r="AN34" s="56">
        <f t="shared" si="5"/>
        <v>0.37395684058135215</v>
      </c>
      <c r="AO34" s="6">
        <f t="shared" si="23"/>
        <v>1</v>
      </c>
      <c r="AP34" s="7">
        <f t="shared" si="24"/>
        <v>0.62604315941864785</v>
      </c>
      <c r="AQ34" s="7">
        <f t="shared" si="25"/>
        <v>0</v>
      </c>
      <c r="AR34" s="22"/>
      <c r="AS34">
        <f t="shared" si="26"/>
        <v>2006</v>
      </c>
      <c r="AT34" s="1" t="b">
        <f t="shared" si="27"/>
        <v>1</v>
      </c>
      <c r="AU34" s="1"/>
      <c r="AV34" s="1"/>
      <c r="AW34" s="1"/>
      <c r="AX34" s="1"/>
      <c r="AY34" s="1"/>
      <c r="AZ34" s="1" t="b">
        <f t="shared" si="28"/>
        <v>1</v>
      </c>
      <c r="BA34" s="1" t="b">
        <f t="shared" si="29"/>
        <v>1</v>
      </c>
      <c r="BC34">
        <f t="shared" si="30"/>
        <v>2006</v>
      </c>
      <c r="BD34" s="2">
        <f t="shared" si="31"/>
        <v>51614.583795429156</v>
      </c>
      <c r="BE34" s="2"/>
      <c r="BF34" s="69"/>
      <c r="BG34" s="69"/>
      <c r="BH34" s="69"/>
      <c r="BI34" s="69"/>
      <c r="BJ34" s="2">
        <f t="shared" si="32"/>
        <v>34409.722530286112</v>
      </c>
      <c r="BK34" s="2">
        <f t="shared" si="33"/>
        <v>86024.306325715268</v>
      </c>
      <c r="BL34" s="2">
        <f t="shared" si="34"/>
        <v>0</v>
      </c>
      <c r="BM34" s="2"/>
    </row>
    <row r="35" spans="1:65" x14ac:dyDescent="0.25">
      <c r="A35">
        <f t="shared" si="6"/>
        <v>2007</v>
      </c>
      <c r="B35" s="2">
        <f t="shared" si="7"/>
        <v>54396.609862002791</v>
      </c>
      <c r="C35" s="2"/>
      <c r="D35" s="2"/>
      <c r="E35" s="2"/>
      <c r="F35" s="2"/>
      <c r="G35" s="2"/>
      <c r="H35" s="2">
        <f t="shared" si="8"/>
        <v>36790.87532938191</v>
      </c>
      <c r="I35" s="2">
        <f t="shared" si="35"/>
        <v>91187.485191384709</v>
      </c>
      <c r="J35" s="2">
        <f t="shared" si="9"/>
        <v>-19.043695010303054</v>
      </c>
      <c r="K35" s="6">
        <f t="shared" si="10"/>
        <v>-2.0879749775395455E-4</v>
      </c>
      <c r="L35" s="7">
        <f t="shared" si="11"/>
        <v>0.99979120250224607</v>
      </c>
      <c r="N35">
        <f t="shared" si="12"/>
        <v>2007</v>
      </c>
      <c r="O35" s="2">
        <f t="shared" si="13"/>
        <v>5394.6936856676039</v>
      </c>
      <c r="P35" s="2"/>
      <c r="Q35" s="2"/>
      <c r="R35">
        <f t="shared" si="14"/>
        <v>2007</v>
      </c>
      <c r="S35" s="2">
        <f t="shared" si="15"/>
        <v>51159.793650602231</v>
      </c>
      <c r="T35" s="2"/>
      <c r="U35" s="2"/>
      <c r="V35" s="2"/>
      <c r="W35" s="2"/>
      <c r="X35" s="2"/>
      <c r="Y35" s="2">
        <f t="shared" si="16"/>
        <v>34632.997855114867</v>
      </c>
      <c r="Z35" s="2">
        <f t="shared" si="17"/>
        <v>85792.79150571709</v>
      </c>
      <c r="AA35" s="2">
        <f t="shared" si="18"/>
        <v>-231.5148199981777</v>
      </c>
      <c r="AB35" s="6">
        <f t="shared" si="19"/>
        <v>-2.6912721518682087E-3</v>
      </c>
      <c r="AC35" s="7">
        <f t="shared" si="20"/>
        <v>0.99730872784813174</v>
      </c>
      <c r="AD35" s="2">
        <f t="shared" si="21"/>
        <v>0</v>
      </c>
      <c r="AE35" s="2"/>
      <c r="AG35">
        <f t="shared" si="22"/>
        <v>2007</v>
      </c>
      <c r="AH35" s="6">
        <f t="shared" si="5"/>
        <v>0.59631809098079092</v>
      </c>
      <c r="AI35" s="6"/>
      <c r="AJ35" s="6"/>
      <c r="AK35" s="6"/>
      <c r="AL35" s="6"/>
      <c r="AM35" s="56"/>
      <c r="AN35" s="56">
        <f t="shared" si="5"/>
        <v>0.40368190901920914</v>
      </c>
      <c r="AO35" s="6">
        <f t="shared" si="23"/>
        <v>1</v>
      </c>
      <c r="AP35" s="7">
        <f t="shared" si="24"/>
        <v>0.59631809098079092</v>
      </c>
      <c r="AQ35" s="7">
        <f t="shared" si="25"/>
        <v>0</v>
      </c>
      <c r="AR35" s="22"/>
      <c r="AS35">
        <f t="shared" si="26"/>
        <v>2007</v>
      </c>
      <c r="AT35" s="1" t="b">
        <f t="shared" si="27"/>
        <v>1</v>
      </c>
      <c r="AU35" s="1"/>
      <c r="AV35" s="1"/>
      <c r="AW35" s="1"/>
      <c r="AX35" s="1"/>
      <c r="AY35" s="1"/>
      <c r="AZ35" s="1" t="b">
        <f t="shared" si="28"/>
        <v>1</v>
      </c>
      <c r="BA35" s="1" t="b">
        <f t="shared" si="29"/>
        <v>1</v>
      </c>
      <c r="BC35">
        <f t="shared" si="30"/>
        <v>2007</v>
      </c>
      <c r="BD35" s="2">
        <f t="shared" si="31"/>
        <v>51475.674903430256</v>
      </c>
      <c r="BE35" s="2"/>
      <c r="BF35" s="69"/>
      <c r="BG35" s="69"/>
      <c r="BH35" s="69"/>
      <c r="BI35" s="69"/>
      <c r="BJ35" s="2">
        <f t="shared" si="32"/>
        <v>34317.116602286835</v>
      </c>
      <c r="BK35" s="2">
        <f t="shared" si="33"/>
        <v>85792.79150571709</v>
      </c>
      <c r="BL35" s="2">
        <f t="shared" si="34"/>
        <v>0</v>
      </c>
      <c r="BM35" s="2"/>
    </row>
    <row r="36" spans="1:65" x14ac:dyDescent="0.25">
      <c r="A36">
        <f t="shared" si="6"/>
        <v>2008</v>
      </c>
      <c r="B36" s="2">
        <f t="shared" si="7"/>
        <v>32419.380054180372</v>
      </c>
      <c r="C36" s="2"/>
      <c r="D36" s="2"/>
      <c r="E36" s="2"/>
      <c r="F36" s="2"/>
      <c r="G36" s="2"/>
      <c r="H36" s="2">
        <f t="shared" si="8"/>
        <v>36050.130990702317</v>
      </c>
      <c r="I36" s="2">
        <f t="shared" si="35"/>
        <v>68469.511044882689</v>
      </c>
      <c r="J36" s="2">
        <f t="shared" si="9"/>
        <v>-22717.97414650202</v>
      </c>
      <c r="K36" s="6">
        <f t="shared" si="10"/>
        <v>-0.24913478092768357</v>
      </c>
      <c r="L36" s="7">
        <f t="shared" si="11"/>
        <v>0.7508652190723164</v>
      </c>
      <c r="N36">
        <f t="shared" si="12"/>
        <v>2008</v>
      </c>
      <c r="O36" s="2">
        <f t="shared" si="13"/>
        <v>5394.6936856676039</v>
      </c>
      <c r="P36" s="2"/>
      <c r="Q36" s="2"/>
      <c r="R36">
        <f t="shared" si="14"/>
        <v>2008</v>
      </c>
      <c r="S36" s="2">
        <f t="shared" si="15"/>
        <v>29182.563842779811</v>
      </c>
      <c r="T36" s="2"/>
      <c r="U36" s="2"/>
      <c r="V36" s="2"/>
      <c r="W36" s="2"/>
      <c r="X36" s="2"/>
      <c r="Y36" s="2">
        <f t="shared" si="16"/>
        <v>33892.253516435274</v>
      </c>
      <c r="Z36" s="2">
        <f t="shared" si="17"/>
        <v>63074.817359215085</v>
      </c>
      <c r="AA36" s="2">
        <f t="shared" si="18"/>
        <v>-22717.974146502005</v>
      </c>
      <c r="AB36" s="6">
        <f t="shared" si="19"/>
        <v>-0.2648005006922769</v>
      </c>
      <c r="AC36" s="7">
        <f t="shared" si="20"/>
        <v>0.7351994993077231</v>
      </c>
      <c r="AD36" s="2">
        <f t="shared" si="21"/>
        <v>0</v>
      </c>
      <c r="AE36" s="2"/>
      <c r="AG36">
        <f t="shared" si="22"/>
        <v>2008</v>
      </c>
      <c r="AH36" s="6">
        <f t="shared" si="5"/>
        <v>0.46266584771198399</v>
      </c>
      <c r="AI36" s="6"/>
      <c r="AJ36" s="6"/>
      <c r="AK36" s="6"/>
      <c r="AL36" s="6"/>
      <c r="AM36" s="56"/>
      <c r="AN36" s="56">
        <f t="shared" si="5"/>
        <v>0.53733415228801595</v>
      </c>
      <c r="AO36" s="6">
        <f t="shared" si="23"/>
        <v>1</v>
      </c>
      <c r="AP36" s="7">
        <f t="shared" si="24"/>
        <v>0.46266584771198399</v>
      </c>
      <c r="AQ36" s="7">
        <f t="shared" si="25"/>
        <v>0</v>
      </c>
      <c r="AR36" s="22"/>
      <c r="AS36">
        <f t="shared" si="26"/>
        <v>2008</v>
      </c>
      <c r="AT36" s="1" t="b">
        <f t="shared" si="27"/>
        <v>0</v>
      </c>
      <c r="AU36" s="1"/>
      <c r="AV36" s="1"/>
      <c r="AW36" s="1"/>
      <c r="AX36" s="1"/>
      <c r="AY36" s="1"/>
      <c r="AZ36" s="1" t="b">
        <f t="shared" si="28"/>
        <v>0</v>
      </c>
      <c r="BA36" s="1" t="b">
        <f t="shared" si="29"/>
        <v>1</v>
      </c>
      <c r="BC36">
        <f t="shared" si="30"/>
        <v>2008</v>
      </c>
      <c r="BD36" s="2">
        <f t="shared" si="31"/>
        <v>37844.890415529051</v>
      </c>
      <c r="BE36" s="2"/>
      <c r="BF36" s="69"/>
      <c r="BG36" s="69"/>
      <c r="BH36" s="69"/>
      <c r="BI36" s="69"/>
      <c r="BJ36" s="2">
        <f t="shared" si="32"/>
        <v>25229.926943686034</v>
      </c>
      <c r="BK36" s="2">
        <f t="shared" si="33"/>
        <v>63074.817359215085</v>
      </c>
      <c r="BL36" s="2">
        <f t="shared" si="34"/>
        <v>0</v>
      </c>
      <c r="BM36" s="2"/>
    </row>
    <row r="37" spans="1:65" x14ac:dyDescent="0.25">
      <c r="A37">
        <f t="shared" si="6"/>
        <v>2009</v>
      </c>
      <c r="B37" s="2">
        <f t="shared" si="7"/>
        <v>47870.001886602695</v>
      </c>
      <c r="C37" s="2"/>
      <c r="D37" s="2"/>
      <c r="E37" s="2"/>
      <c r="F37" s="2"/>
      <c r="G37" s="2"/>
      <c r="H37" s="2">
        <f t="shared" si="8"/>
        <v>26726.061611446614</v>
      </c>
      <c r="I37" s="2">
        <f t="shared" si="35"/>
        <v>74596.063498049305</v>
      </c>
      <c r="J37" s="2">
        <f t="shared" si="9"/>
        <v>6126.552453166616</v>
      </c>
      <c r="K37" s="6">
        <f t="shared" si="10"/>
        <v>8.9478548330081953E-2</v>
      </c>
      <c r="L37" s="7">
        <f t="shared" si="11"/>
        <v>1.089478548330082</v>
      </c>
      <c r="N37">
        <f t="shared" si="12"/>
        <v>2009</v>
      </c>
      <c r="O37" s="2">
        <f t="shared" si="13"/>
        <v>5545.7451088662965</v>
      </c>
      <c r="P37" s="2"/>
      <c r="Q37" s="2"/>
      <c r="R37">
        <f t="shared" si="14"/>
        <v>2009</v>
      </c>
      <c r="S37" s="2">
        <f t="shared" si="15"/>
        <v>44542.554821282916</v>
      </c>
      <c r="T37" s="2"/>
      <c r="U37" s="2"/>
      <c r="V37" s="2"/>
      <c r="W37" s="2"/>
      <c r="X37" s="2"/>
      <c r="Y37" s="2">
        <f t="shared" si="16"/>
        <v>24507.763567900096</v>
      </c>
      <c r="Z37" s="2">
        <f t="shared" si="17"/>
        <v>69050.318389183012</v>
      </c>
      <c r="AA37" s="2">
        <f t="shared" si="18"/>
        <v>5975.501029967927</v>
      </c>
      <c r="AB37" s="6">
        <f t="shared" si="19"/>
        <v>9.4736715541117941E-2</v>
      </c>
      <c r="AC37" s="7">
        <f t="shared" si="20"/>
        <v>1.0947367155411178</v>
      </c>
      <c r="AD37" s="2">
        <f t="shared" si="21"/>
        <v>0</v>
      </c>
      <c r="AE37" s="2"/>
      <c r="AG37">
        <f t="shared" si="22"/>
        <v>2009</v>
      </c>
      <c r="AH37" s="6">
        <f t="shared" si="5"/>
        <v>0.64507385136490081</v>
      </c>
      <c r="AI37" s="6"/>
      <c r="AJ37" s="6"/>
      <c r="AK37" s="6"/>
      <c r="AL37" s="6"/>
      <c r="AM37" s="56"/>
      <c r="AN37" s="56">
        <f t="shared" si="5"/>
        <v>0.35492614863509925</v>
      </c>
      <c r="AO37" s="6">
        <f t="shared" si="23"/>
        <v>1</v>
      </c>
      <c r="AP37" s="7">
        <f t="shared" si="24"/>
        <v>0.64507385136490081</v>
      </c>
      <c r="AQ37" s="7">
        <f t="shared" si="25"/>
        <v>0</v>
      </c>
      <c r="AR37" s="22"/>
      <c r="AS37">
        <f t="shared" si="26"/>
        <v>2009</v>
      </c>
      <c r="AT37" s="1" t="b">
        <f t="shared" si="27"/>
        <v>1</v>
      </c>
      <c r="AU37" s="1"/>
      <c r="AV37" s="1"/>
      <c r="AW37" s="1"/>
      <c r="AX37" s="1"/>
      <c r="AY37" s="1"/>
      <c r="AZ37" s="1" t="b">
        <f t="shared" si="28"/>
        <v>1</v>
      </c>
      <c r="BA37" s="1" t="b">
        <f t="shared" si="29"/>
        <v>1</v>
      </c>
      <c r="BC37">
        <f t="shared" si="30"/>
        <v>2009</v>
      </c>
      <c r="BD37" s="2">
        <f t="shared" si="31"/>
        <v>41430.191033509807</v>
      </c>
      <c r="BE37" s="2"/>
      <c r="BF37" s="69"/>
      <c r="BG37" s="69"/>
      <c r="BH37" s="69"/>
      <c r="BI37" s="69"/>
      <c r="BJ37" s="2">
        <f t="shared" si="32"/>
        <v>27620.127355673205</v>
      </c>
      <c r="BK37" s="2">
        <f t="shared" si="33"/>
        <v>69050.318389183012</v>
      </c>
      <c r="BL37" s="2">
        <f t="shared" si="34"/>
        <v>0</v>
      </c>
      <c r="BM37" s="2"/>
    </row>
    <row r="38" spans="1:65" x14ac:dyDescent="0.25">
      <c r="A38">
        <f t="shared" si="6"/>
        <v>2010</v>
      </c>
      <c r="B38" s="2">
        <f t="shared" si="7"/>
        <v>47607.432516606117</v>
      </c>
      <c r="C38" s="2"/>
      <c r="D38" s="2"/>
      <c r="E38" s="2"/>
      <c r="F38" s="2"/>
      <c r="G38" s="2"/>
      <c r="H38" s="2">
        <f t="shared" si="8"/>
        <v>29393.339531907426</v>
      </c>
      <c r="I38" s="2">
        <f t="shared" si="35"/>
        <v>77000.772048513551</v>
      </c>
      <c r="J38" s="2">
        <f t="shared" si="9"/>
        <v>2404.7085504642455</v>
      </c>
      <c r="K38" s="6">
        <f t="shared" si="10"/>
        <v>3.2236400122201206E-2</v>
      </c>
      <c r="L38" s="7">
        <f t="shared" si="11"/>
        <v>1.0322364001222013</v>
      </c>
      <c r="N38">
        <f t="shared" si="12"/>
        <v>2010</v>
      </c>
      <c r="O38" s="2">
        <f t="shared" si="13"/>
        <v>5623.3855403904245</v>
      </c>
      <c r="P38" s="2"/>
      <c r="Q38" s="2"/>
      <c r="R38">
        <f t="shared" si="14"/>
        <v>2010</v>
      </c>
      <c r="S38" s="2">
        <f t="shared" si="15"/>
        <v>44233.401192371864</v>
      </c>
      <c r="T38" s="2"/>
      <c r="U38" s="2"/>
      <c r="V38" s="2"/>
      <c r="W38" s="2"/>
      <c r="X38" s="2"/>
      <c r="Y38" s="2">
        <f t="shared" si="16"/>
        <v>27143.985315751255</v>
      </c>
      <c r="Z38" s="2">
        <f t="shared" si="17"/>
        <v>71377.38650812312</v>
      </c>
      <c r="AA38" s="2">
        <f t="shared" si="18"/>
        <v>2327.0681189401075</v>
      </c>
      <c r="AB38" s="6">
        <f t="shared" si="19"/>
        <v>3.3701048354682912E-2</v>
      </c>
      <c r="AC38" s="7">
        <f t="shared" si="20"/>
        <v>1.0337010483546829</v>
      </c>
      <c r="AD38" s="2">
        <f t="shared" si="21"/>
        <v>0</v>
      </c>
      <c r="AE38" s="2"/>
      <c r="AG38">
        <f t="shared" si="22"/>
        <v>2010</v>
      </c>
      <c r="AH38" s="6">
        <f t="shared" si="5"/>
        <v>0.61971169520668667</v>
      </c>
      <c r="AI38" s="6"/>
      <c r="AJ38" s="6"/>
      <c r="AK38" s="6"/>
      <c r="AL38" s="7"/>
      <c r="AM38" s="56"/>
      <c r="AN38" s="56">
        <f t="shared" si="5"/>
        <v>0.38028830479331333</v>
      </c>
      <c r="AO38" s="6">
        <f t="shared" si="23"/>
        <v>1</v>
      </c>
      <c r="AP38" s="7">
        <f t="shared" si="24"/>
        <v>0.61971169520668667</v>
      </c>
      <c r="AQ38" s="7">
        <f t="shared" si="25"/>
        <v>0</v>
      </c>
      <c r="AR38" s="22"/>
      <c r="AS38">
        <f t="shared" si="26"/>
        <v>2010</v>
      </c>
      <c r="AT38" s="1" t="b">
        <f t="shared" si="27"/>
        <v>1</v>
      </c>
      <c r="AU38" s="1"/>
      <c r="AV38" s="1"/>
      <c r="AW38" s="1"/>
      <c r="AX38" s="1"/>
      <c r="AY38" s="1"/>
      <c r="AZ38" s="1" t="b">
        <f t="shared" si="28"/>
        <v>1</v>
      </c>
      <c r="BA38" s="1" t="b">
        <f t="shared" si="29"/>
        <v>1</v>
      </c>
      <c r="BC38">
        <f t="shared" si="30"/>
        <v>2010</v>
      </c>
      <c r="BD38" s="2">
        <f t="shared" si="31"/>
        <v>42826.431904873869</v>
      </c>
      <c r="BE38" s="2"/>
      <c r="BF38" s="69"/>
      <c r="BG38" s="69"/>
      <c r="BH38" s="69"/>
      <c r="BI38" s="69"/>
      <c r="BJ38" s="2">
        <f t="shared" si="32"/>
        <v>28550.954603249251</v>
      </c>
      <c r="BK38" s="2">
        <f t="shared" si="33"/>
        <v>71377.38650812312</v>
      </c>
      <c r="BL38" s="2">
        <f t="shared" si="34"/>
        <v>0</v>
      </c>
      <c r="BM38" s="2"/>
    </row>
    <row r="39" spans="1:65" x14ac:dyDescent="0.25">
      <c r="A39">
        <f t="shared" si="6"/>
        <v>2011</v>
      </c>
      <c r="B39" s="2">
        <f t="shared" si="7"/>
        <v>43670.112613399884</v>
      </c>
      <c r="C39" s="2"/>
      <c r="D39" s="2"/>
      <c r="E39" s="2"/>
      <c r="F39" s="2"/>
      <c r="G39" s="2"/>
      <c r="H39" s="2">
        <f t="shared" si="8"/>
        <v>30709.406771254897</v>
      </c>
      <c r="I39" s="2">
        <f t="shared" si="35"/>
        <v>74379.519384654777</v>
      </c>
      <c r="J39" s="2">
        <f t="shared" si="9"/>
        <v>-2621.2526638587733</v>
      </c>
      <c r="K39" s="6">
        <f t="shared" si="10"/>
        <v>-3.4041901063112459E-2</v>
      </c>
      <c r="L39" s="7">
        <f t="shared" si="11"/>
        <v>0.96595809893688755</v>
      </c>
      <c r="N39">
        <f t="shared" si="12"/>
        <v>2011</v>
      </c>
      <c r="O39" s="2">
        <f t="shared" si="13"/>
        <v>5792.0871066021373</v>
      </c>
      <c r="P39" s="2"/>
      <c r="Q39" s="2"/>
      <c r="R39">
        <f t="shared" si="14"/>
        <v>2011</v>
      </c>
      <c r="S39" s="2">
        <f t="shared" si="15"/>
        <v>40194.860349438604</v>
      </c>
      <c r="T39" s="2"/>
      <c r="U39" s="2"/>
      <c r="V39" s="2"/>
      <c r="W39" s="2"/>
      <c r="X39" s="2"/>
      <c r="Y39" s="2">
        <f t="shared" si="16"/>
        <v>28392.571928614041</v>
      </c>
      <c r="Z39" s="2">
        <f t="shared" si="17"/>
        <v>68587.432278052642</v>
      </c>
      <c r="AA39" s="2">
        <f t="shared" si="18"/>
        <v>-2789.9542300704779</v>
      </c>
      <c r="AB39" s="6">
        <f t="shared" si="19"/>
        <v>-3.9087368795059016E-2</v>
      </c>
      <c r="AC39" s="7">
        <f t="shared" si="20"/>
        <v>0.96091263120494097</v>
      </c>
      <c r="AD39" s="2">
        <f t="shared" si="21"/>
        <v>0</v>
      </c>
      <c r="AE39" s="2"/>
      <c r="AG39">
        <f t="shared" si="22"/>
        <v>2011</v>
      </c>
      <c r="AH39" s="6">
        <f t="shared" si="5"/>
        <v>0.58603827282072773</v>
      </c>
      <c r="AI39" s="7"/>
      <c r="AJ39" s="6"/>
      <c r="AK39" s="6"/>
      <c r="AL39" s="7"/>
      <c r="AM39" s="56"/>
      <c r="AN39" s="56">
        <f t="shared" si="5"/>
        <v>0.41396172717927227</v>
      </c>
      <c r="AO39" s="6">
        <f t="shared" si="23"/>
        <v>1</v>
      </c>
      <c r="AP39" s="7">
        <f t="shared" si="24"/>
        <v>0.58603827282072773</v>
      </c>
      <c r="AQ39" s="7">
        <f t="shared" si="25"/>
        <v>0</v>
      </c>
      <c r="AR39" s="22"/>
      <c r="AS39">
        <f t="shared" si="26"/>
        <v>2011</v>
      </c>
      <c r="AT39" s="1" t="b">
        <f t="shared" si="27"/>
        <v>1</v>
      </c>
      <c r="AU39" s="1"/>
      <c r="AV39" s="1"/>
      <c r="AW39" s="1"/>
      <c r="AX39" s="1"/>
      <c r="AY39" s="1"/>
      <c r="AZ39" s="1" t="b">
        <f t="shared" si="28"/>
        <v>1</v>
      </c>
      <c r="BA39" s="1" t="b">
        <f t="shared" si="29"/>
        <v>1</v>
      </c>
      <c r="BC39">
        <f t="shared" si="30"/>
        <v>2011</v>
      </c>
      <c r="BD39" s="2">
        <f t="shared" si="31"/>
        <v>41152.459366831587</v>
      </c>
      <c r="BE39" s="2"/>
      <c r="BF39" s="69"/>
      <c r="BG39" s="69"/>
      <c r="BH39" s="69"/>
      <c r="BI39" s="69"/>
      <c r="BJ39" s="2">
        <f t="shared" si="32"/>
        <v>27434.972911221059</v>
      </c>
      <c r="BK39" s="2">
        <f t="shared" si="33"/>
        <v>68587.432278052642</v>
      </c>
      <c r="BL39" s="2">
        <f t="shared" si="34"/>
        <v>0</v>
      </c>
      <c r="BM39" s="2"/>
    </row>
    <row r="40" spans="1:65" x14ac:dyDescent="0.25">
      <c r="A40">
        <f t="shared" si="6"/>
        <v>2012</v>
      </c>
      <c r="B40" s="2">
        <f t="shared" si="7"/>
        <v>47662.77843866434</v>
      </c>
      <c r="C40" s="2"/>
      <c r="D40" s="2"/>
      <c r="E40" s="2"/>
      <c r="F40" s="2"/>
      <c r="G40" s="2"/>
      <c r="H40" s="2">
        <f t="shared" si="8"/>
        <v>28546.089314125511</v>
      </c>
      <c r="I40" s="2">
        <f t="shared" ref="I40:I42" si="36">SUM(B40:H40)</f>
        <v>76208.867752789854</v>
      </c>
      <c r="J40" s="2">
        <f t="shared" si="9"/>
        <v>1829.3483681350772</v>
      </c>
      <c r="K40" s="6">
        <f t="shared" si="10"/>
        <v>2.4594786081832222E-2</v>
      </c>
      <c r="L40" s="7">
        <f t="shared" si="11"/>
        <v>1.0245947860818323</v>
      </c>
      <c r="N40">
        <f t="shared" si="12"/>
        <v>2012</v>
      </c>
      <c r="O40" s="2">
        <f t="shared" si="13"/>
        <v>5896.3446745209758</v>
      </c>
      <c r="P40" s="2"/>
      <c r="Q40" s="2"/>
      <c r="R40">
        <f t="shared" si="14"/>
        <v>2012</v>
      </c>
      <c r="S40" s="2">
        <f t="shared" si="15"/>
        <v>44124.971633951754</v>
      </c>
      <c r="T40" s="2"/>
      <c r="U40" s="2"/>
      <c r="V40" s="2"/>
      <c r="W40" s="2"/>
      <c r="X40" s="2"/>
      <c r="Y40" s="2">
        <f t="shared" si="16"/>
        <v>26187.55144431712</v>
      </c>
      <c r="Z40" s="2">
        <f t="shared" si="17"/>
        <v>70312.523078268874</v>
      </c>
      <c r="AA40" s="2">
        <f t="shared" si="18"/>
        <v>1725.0908002162323</v>
      </c>
      <c r="AB40" s="6">
        <f t="shared" si="19"/>
        <v>2.5151704079294505E-2</v>
      </c>
      <c r="AC40" s="7">
        <f t="shared" si="20"/>
        <v>1.0251517040792946</v>
      </c>
      <c r="AD40" s="2">
        <f t="shared" si="21"/>
        <v>0</v>
      </c>
      <c r="AE40" s="2"/>
      <c r="AG40">
        <f t="shared" si="22"/>
        <v>2012</v>
      </c>
      <c r="AH40" s="6">
        <f t="shared" si="5"/>
        <v>0.62755494614855079</v>
      </c>
      <c r="AI40" s="7"/>
      <c r="AJ40" s="6"/>
      <c r="AK40" s="6"/>
      <c r="AL40" s="7"/>
      <c r="AM40" s="6"/>
      <c r="AN40" s="6">
        <f t="shared" si="5"/>
        <v>0.37244505385144927</v>
      </c>
      <c r="AO40" s="6">
        <f t="shared" si="23"/>
        <v>1</v>
      </c>
      <c r="AP40" s="7">
        <f t="shared" si="24"/>
        <v>0.62755494614855079</v>
      </c>
      <c r="AQ40" s="7">
        <f t="shared" si="25"/>
        <v>0</v>
      </c>
      <c r="AR40" s="22"/>
      <c r="AS40">
        <f t="shared" si="26"/>
        <v>2012</v>
      </c>
      <c r="AT40" s="1" t="b">
        <f t="shared" si="27"/>
        <v>1</v>
      </c>
      <c r="AU40" s="1"/>
      <c r="AV40" s="1"/>
      <c r="AW40" s="1"/>
      <c r="AX40" s="1"/>
      <c r="AY40" s="1"/>
      <c r="AZ40" s="1" t="b">
        <f t="shared" si="28"/>
        <v>1</v>
      </c>
      <c r="BA40" s="1" t="b">
        <f t="shared" si="29"/>
        <v>1</v>
      </c>
      <c r="BC40">
        <f t="shared" si="30"/>
        <v>2012</v>
      </c>
      <c r="BD40" s="2">
        <f t="shared" si="31"/>
        <v>42187.513846961323</v>
      </c>
      <c r="BE40" s="2"/>
      <c r="BF40" s="69"/>
      <c r="BG40" s="69"/>
      <c r="BH40" s="69"/>
      <c r="BI40" s="69"/>
      <c r="BJ40" s="2">
        <f t="shared" si="32"/>
        <v>28125.009231307551</v>
      </c>
      <c r="BK40" s="2">
        <f t="shared" si="33"/>
        <v>70312.523078268874</v>
      </c>
      <c r="BL40" s="2">
        <f t="shared" si="34"/>
        <v>0</v>
      </c>
      <c r="BM40" s="2"/>
    </row>
    <row r="41" spans="1:65" x14ac:dyDescent="0.25">
      <c r="A41">
        <f t="shared" si="6"/>
        <v>2013</v>
      </c>
      <c r="B41" s="2">
        <f t="shared" si="7"/>
        <v>55763.455802913479</v>
      </c>
      <c r="C41" s="2"/>
      <c r="D41" s="2"/>
      <c r="E41" s="2"/>
      <c r="F41" s="2"/>
      <c r="G41" s="2"/>
      <c r="H41" s="2">
        <f t="shared" si="8"/>
        <v>27489.384022680002</v>
      </c>
      <c r="I41" s="2">
        <f t="shared" si="36"/>
        <v>83252.839825593488</v>
      </c>
      <c r="J41" s="2">
        <f t="shared" si="9"/>
        <v>7043.9720728036336</v>
      </c>
      <c r="K41" s="6">
        <f t="shared" si="10"/>
        <v>9.2429821889668057E-2</v>
      </c>
      <c r="L41" s="7">
        <f t="shared" si="11"/>
        <v>1.092429821889668</v>
      </c>
      <c r="N41">
        <f t="shared" si="12"/>
        <v>2013</v>
      </c>
      <c r="O41" s="2">
        <f t="shared" si="13"/>
        <v>5964.4823444987178</v>
      </c>
      <c r="P41" s="2"/>
      <c r="Q41" s="2"/>
      <c r="R41">
        <f t="shared" si="14"/>
        <v>2013</v>
      </c>
      <c r="S41" s="2">
        <f t="shared" si="15"/>
        <v>52184.766396214247</v>
      </c>
      <c r="T41" s="2"/>
      <c r="U41" s="2"/>
      <c r="V41" s="2"/>
      <c r="W41" s="2"/>
      <c r="X41" s="2"/>
      <c r="Y41" s="2">
        <f t="shared" si="16"/>
        <v>25103.591084880514</v>
      </c>
      <c r="Z41" s="2">
        <f t="shared" si="17"/>
        <v>77288.357481094761</v>
      </c>
      <c r="AA41" s="2">
        <f t="shared" si="18"/>
        <v>6975.8344028258871</v>
      </c>
      <c r="AB41" s="6">
        <f t="shared" si="19"/>
        <v>9.9211834498680818E-2</v>
      </c>
      <c r="AC41" s="7">
        <f t="shared" si="20"/>
        <v>1.0992118344986808</v>
      </c>
      <c r="AD41" s="2">
        <f t="shared" si="21"/>
        <v>0</v>
      </c>
      <c r="AE41" s="2"/>
      <c r="AG41">
        <f t="shared" si="22"/>
        <v>2013</v>
      </c>
      <c r="AH41" s="6">
        <f t="shared" si="5"/>
        <v>0.67519569695835469</v>
      </c>
      <c r="AI41" s="7"/>
      <c r="AJ41" s="6"/>
      <c r="AK41" s="6"/>
      <c r="AL41" s="7"/>
      <c r="AM41" s="6"/>
      <c r="AN41" s="6">
        <f t="shared" si="5"/>
        <v>0.32480430304164526</v>
      </c>
      <c r="AO41" s="6">
        <f t="shared" si="23"/>
        <v>1</v>
      </c>
      <c r="AP41" s="7">
        <f t="shared" si="24"/>
        <v>0.67519569695835469</v>
      </c>
      <c r="AQ41" s="7">
        <f t="shared" si="25"/>
        <v>0</v>
      </c>
      <c r="AR41" s="22"/>
      <c r="AS41">
        <f t="shared" si="26"/>
        <v>2013</v>
      </c>
      <c r="AT41" s="1" t="b">
        <f t="shared" si="27"/>
        <v>0</v>
      </c>
      <c r="AU41" s="1"/>
      <c r="AV41" s="1"/>
      <c r="AW41" s="1"/>
      <c r="AX41" s="1"/>
      <c r="AY41" s="1"/>
      <c r="AZ41" s="1" t="b">
        <f t="shared" si="28"/>
        <v>0</v>
      </c>
      <c r="BA41" s="1" t="b">
        <f t="shared" si="29"/>
        <v>1</v>
      </c>
      <c r="BC41">
        <f t="shared" si="30"/>
        <v>2013</v>
      </c>
      <c r="BD41" s="2">
        <f t="shared" si="31"/>
        <v>46373.014488656852</v>
      </c>
      <c r="BE41" s="2"/>
      <c r="BF41" s="69"/>
      <c r="BG41" s="69"/>
      <c r="BH41" s="69"/>
      <c r="BI41" s="69"/>
      <c r="BJ41" s="2">
        <f t="shared" si="32"/>
        <v>30915.342992437905</v>
      </c>
      <c r="BK41" s="2">
        <f t="shared" si="33"/>
        <v>77288.357481094761</v>
      </c>
      <c r="BL41" s="2">
        <f t="shared" si="34"/>
        <v>0</v>
      </c>
      <c r="BM41" s="2"/>
    </row>
    <row r="42" spans="1:65" x14ac:dyDescent="0.25">
      <c r="A42">
        <f t="shared" si="6"/>
        <v>2014</v>
      </c>
      <c r="B42" s="2">
        <f t="shared" si="7"/>
        <v>52638.008746074396</v>
      </c>
      <c r="C42" s="2"/>
      <c r="D42" s="2"/>
      <c r="E42" s="2"/>
      <c r="F42" s="2"/>
      <c r="G42" s="2"/>
      <c r="H42" s="2">
        <f t="shared" si="8"/>
        <v>32696.066748802332</v>
      </c>
      <c r="I42" s="2">
        <f t="shared" si="36"/>
        <v>85334.075494876728</v>
      </c>
      <c r="J42" s="2">
        <f t="shared" si="9"/>
        <v>2081.23566928324</v>
      </c>
      <c r="K42" s="6">
        <f t="shared" si="10"/>
        <v>2.4998975093741237E-2</v>
      </c>
      <c r="L42" s="7">
        <f t="shared" si="11"/>
        <v>1.0249989750937412</v>
      </c>
      <c r="N42">
        <f t="shared" si="12"/>
        <v>2014</v>
      </c>
      <c r="O42" s="2">
        <f t="shared" si="13"/>
        <v>6041.4241667427505</v>
      </c>
      <c r="P42" s="2"/>
      <c r="Q42" s="2"/>
      <c r="R42">
        <f t="shared" si="14"/>
        <v>2014</v>
      </c>
      <c r="S42" s="2">
        <f t="shared" si="15"/>
        <v>49013.154246028746</v>
      </c>
      <c r="T42" s="2"/>
      <c r="U42" s="2"/>
      <c r="V42" s="2"/>
      <c r="W42" s="2"/>
      <c r="X42" s="2"/>
      <c r="Y42" s="2">
        <f t="shared" si="16"/>
        <v>30279.49708210523</v>
      </c>
      <c r="Z42" s="2">
        <f t="shared" si="17"/>
        <v>79292.651328133972</v>
      </c>
      <c r="AA42" s="2">
        <f t="shared" si="18"/>
        <v>2004.293847039211</v>
      </c>
      <c r="AB42" s="6">
        <f t="shared" si="19"/>
        <v>2.5932674886116894E-2</v>
      </c>
      <c r="AC42" s="7">
        <f t="shared" si="20"/>
        <v>1.0259326748861168</v>
      </c>
      <c r="AD42" s="2">
        <f t="shared" si="21"/>
        <v>0</v>
      </c>
      <c r="AE42" s="2"/>
      <c r="AG42">
        <f t="shared" si="22"/>
        <v>2014</v>
      </c>
      <c r="AH42" s="6">
        <f t="shared" si="5"/>
        <v>0.6181298446333866</v>
      </c>
      <c r="AI42" s="7"/>
      <c r="AJ42" s="6"/>
      <c r="AK42" s="6"/>
      <c r="AL42" s="7"/>
      <c r="AM42" s="6"/>
      <c r="AN42" s="6">
        <f t="shared" si="5"/>
        <v>0.38187015536661345</v>
      </c>
      <c r="AO42" s="6">
        <f t="shared" si="23"/>
        <v>1</v>
      </c>
      <c r="AP42" s="7">
        <f t="shared" si="24"/>
        <v>0.6181298446333866</v>
      </c>
      <c r="AQ42" s="7">
        <f t="shared" si="25"/>
        <v>0</v>
      </c>
      <c r="AR42" s="22"/>
      <c r="AS42">
        <f t="shared" si="26"/>
        <v>2014</v>
      </c>
      <c r="AT42" s="1" t="b">
        <f t="shared" si="27"/>
        <v>1</v>
      </c>
      <c r="AU42" s="1"/>
      <c r="AV42" s="1"/>
      <c r="AW42" s="1"/>
      <c r="AX42" s="1"/>
      <c r="AY42" s="1"/>
      <c r="AZ42" s="1" t="b">
        <f t="shared" si="28"/>
        <v>1</v>
      </c>
      <c r="BA42" s="1" t="b">
        <f t="shared" si="29"/>
        <v>1</v>
      </c>
      <c r="BC42">
        <f t="shared" si="30"/>
        <v>2014</v>
      </c>
      <c r="BD42" s="2">
        <f t="shared" si="31"/>
        <v>47575.59079688038</v>
      </c>
      <c r="BE42" s="2"/>
      <c r="BF42" s="69"/>
      <c r="BG42" s="69"/>
      <c r="BH42" s="69"/>
      <c r="BI42" s="69"/>
      <c r="BJ42" s="2">
        <f t="shared" si="32"/>
        <v>31717.060531253592</v>
      </c>
      <c r="BK42" s="2">
        <f t="shared" si="33"/>
        <v>79292.651328133972</v>
      </c>
      <c r="BL42" s="2">
        <f t="shared" si="34"/>
        <v>0</v>
      </c>
      <c r="BM42" s="2"/>
    </row>
    <row r="43" spans="1:65" x14ac:dyDescent="0.25">
      <c r="A43">
        <f t="shared" si="6"/>
        <v>2015</v>
      </c>
      <c r="B43" s="2">
        <f t="shared" si="7"/>
        <v>48170.285681841386</v>
      </c>
      <c r="C43" s="2"/>
      <c r="D43" s="2"/>
      <c r="E43" s="2"/>
      <c r="F43" s="2"/>
      <c r="G43" s="2"/>
      <c r="H43" s="2">
        <f t="shared" si="8"/>
        <v>31812.211712847347</v>
      </c>
      <c r="I43" s="2">
        <f t="shared" ref="I43:I45" si="37">SUM(B43:H43)</f>
        <v>79982.497394688733</v>
      </c>
      <c r="J43" s="2">
        <f t="shared" si="9"/>
        <v>-5351.578100187995</v>
      </c>
      <c r="K43" s="6">
        <f t="shared" si="10"/>
        <v>-6.2713260431459084E-2</v>
      </c>
      <c r="L43" s="7">
        <f t="shared" si="11"/>
        <v>0.93728673956854092</v>
      </c>
      <c r="N43">
        <f t="shared" si="12"/>
        <v>2015</v>
      </c>
      <c r="O43" s="2">
        <f t="shared" si="13"/>
        <v>6068.006433076418</v>
      </c>
      <c r="P43" s="2"/>
      <c r="Q43" s="2"/>
      <c r="R43">
        <f t="shared" si="14"/>
        <v>2015</v>
      </c>
      <c r="S43" s="2">
        <f t="shared" si="15"/>
        <v>44529.481821995534</v>
      </c>
      <c r="T43" s="2"/>
      <c r="U43" s="2"/>
      <c r="V43" s="2"/>
      <c r="W43" s="2"/>
      <c r="X43" s="2"/>
      <c r="Y43" s="2">
        <f t="shared" si="16"/>
        <v>29385.009139616781</v>
      </c>
      <c r="Z43" s="2">
        <f t="shared" si="17"/>
        <v>73914.490961612319</v>
      </c>
      <c r="AA43" s="2">
        <f t="shared" si="18"/>
        <v>-5378.1603665216535</v>
      </c>
      <c r="AB43" s="6">
        <f t="shared" si="19"/>
        <v>-6.7826718824994303E-2</v>
      </c>
      <c r="AC43" s="7">
        <f t="shared" si="20"/>
        <v>0.93217328117500564</v>
      </c>
      <c r="AD43" s="2">
        <f t="shared" si="21"/>
        <v>0</v>
      </c>
      <c r="AE43" s="2"/>
      <c r="AG43">
        <f t="shared" si="22"/>
        <v>2015</v>
      </c>
      <c r="AH43" s="6">
        <f t="shared" ref="AH43:AH45" si="38">S43/$Z43</f>
        <v>0.60244589718032471</v>
      </c>
      <c r="AI43" s="7"/>
      <c r="AJ43" s="6"/>
      <c r="AK43" s="6"/>
      <c r="AL43" s="7"/>
      <c r="AM43" s="6"/>
      <c r="AN43" s="6">
        <f t="shared" ref="AM43:AN45" si="39">Y43/$Z43</f>
        <v>0.39755410281967524</v>
      </c>
      <c r="AO43" s="6">
        <f t="shared" si="23"/>
        <v>1</v>
      </c>
      <c r="AP43" s="7">
        <f t="shared" si="24"/>
        <v>0.60244589718032471</v>
      </c>
      <c r="AQ43" s="7">
        <f t="shared" si="25"/>
        <v>0</v>
      </c>
      <c r="AR43" s="22"/>
      <c r="AS43">
        <f t="shared" si="26"/>
        <v>2015</v>
      </c>
      <c r="AT43" s="1" t="b">
        <f t="shared" si="27"/>
        <v>1</v>
      </c>
      <c r="AU43" s="1"/>
      <c r="AV43" s="1"/>
      <c r="AW43" s="1"/>
      <c r="AX43" s="1"/>
      <c r="AY43" s="1"/>
      <c r="AZ43" s="1" t="b">
        <f t="shared" si="28"/>
        <v>1</v>
      </c>
      <c r="BA43" s="1" t="b">
        <f t="shared" si="29"/>
        <v>1</v>
      </c>
      <c r="BC43">
        <f t="shared" si="30"/>
        <v>2015</v>
      </c>
      <c r="BD43" s="2">
        <f t="shared" si="31"/>
        <v>44348.694576967391</v>
      </c>
      <c r="BE43" s="2"/>
      <c r="BF43" s="69"/>
      <c r="BG43" s="69"/>
      <c r="BH43" s="69"/>
      <c r="BI43" s="69"/>
      <c r="BJ43" s="2">
        <f t="shared" si="32"/>
        <v>29565.796384644927</v>
      </c>
      <c r="BK43" s="2">
        <f t="shared" si="33"/>
        <v>73914.490961612319</v>
      </c>
      <c r="BL43" s="2">
        <f t="shared" si="34"/>
        <v>0</v>
      </c>
      <c r="BM43" s="2"/>
    </row>
    <row r="44" spans="1:65" x14ac:dyDescent="0.25">
      <c r="A44">
        <f t="shared" si="6"/>
        <v>2016</v>
      </c>
      <c r="B44" s="2">
        <f t="shared" si="7"/>
        <v>49590.710275964942</v>
      </c>
      <c r="C44" s="2"/>
      <c r="D44" s="2"/>
      <c r="E44" s="2"/>
      <c r="F44" s="2"/>
      <c r="G44" s="2"/>
      <c r="H44" s="2">
        <f t="shared" si="8"/>
        <v>30304.941294261047</v>
      </c>
      <c r="I44" s="2">
        <f t="shared" si="37"/>
        <v>79895.651570225993</v>
      </c>
      <c r="J44" s="2">
        <f t="shared" si="9"/>
        <v>-86.845824462739984</v>
      </c>
      <c r="K44" s="6">
        <f t="shared" si="10"/>
        <v>-1.0858103621618972E-3</v>
      </c>
      <c r="L44" s="7">
        <f t="shared" si="11"/>
        <v>0.99891418963783807</v>
      </c>
      <c r="N44">
        <f t="shared" si="12"/>
        <v>2016</v>
      </c>
      <c r="O44" s="2">
        <f t="shared" si="13"/>
        <v>6171.1625424387166</v>
      </c>
      <c r="P44" s="2"/>
      <c r="Q44" s="2"/>
      <c r="R44">
        <f t="shared" si="14"/>
        <v>2016</v>
      </c>
      <c r="S44" s="2">
        <f t="shared" si="15"/>
        <v>45888.012750501715</v>
      </c>
      <c r="T44" s="2"/>
      <c r="U44" s="2"/>
      <c r="V44" s="2"/>
      <c r="W44" s="2"/>
      <c r="X44" s="2"/>
      <c r="Y44" s="2">
        <f t="shared" si="16"/>
        <v>27836.476277285561</v>
      </c>
      <c r="Z44" s="2">
        <f t="shared" si="17"/>
        <v>73724.489027787276</v>
      </c>
      <c r="AA44" s="2">
        <f t="shared" si="18"/>
        <v>-190.00193382504222</v>
      </c>
      <c r="AB44" s="6">
        <f t="shared" si="19"/>
        <v>-2.5705640579155205E-3</v>
      </c>
      <c r="AC44" s="7">
        <f t="shared" si="20"/>
        <v>0.99742943594208444</v>
      </c>
      <c r="AD44" s="2">
        <f t="shared" si="21"/>
        <v>0</v>
      </c>
      <c r="AE44" s="2"/>
      <c r="AG44">
        <f t="shared" si="22"/>
        <v>2016</v>
      </c>
      <c r="AH44" s="6">
        <f t="shared" si="38"/>
        <v>0.62242564656102539</v>
      </c>
      <c r="AI44" s="7"/>
      <c r="AJ44" s="6"/>
      <c r="AK44" s="6"/>
      <c r="AL44" s="7"/>
      <c r="AM44" s="6"/>
      <c r="AN44" s="6">
        <f t="shared" si="39"/>
        <v>0.37757435343897466</v>
      </c>
      <c r="AO44" s="6">
        <f t="shared" si="23"/>
        <v>1</v>
      </c>
      <c r="AP44" s="7">
        <f t="shared" si="24"/>
        <v>0.62242564656102539</v>
      </c>
      <c r="AQ44" s="7">
        <f t="shared" si="25"/>
        <v>0</v>
      </c>
      <c r="AR44" s="22"/>
      <c r="AS44">
        <f t="shared" si="26"/>
        <v>2016</v>
      </c>
      <c r="AT44" s="1" t="b">
        <f t="shared" si="27"/>
        <v>1</v>
      </c>
      <c r="AU44" s="1"/>
      <c r="AV44" s="1"/>
      <c r="AW44" s="1"/>
      <c r="AX44" s="1"/>
      <c r="AY44" s="1"/>
      <c r="AZ44" s="1" t="b">
        <f t="shared" si="28"/>
        <v>1</v>
      </c>
      <c r="BA44" s="1" t="b">
        <f t="shared" si="29"/>
        <v>1</v>
      </c>
      <c r="BC44">
        <f t="shared" si="30"/>
        <v>2016</v>
      </c>
      <c r="BD44" s="2">
        <f t="shared" si="31"/>
        <v>44234.693416672366</v>
      </c>
      <c r="BE44" s="2"/>
      <c r="BF44" s="69"/>
      <c r="BG44" s="69"/>
      <c r="BH44" s="69"/>
      <c r="BI44" s="69"/>
      <c r="BJ44" s="2">
        <f t="shared" si="32"/>
        <v>29489.795611114911</v>
      </c>
      <c r="BK44" s="2">
        <f t="shared" si="33"/>
        <v>73724.489027787276</v>
      </c>
      <c r="BL44" s="2">
        <f t="shared" si="34"/>
        <v>0</v>
      </c>
      <c r="BM44" s="2"/>
    </row>
    <row r="45" spans="1:65" x14ac:dyDescent="0.25">
      <c r="A45">
        <f t="shared" si="6"/>
        <v>2017</v>
      </c>
      <c r="B45" s="2">
        <f t="shared" si="7"/>
        <v>53820.351480065263</v>
      </c>
      <c r="C45" s="2"/>
      <c r="D45" s="2"/>
      <c r="E45" s="2"/>
      <c r="F45" s="2"/>
      <c r="G45" s="2"/>
      <c r="H45" s="2">
        <f t="shared" ref="G45:H45" si="40">BJ44*(1+(H21/100))</f>
        <v>30510.142539259487</v>
      </c>
      <c r="I45" s="2">
        <f t="shared" si="37"/>
        <v>84330.494019324746</v>
      </c>
      <c r="J45" s="2">
        <f t="shared" si="9"/>
        <v>4434.8424490987527</v>
      </c>
      <c r="K45" s="6">
        <f t="shared" si="10"/>
        <v>5.5507932683929027E-2</v>
      </c>
      <c r="L45" s="7">
        <f t="shared" si="11"/>
        <v>1.055507932683929</v>
      </c>
      <c r="N45">
        <f t="shared" si="12"/>
        <v>2017</v>
      </c>
      <c r="O45" s="2">
        <f t="shared" si="13"/>
        <v>6308.7794671351003</v>
      </c>
      <c r="P45" s="2"/>
      <c r="Q45" s="2"/>
      <c r="R45">
        <f t="shared" si="14"/>
        <v>2017</v>
      </c>
      <c r="S45" s="2">
        <f t="shared" si="15"/>
        <v>50035.083799784203</v>
      </c>
      <c r="T45" s="2"/>
      <c r="U45" s="2"/>
      <c r="V45" s="2"/>
      <c r="W45" s="2"/>
      <c r="X45" s="2"/>
      <c r="Y45" s="2">
        <f t="shared" si="16"/>
        <v>27986.630752405446</v>
      </c>
      <c r="Z45" s="2">
        <f t="shared" si="17"/>
        <v>78021.714552189645</v>
      </c>
      <c r="AA45" s="2">
        <f t="shared" si="18"/>
        <v>4297.225524402369</v>
      </c>
      <c r="AB45" s="6">
        <f t="shared" si="19"/>
        <v>5.8287627097458952E-2</v>
      </c>
      <c r="AC45" s="7">
        <f t="shared" si="20"/>
        <v>1.058287627097459</v>
      </c>
      <c r="AD45" s="2">
        <f t="shared" si="21"/>
        <v>0</v>
      </c>
      <c r="AE45" s="2"/>
      <c r="AG45">
        <f t="shared" si="22"/>
        <v>2017</v>
      </c>
      <c r="AH45" s="6">
        <f t="shared" si="38"/>
        <v>0.64129690159929953</v>
      </c>
      <c r="AI45" s="7"/>
      <c r="AJ45" s="6"/>
      <c r="AK45" s="6"/>
      <c r="AL45" s="7"/>
      <c r="AM45" s="6"/>
      <c r="AN45" s="6">
        <f t="shared" si="39"/>
        <v>0.35870309840070047</v>
      </c>
      <c r="AO45" s="6">
        <f t="shared" si="23"/>
        <v>1</v>
      </c>
      <c r="AP45" s="7">
        <f t="shared" si="24"/>
        <v>0.64129690159929953</v>
      </c>
      <c r="AQ45" s="7">
        <f t="shared" si="25"/>
        <v>0</v>
      </c>
      <c r="AR45" s="22"/>
      <c r="AS45">
        <f t="shared" si="26"/>
        <v>2017</v>
      </c>
      <c r="AT45" s="1" t="b">
        <f t="shared" si="27"/>
        <v>1</v>
      </c>
      <c r="AU45" s="1"/>
      <c r="AV45" s="1"/>
      <c r="AW45" s="1"/>
      <c r="AX45" s="1"/>
      <c r="AY45" s="1"/>
      <c r="AZ45" s="1" t="b">
        <f t="shared" si="28"/>
        <v>1</v>
      </c>
      <c r="BA45" s="1" t="b">
        <f t="shared" si="29"/>
        <v>1</v>
      </c>
      <c r="BC45">
        <f t="shared" si="30"/>
        <v>2017</v>
      </c>
      <c r="BD45" s="2">
        <f t="shared" si="31"/>
        <v>46813.028731313789</v>
      </c>
      <c r="BE45" s="2"/>
      <c r="BF45" s="69"/>
      <c r="BG45" s="69"/>
      <c r="BH45" s="69"/>
      <c r="BI45" s="69"/>
      <c r="BJ45" s="2">
        <f t="shared" si="32"/>
        <v>31208.68582087586</v>
      </c>
      <c r="BK45" s="2">
        <f t="shared" si="33"/>
        <v>78021.714552189645</v>
      </c>
      <c r="BL45" s="2">
        <f t="shared" si="34"/>
        <v>0</v>
      </c>
      <c r="BM45" s="2"/>
    </row>
    <row r="46" spans="1:65" x14ac:dyDescent="0.25">
      <c r="A46" s="9" t="s">
        <v>41</v>
      </c>
      <c r="B46" s="10">
        <f>BD45</f>
        <v>46813.028731313789</v>
      </c>
      <c r="C46" s="10"/>
      <c r="D46" s="10">
        <f>BF45</f>
        <v>0</v>
      </c>
      <c r="E46" s="10">
        <f>BG45</f>
        <v>0</v>
      </c>
      <c r="F46" s="10"/>
      <c r="G46" s="10">
        <f>BI45</f>
        <v>0</v>
      </c>
      <c r="H46" s="10">
        <f>BJ45</f>
        <v>31208.68582087586</v>
      </c>
      <c r="I46" s="10">
        <f>SUM(B46:H46)</f>
        <v>78021.714552189645</v>
      </c>
      <c r="J46" s="10"/>
      <c r="K46" s="10"/>
      <c r="N46" t="s">
        <v>68</v>
      </c>
      <c r="O46" s="2">
        <f>O42</f>
        <v>6041.4241667427505</v>
      </c>
      <c r="P46" s="2"/>
      <c r="R46" s="9" t="s">
        <v>41</v>
      </c>
      <c r="S46" s="10">
        <f>S45</f>
        <v>50035.083799784203</v>
      </c>
      <c r="T46" s="10"/>
      <c r="U46" s="10">
        <f>U45</f>
        <v>0</v>
      </c>
      <c r="V46" s="10">
        <f>V45</f>
        <v>0</v>
      </c>
      <c r="W46" s="10"/>
      <c r="X46" s="10">
        <f>X45</f>
        <v>0</v>
      </c>
      <c r="Y46" s="10">
        <f>Y45</f>
        <v>27986.630752405446</v>
      </c>
      <c r="Z46" s="10">
        <f>SUM(S46:Y46)</f>
        <v>78021.714552189645</v>
      </c>
      <c r="AA46" s="10"/>
      <c r="AB46" s="10"/>
      <c r="AD46" s="40"/>
      <c r="AE46" s="40"/>
      <c r="AK46" s="7"/>
    </row>
    <row r="47" spans="1:65" x14ac:dyDescent="0.25">
      <c r="A47" s="11" t="s">
        <v>28</v>
      </c>
      <c r="I47" s="6">
        <f>(Z46-Z27)/Z27</f>
        <v>-0.21978285447810356</v>
      </c>
      <c r="K47" s="6"/>
      <c r="N47" t="s">
        <v>114</v>
      </c>
      <c r="O47" s="2">
        <f>SUM(O28:O45)</f>
        <v>97708.357445604095</v>
      </c>
      <c r="P47" s="2"/>
      <c r="AB47" s="6"/>
    </row>
    <row r="48" spans="1:65" x14ac:dyDescent="0.25">
      <c r="A48" s="1" t="s">
        <v>29</v>
      </c>
      <c r="I48" s="12">
        <f>STDEV(AC28:AC45)</f>
        <v>9.4396137093544358E-2</v>
      </c>
    </row>
    <row r="49" spans="1:16" x14ac:dyDescent="0.25">
      <c r="A49" s="1" t="s">
        <v>30</v>
      </c>
      <c r="I49" s="13">
        <f>((1+I47)^(1/16))-1</f>
        <v>-1.5391755160088394E-2</v>
      </c>
    </row>
    <row r="50" spans="1:16" x14ac:dyDescent="0.25">
      <c r="A50" s="1" t="s">
        <v>45</v>
      </c>
      <c r="I50" s="28">
        <f>AA36</f>
        <v>-22717.974146502005</v>
      </c>
      <c r="O50" s="2"/>
      <c r="P50" s="2"/>
    </row>
    <row r="51" spans="1:16" x14ac:dyDescent="0.25">
      <c r="A51" s="1" t="s">
        <v>46</v>
      </c>
      <c r="I51" s="29">
        <f>AB36</f>
        <v>-0.2648005006922769</v>
      </c>
    </row>
    <row r="52" spans="1:16" x14ac:dyDescent="0.25">
      <c r="A52" s="1" t="s">
        <v>22</v>
      </c>
      <c r="I52" s="2">
        <f>O47</f>
        <v>97708.357445604095</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C8ED-39F0-45F5-B645-8B88ABC0C309}">
  <dimension ref="A1:AQ56"/>
  <sheetViews>
    <sheetView topLeftCell="A2" workbookViewId="0">
      <pane ySplit="1200" topLeftCell="A22" activePane="bottomLeft"/>
      <selection activeCell="O28" sqref="O28"/>
      <selection pane="bottomLeft" activeCell="J35" sqref="J35"/>
    </sheetView>
  </sheetViews>
  <sheetFormatPr defaultColWidth="8.85546875" defaultRowHeight="15" x14ac:dyDescent="0.25"/>
  <cols>
    <col min="1" max="1" width="25.42578125" customWidth="1"/>
    <col min="2" max="2" width="10.140625" bestFit="1"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95</v>
      </c>
      <c r="N1" s="64" t="s">
        <v>67</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94</v>
      </c>
      <c r="O3" s="42" t="s">
        <v>69</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6">
        <f>'4.5% Withdrawals-No Rebalancing'!N16</f>
        <v>2012</v>
      </c>
      <c r="O16" s="47">
        <f>'4.5% Withdrawals-No Rebalancing'!O16</f>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6">
        <f>'4.5% Withdrawals-No Rebalancing'!N17</f>
        <v>2013</v>
      </c>
      <c r="O17" s="47">
        <f>'4.5% Withdrawals-No Rebalancing'!O17</f>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6">
        <f>'4.5% Withdrawals-No Rebalancing'!N18</f>
        <v>2014</v>
      </c>
      <c r="O18" s="47">
        <f>'4.5% Withdrawals-No Rebalancing'!O18</f>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6">
        <f>'4.5% Withdrawals-No Rebalancing'!N19</f>
        <v>2015</v>
      </c>
      <c r="O19" s="47">
        <f>'4.5% Withdrawals-No Rebalancing'!O19</f>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6">
        <f>'4.5% Withdrawals-No Rebalancing'!N20</f>
        <v>2016</v>
      </c>
      <c r="O20" s="47">
        <f>'4.5% Withdrawals-No Rebalancing'!O20</f>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6">
        <f>'4.5% Withdrawals-No Rebalancing'!N21</f>
        <v>2017</v>
      </c>
      <c r="O21" s="47">
        <f>'4.5% Withdrawals-No Rebalancing'!O21</f>
        <v>2.23E-2</v>
      </c>
      <c r="P21" s="41"/>
    </row>
    <row r="24" spans="1:43" x14ac:dyDescent="0.25">
      <c r="A24" s="18" t="s">
        <v>11</v>
      </c>
      <c r="N24" s="18" t="s">
        <v>119</v>
      </c>
      <c r="R24" s="18" t="s">
        <v>16</v>
      </c>
      <c r="AG24" s="18" t="s">
        <v>135</v>
      </c>
    </row>
    <row r="25" spans="1:43"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O25" s="68">
        <v>4.4999999999999998E-2</v>
      </c>
      <c r="S25" s="4" t="str">
        <f t="shared" ref="S25:Z40"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3" t="s">
        <v>7</v>
      </c>
    </row>
    <row r="26" spans="1:43"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3" t="s">
        <v>50</v>
      </c>
    </row>
    <row r="27" spans="1:43" x14ac:dyDescent="0.25">
      <c r="A27" t="s">
        <v>115</v>
      </c>
      <c r="B27" s="2">
        <v>100000</v>
      </c>
      <c r="C27" s="2"/>
      <c r="D27" s="2"/>
      <c r="E27" s="2"/>
      <c r="F27" s="2"/>
      <c r="G27" s="2"/>
      <c r="H27" s="2"/>
      <c r="I27" s="2">
        <f>SUM(B27:H27)</f>
        <v>100000</v>
      </c>
      <c r="N27" s="19"/>
      <c r="R27" t="str">
        <f>A27</f>
        <v>Stating Balance</v>
      </c>
      <c r="S27" s="2">
        <f>B27</f>
        <v>100000</v>
      </c>
      <c r="T27" s="2"/>
      <c r="U27" s="2"/>
      <c r="V27" s="2"/>
      <c r="W27" s="2"/>
      <c r="X27" s="2"/>
      <c r="Y27" s="2"/>
      <c r="Z27" s="2">
        <f t="shared" si="1"/>
        <v>100000</v>
      </c>
      <c r="AD27" s="2"/>
      <c r="AE27" s="2"/>
      <c r="AG27" s="19" t="s">
        <v>49</v>
      </c>
      <c r="AH27" s="6">
        <f>S27/$Z27</f>
        <v>1</v>
      </c>
      <c r="AI27" s="6"/>
      <c r="AJ27" s="6">
        <f>U27/$Z27</f>
        <v>0</v>
      </c>
      <c r="AK27" s="6">
        <f>V27/$Z27</f>
        <v>0</v>
      </c>
      <c r="AL27" s="6"/>
      <c r="AM27" s="6">
        <f>X27/$Z27</f>
        <v>0</v>
      </c>
      <c r="AN27" s="6">
        <f>Y27/$Z27</f>
        <v>0</v>
      </c>
      <c r="AO27" s="6">
        <f>Z27/$Z27</f>
        <v>1</v>
      </c>
      <c r="AP27" s="22"/>
    </row>
    <row r="28" spans="1:43" x14ac:dyDescent="0.25">
      <c r="A28">
        <f t="shared" ref="A28:A45" si="3">A4</f>
        <v>2000</v>
      </c>
      <c r="B28" s="2">
        <f>B27*(1+(B4/100))</f>
        <v>90940</v>
      </c>
      <c r="C28" s="2"/>
      <c r="D28" s="2"/>
      <c r="E28" s="2"/>
      <c r="F28" s="2"/>
      <c r="G28" s="2"/>
      <c r="H28" s="2"/>
      <c r="I28" s="2">
        <f>SUM(B28:H28)</f>
        <v>90940</v>
      </c>
      <c r="J28" s="2">
        <f>I28-I27</f>
        <v>-9060</v>
      </c>
      <c r="K28" s="6">
        <f>(J28/I27)</f>
        <v>-9.06E-2</v>
      </c>
      <c r="L28" s="7">
        <f>K28+1</f>
        <v>0.90939999999999999</v>
      </c>
      <c r="N28">
        <f>A28</f>
        <v>2000</v>
      </c>
      <c r="O28" s="2">
        <f>I28*O25</f>
        <v>4092.2999999999997</v>
      </c>
      <c r="P28" s="2"/>
      <c r="Q28" s="2"/>
      <c r="R28">
        <f>A28</f>
        <v>2000</v>
      </c>
      <c r="S28" s="2">
        <f>B28-O28</f>
        <v>86847.7</v>
      </c>
      <c r="T28" s="2"/>
      <c r="U28" s="2"/>
      <c r="V28" s="2"/>
      <c r="W28" s="2"/>
      <c r="X28" s="2"/>
      <c r="Y28" s="2"/>
      <c r="Z28" s="2">
        <f t="shared" ref="Z28:Z45" si="4">SUM(S28:Y28)</f>
        <v>86847.7</v>
      </c>
      <c r="AA28" s="2">
        <f>Z28-Z27</f>
        <v>-13152.300000000003</v>
      </c>
      <c r="AB28" s="6">
        <f>(AA28/Z27)</f>
        <v>-0.13152300000000003</v>
      </c>
      <c r="AC28" s="7">
        <f>AB28+1</f>
        <v>0.86847699999999994</v>
      </c>
      <c r="AD28" s="2">
        <f>Z28-(I28-O28)</f>
        <v>0</v>
      </c>
      <c r="AE28" s="2"/>
      <c r="AG28">
        <f>A28</f>
        <v>2000</v>
      </c>
      <c r="AH28" s="6">
        <f>S28/$Z28</f>
        <v>1</v>
      </c>
      <c r="AI28" s="6"/>
      <c r="AJ28" s="6"/>
      <c r="AK28" s="6"/>
      <c r="AL28" s="6"/>
      <c r="AM28" s="6"/>
      <c r="AN28" s="6"/>
      <c r="AO28" s="6">
        <f>SUM(AH28:AN28)</f>
        <v>1</v>
      </c>
      <c r="AP28" s="7">
        <f>SUM(AH28:AM28)</f>
        <v>1</v>
      </c>
      <c r="AQ28" s="7">
        <f>AO28-(AP28+AN28)</f>
        <v>0</v>
      </c>
    </row>
    <row r="29" spans="1:43" x14ac:dyDescent="0.25">
      <c r="A29">
        <f t="shared" si="3"/>
        <v>2001</v>
      </c>
      <c r="B29" s="2">
        <f t="shared" ref="B29:B45" si="5">S28*(1+(B5/100))</f>
        <v>76408.606459999995</v>
      </c>
      <c r="C29" s="2"/>
      <c r="D29" s="2"/>
      <c r="E29" s="2"/>
      <c r="F29" s="2"/>
      <c r="G29" s="2"/>
      <c r="H29" s="2"/>
      <c r="I29" s="2">
        <f t="shared" ref="I29:I45" si="6">SUM(B29:H29)</f>
        <v>76408.606459999995</v>
      </c>
      <c r="J29" s="2">
        <f t="shared" ref="J29:J45" si="7">I29-I28</f>
        <v>-14531.393540000005</v>
      </c>
      <c r="K29" s="6">
        <f t="shared" ref="K29:K45" si="8">(J29/I28)</f>
        <v>-0.15979100000000004</v>
      </c>
      <c r="L29" s="7">
        <f t="shared" ref="L29:L45" si="9">K29+1</f>
        <v>0.84020899999999998</v>
      </c>
      <c r="N29">
        <f t="shared" ref="N29:N45" si="10">A29</f>
        <v>2001</v>
      </c>
      <c r="O29" s="2">
        <f t="shared" ref="O29:O45" si="11">O28*(1+O5)</f>
        <v>4157.7767999999996</v>
      </c>
      <c r="P29" s="2"/>
      <c r="Q29" s="2"/>
      <c r="R29">
        <f t="shared" ref="R29:R45" si="12">A29</f>
        <v>2001</v>
      </c>
      <c r="S29" s="2">
        <f t="shared" ref="S29:S45" si="13">B29-O29</f>
        <v>72250.829659999989</v>
      </c>
      <c r="T29" s="2"/>
      <c r="U29" s="2"/>
      <c r="V29" s="2"/>
      <c r="W29" s="2"/>
      <c r="X29" s="2"/>
      <c r="Y29" s="2"/>
      <c r="Z29" s="2">
        <f t="shared" si="4"/>
        <v>72250.829659999989</v>
      </c>
      <c r="AA29" s="2">
        <f t="shared" ref="AA29:AA43" si="14">Z29-Z28</f>
        <v>-14596.870340000009</v>
      </c>
      <c r="AB29" s="6">
        <f t="shared" ref="AB29:AB43" si="15">(AA29/Z28)</f>
        <v>-0.16807434554973832</v>
      </c>
      <c r="AC29" s="7">
        <f t="shared" ref="AC29:AC45" si="16">AB29+1</f>
        <v>0.83192565445026168</v>
      </c>
      <c r="AD29" s="2">
        <f t="shared" ref="AD29:AD45" si="17">Z29-(I29-O29)</f>
        <v>0</v>
      </c>
      <c r="AE29" s="2"/>
      <c r="AG29">
        <f t="shared" ref="AG29:AG45" si="18">A29</f>
        <v>2001</v>
      </c>
      <c r="AH29" s="6">
        <f t="shared" ref="AH29:AN45" si="19">S29/$Z29</f>
        <v>1</v>
      </c>
      <c r="AI29" s="6"/>
      <c r="AJ29" s="6"/>
      <c r="AK29" s="6"/>
      <c r="AL29" s="6"/>
      <c r="AM29" s="6"/>
      <c r="AN29" s="6"/>
      <c r="AO29" s="6">
        <f t="shared" ref="AO29:AO45" si="20">SUM(AH29:AN29)</f>
        <v>1</v>
      </c>
      <c r="AP29" s="7">
        <f t="shared" ref="AP29:AP45" si="21">SUM(AH29:AM29)</f>
        <v>1</v>
      </c>
      <c r="AQ29" s="7">
        <f t="shared" ref="AQ29:AQ45" si="22">AO29-(AP29+AN29)</f>
        <v>0</v>
      </c>
    </row>
    <row r="30" spans="1:43" x14ac:dyDescent="0.25">
      <c r="A30">
        <f t="shared" si="3"/>
        <v>2002</v>
      </c>
      <c r="B30" s="2">
        <f t="shared" si="5"/>
        <v>56247.270890309992</v>
      </c>
      <c r="C30" s="2"/>
      <c r="D30" s="2"/>
      <c r="E30" s="2"/>
      <c r="F30" s="2"/>
      <c r="G30" s="2"/>
      <c r="H30" s="2"/>
      <c r="I30" s="2">
        <f t="shared" ref="I30:I36" si="23">SUM(B30:H30)</f>
        <v>56247.270890309992</v>
      </c>
      <c r="J30" s="2">
        <f t="shared" si="7"/>
        <v>-20161.335569690003</v>
      </c>
      <c r="K30" s="6">
        <f t="shared" si="8"/>
        <v>-0.26386210276252703</v>
      </c>
      <c r="L30" s="7">
        <f t="shared" si="9"/>
        <v>0.73613789723747303</v>
      </c>
      <c r="N30">
        <f t="shared" si="10"/>
        <v>2002</v>
      </c>
      <c r="O30" s="2">
        <f t="shared" si="11"/>
        <v>4261.7212199999994</v>
      </c>
      <c r="P30" s="2"/>
      <c r="Q30" s="2"/>
      <c r="R30">
        <f t="shared" si="12"/>
        <v>2002</v>
      </c>
      <c r="S30" s="2">
        <f t="shared" si="13"/>
        <v>51985.549670309993</v>
      </c>
      <c r="T30" s="2"/>
      <c r="U30" s="2"/>
      <c r="V30" s="2"/>
      <c r="W30" s="2"/>
      <c r="X30" s="2"/>
      <c r="Y30" s="2"/>
      <c r="Z30" s="2">
        <f t="shared" si="4"/>
        <v>51985.549670309993</v>
      </c>
      <c r="AA30" s="2">
        <f t="shared" si="14"/>
        <v>-20265.279989689996</v>
      </c>
      <c r="AB30" s="6">
        <f t="shared" si="15"/>
        <v>-0.28048508349391871</v>
      </c>
      <c r="AC30" s="7">
        <f t="shared" si="16"/>
        <v>0.71951491650608124</v>
      </c>
      <c r="AD30" s="2">
        <f t="shared" si="17"/>
        <v>0</v>
      </c>
      <c r="AE30" s="2"/>
      <c r="AG30">
        <f t="shared" si="18"/>
        <v>2002</v>
      </c>
      <c r="AH30" s="6">
        <f t="shared" si="19"/>
        <v>1</v>
      </c>
      <c r="AI30" s="6"/>
      <c r="AJ30" s="6"/>
      <c r="AK30" s="6"/>
      <c r="AL30" s="6"/>
      <c r="AM30" s="6"/>
      <c r="AN30" s="6"/>
      <c r="AO30" s="6">
        <f t="shared" si="20"/>
        <v>1</v>
      </c>
      <c r="AP30" s="7">
        <f t="shared" si="21"/>
        <v>1</v>
      </c>
      <c r="AQ30" s="7">
        <f t="shared" si="22"/>
        <v>0</v>
      </c>
    </row>
    <row r="31" spans="1:43" x14ac:dyDescent="0.25">
      <c r="A31">
        <f t="shared" si="3"/>
        <v>2003</v>
      </c>
      <c r="B31" s="2">
        <f t="shared" si="5"/>
        <v>66801.431326348335</v>
      </c>
      <c r="C31" s="2"/>
      <c r="D31" s="2"/>
      <c r="E31" s="2"/>
      <c r="F31" s="2"/>
      <c r="G31" s="2"/>
      <c r="H31" s="2"/>
      <c r="I31" s="2">
        <f t="shared" si="23"/>
        <v>66801.431326348335</v>
      </c>
      <c r="J31" s="2">
        <f t="shared" si="7"/>
        <v>10554.160436038343</v>
      </c>
      <c r="K31" s="6">
        <f t="shared" si="8"/>
        <v>0.18763862262082767</v>
      </c>
      <c r="L31" s="7">
        <f t="shared" si="9"/>
        <v>1.1876386226208278</v>
      </c>
      <c r="N31">
        <f t="shared" si="10"/>
        <v>2003</v>
      </c>
      <c r="O31" s="2">
        <f t="shared" si="11"/>
        <v>4346.9556443999991</v>
      </c>
      <c r="P31" s="2"/>
      <c r="Q31" s="2"/>
      <c r="R31">
        <f t="shared" si="12"/>
        <v>2003</v>
      </c>
      <c r="S31" s="2">
        <f t="shared" si="13"/>
        <v>62454.475681948337</v>
      </c>
      <c r="T31" s="2"/>
      <c r="U31" s="2"/>
      <c r="V31" s="2"/>
      <c r="W31" s="2"/>
      <c r="X31" s="2"/>
      <c r="Y31" s="2"/>
      <c r="Z31" s="2">
        <f t="shared" si="4"/>
        <v>62454.475681948337</v>
      </c>
      <c r="AA31" s="2">
        <f t="shared" si="14"/>
        <v>10468.926011638345</v>
      </c>
      <c r="AB31" s="6">
        <f t="shared" si="15"/>
        <v>0.20138146231081139</v>
      </c>
      <c r="AC31" s="7">
        <f t="shared" si="16"/>
        <v>1.2013814623108114</v>
      </c>
      <c r="AD31" s="2">
        <f t="shared" si="17"/>
        <v>0</v>
      </c>
      <c r="AE31" s="2"/>
      <c r="AG31">
        <f t="shared" si="18"/>
        <v>2003</v>
      </c>
      <c r="AH31" s="6">
        <f t="shared" si="19"/>
        <v>1</v>
      </c>
      <c r="AI31" s="6"/>
      <c r="AJ31" s="6"/>
      <c r="AK31" s="6"/>
      <c r="AL31" s="6"/>
      <c r="AM31" s="6"/>
      <c r="AN31" s="6"/>
      <c r="AO31" s="6">
        <f t="shared" si="20"/>
        <v>1</v>
      </c>
      <c r="AP31" s="7">
        <f t="shared" si="21"/>
        <v>1</v>
      </c>
      <c r="AQ31" s="7">
        <f t="shared" si="22"/>
        <v>0</v>
      </c>
    </row>
    <row r="32" spans="1:43" x14ac:dyDescent="0.25">
      <c r="A32">
        <f t="shared" si="3"/>
        <v>2004</v>
      </c>
      <c r="B32" s="2">
        <f t="shared" si="5"/>
        <v>69162.086370189587</v>
      </c>
      <c r="C32" s="2"/>
      <c r="D32" s="2"/>
      <c r="E32" s="2"/>
      <c r="F32" s="2"/>
      <c r="G32" s="2"/>
      <c r="H32" s="2"/>
      <c r="I32" s="2">
        <f t="shared" si="23"/>
        <v>69162.086370189587</v>
      </c>
      <c r="J32" s="2">
        <f t="shared" si="7"/>
        <v>2360.6550438412523</v>
      </c>
      <c r="K32" s="6">
        <f t="shared" si="8"/>
        <v>3.5338390165752999E-2</v>
      </c>
      <c r="L32" s="7">
        <f t="shared" si="9"/>
        <v>1.0353383901657529</v>
      </c>
      <c r="N32">
        <f t="shared" si="10"/>
        <v>2004</v>
      </c>
      <c r="O32" s="2">
        <f t="shared" si="11"/>
        <v>4490.4051806651987</v>
      </c>
      <c r="P32" s="2"/>
      <c r="Q32" s="2"/>
      <c r="R32">
        <f t="shared" si="12"/>
        <v>2004</v>
      </c>
      <c r="S32" s="2">
        <f t="shared" si="13"/>
        <v>64671.681189524388</v>
      </c>
      <c r="T32" s="2"/>
      <c r="U32" s="2"/>
      <c r="V32" s="2"/>
      <c r="W32" s="2"/>
      <c r="X32" s="2"/>
      <c r="Y32" s="2"/>
      <c r="Z32" s="2">
        <f t="shared" si="4"/>
        <v>64671.681189524388</v>
      </c>
      <c r="AA32" s="2">
        <f t="shared" si="14"/>
        <v>2217.2055075760509</v>
      </c>
      <c r="AB32" s="6">
        <f t="shared" si="15"/>
        <v>3.5501146769164306E-2</v>
      </c>
      <c r="AC32" s="7">
        <f t="shared" si="16"/>
        <v>1.0355011467691644</v>
      </c>
      <c r="AD32" s="2">
        <f t="shared" si="17"/>
        <v>0</v>
      </c>
      <c r="AE32" s="2"/>
      <c r="AG32">
        <f t="shared" si="18"/>
        <v>2004</v>
      </c>
      <c r="AH32" s="6">
        <f t="shared" si="19"/>
        <v>1</v>
      </c>
      <c r="AI32" s="6"/>
      <c r="AJ32" s="6"/>
      <c r="AK32" s="6"/>
      <c r="AL32" s="6"/>
      <c r="AM32" s="6"/>
      <c r="AN32" s="6"/>
      <c r="AO32" s="6">
        <f t="shared" si="20"/>
        <v>1</v>
      </c>
      <c r="AP32" s="7">
        <f t="shared" si="21"/>
        <v>1</v>
      </c>
      <c r="AQ32" s="7">
        <f t="shared" si="22"/>
        <v>0</v>
      </c>
    </row>
    <row r="33" spans="1:43" x14ac:dyDescent="0.25">
      <c r="A33">
        <f t="shared" si="3"/>
        <v>2005</v>
      </c>
      <c r="B33" s="2">
        <f t="shared" si="5"/>
        <v>67756.520382264702</v>
      </c>
      <c r="C33" s="2"/>
      <c r="D33" s="2"/>
      <c r="E33" s="2"/>
      <c r="F33" s="2"/>
      <c r="G33" s="2"/>
      <c r="H33" s="2"/>
      <c r="I33" s="2">
        <f t="shared" si="23"/>
        <v>67756.520382264702</v>
      </c>
      <c r="J33" s="2">
        <f t="shared" si="7"/>
        <v>-1405.5659879248851</v>
      </c>
      <c r="K33" s="6">
        <f t="shared" si="8"/>
        <v>-2.0322781768057182E-2</v>
      </c>
      <c r="L33" s="7">
        <f t="shared" si="9"/>
        <v>0.97967721823194287</v>
      </c>
      <c r="N33">
        <f t="shared" si="10"/>
        <v>2005</v>
      </c>
      <c r="O33" s="2">
        <f t="shared" si="11"/>
        <v>4638.5885516271501</v>
      </c>
      <c r="P33" s="2"/>
      <c r="Q33" s="2"/>
      <c r="R33">
        <f t="shared" si="12"/>
        <v>2005</v>
      </c>
      <c r="S33" s="2">
        <f t="shared" si="13"/>
        <v>63117.93183063755</v>
      </c>
      <c r="T33" s="2"/>
      <c r="U33" s="2"/>
      <c r="V33" s="2"/>
      <c r="W33" s="2"/>
      <c r="X33" s="2"/>
      <c r="Y33" s="2"/>
      <c r="Z33" s="2">
        <f t="shared" si="4"/>
        <v>63117.93183063755</v>
      </c>
      <c r="AA33" s="2">
        <f t="shared" si="14"/>
        <v>-1553.7493588868383</v>
      </c>
      <c r="AB33" s="6">
        <f t="shared" si="15"/>
        <v>-2.4025188928264895E-2</v>
      </c>
      <c r="AC33" s="7">
        <f t="shared" si="16"/>
        <v>0.97597481107173512</v>
      </c>
      <c r="AD33" s="2">
        <f t="shared" si="17"/>
        <v>0</v>
      </c>
      <c r="AE33" s="2"/>
      <c r="AG33">
        <f t="shared" si="18"/>
        <v>2005</v>
      </c>
      <c r="AH33" s="6">
        <f t="shared" si="19"/>
        <v>1</v>
      </c>
      <c r="AI33" s="6"/>
      <c r="AJ33" s="6"/>
      <c r="AK33" s="6"/>
      <c r="AL33" s="6"/>
      <c r="AM33" s="6"/>
      <c r="AN33" s="6"/>
      <c r="AO33" s="6">
        <f t="shared" si="20"/>
        <v>1</v>
      </c>
      <c r="AP33" s="7">
        <f t="shared" si="21"/>
        <v>1</v>
      </c>
      <c r="AQ33" s="7">
        <f t="shared" si="22"/>
        <v>0</v>
      </c>
    </row>
    <row r="34" spans="1:43" x14ac:dyDescent="0.25">
      <c r="A34">
        <f t="shared" si="3"/>
        <v>2006</v>
      </c>
      <c r="B34" s="2">
        <f t="shared" si="5"/>
        <v>72989.576368949274</v>
      </c>
      <c r="C34" s="2"/>
      <c r="D34" s="2"/>
      <c r="E34" s="2"/>
      <c r="F34" s="2"/>
      <c r="G34" s="2"/>
      <c r="H34" s="2"/>
      <c r="I34" s="2">
        <f t="shared" si="23"/>
        <v>72989.576368949274</v>
      </c>
      <c r="J34" s="2">
        <f t="shared" si="7"/>
        <v>5233.0559866845724</v>
      </c>
      <c r="K34" s="6">
        <f t="shared" si="8"/>
        <v>7.7233245703306905E-2</v>
      </c>
      <c r="L34" s="7">
        <f t="shared" si="9"/>
        <v>1.0772332457033069</v>
      </c>
      <c r="N34">
        <f t="shared" si="10"/>
        <v>2006</v>
      </c>
      <c r="O34" s="2">
        <f t="shared" si="11"/>
        <v>4754.5532654178287</v>
      </c>
      <c r="P34" s="2"/>
      <c r="Q34" s="2"/>
      <c r="R34">
        <f t="shared" si="12"/>
        <v>2006</v>
      </c>
      <c r="S34" s="2">
        <f t="shared" si="13"/>
        <v>68235.02310353145</v>
      </c>
      <c r="T34" s="2"/>
      <c r="U34" s="2"/>
      <c r="V34" s="2"/>
      <c r="W34" s="2"/>
      <c r="X34" s="2"/>
      <c r="Y34" s="2"/>
      <c r="Z34" s="2">
        <f t="shared" si="4"/>
        <v>68235.02310353145</v>
      </c>
      <c r="AA34" s="2">
        <f t="shared" si="14"/>
        <v>5117.0912728939002</v>
      </c>
      <c r="AB34" s="6">
        <f t="shared" si="15"/>
        <v>8.1071909748634305E-2</v>
      </c>
      <c r="AC34" s="7">
        <f t="shared" si="16"/>
        <v>1.0810719097486343</v>
      </c>
      <c r="AD34" s="2">
        <f t="shared" si="17"/>
        <v>0</v>
      </c>
      <c r="AE34" s="2"/>
      <c r="AG34">
        <f t="shared" si="18"/>
        <v>2006</v>
      </c>
      <c r="AH34" s="6">
        <f t="shared" si="19"/>
        <v>1</v>
      </c>
      <c r="AI34" s="6"/>
      <c r="AJ34" s="6"/>
      <c r="AK34" s="6"/>
      <c r="AL34" s="6"/>
      <c r="AM34" s="6"/>
      <c r="AN34" s="6"/>
      <c r="AO34" s="6">
        <f t="shared" si="20"/>
        <v>1</v>
      </c>
      <c r="AP34" s="7">
        <f t="shared" si="21"/>
        <v>1</v>
      </c>
      <c r="AQ34" s="7">
        <f t="shared" si="22"/>
        <v>0</v>
      </c>
    </row>
    <row r="35" spans="1:43" x14ac:dyDescent="0.25">
      <c r="A35">
        <f t="shared" si="3"/>
        <v>2007</v>
      </c>
      <c r="B35" s="2">
        <f t="shared" si="5"/>
        <v>71912.890848811803</v>
      </c>
      <c r="C35" s="2"/>
      <c r="D35" s="2"/>
      <c r="E35" s="2"/>
      <c r="F35" s="2"/>
      <c r="G35" s="2"/>
      <c r="H35" s="2"/>
      <c r="I35" s="2">
        <f t="shared" si="23"/>
        <v>71912.890848811803</v>
      </c>
      <c r="J35" s="2">
        <f t="shared" si="7"/>
        <v>-1076.685520137471</v>
      </c>
      <c r="K35" s="6">
        <f t="shared" si="8"/>
        <v>-1.4751223033478342E-2</v>
      </c>
      <c r="L35" s="7">
        <f t="shared" si="9"/>
        <v>0.98524877696652169</v>
      </c>
      <c r="N35">
        <f t="shared" si="10"/>
        <v>2007</v>
      </c>
      <c r="O35" s="2">
        <f t="shared" si="11"/>
        <v>4949.4899492999593</v>
      </c>
      <c r="P35" s="2"/>
      <c r="Q35" s="2"/>
      <c r="R35">
        <f t="shared" si="12"/>
        <v>2007</v>
      </c>
      <c r="S35" s="2">
        <f t="shared" si="13"/>
        <v>66963.400899511849</v>
      </c>
      <c r="T35" s="2"/>
      <c r="U35" s="2"/>
      <c r="V35" s="2"/>
      <c r="W35" s="2"/>
      <c r="X35" s="2"/>
      <c r="Y35" s="2"/>
      <c r="Z35" s="2">
        <f t="shared" si="4"/>
        <v>66963.400899511849</v>
      </c>
      <c r="AA35" s="2">
        <f t="shared" si="14"/>
        <v>-1271.6222040196008</v>
      </c>
      <c r="AB35" s="6">
        <f t="shared" si="15"/>
        <v>-1.863591666247694E-2</v>
      </c>
      <c r="AC35" s="7">
        <f t="shared" si="16"/>
        <v>0.98136408333752301</v>
      </c>
      <c r="AD35" s="2">
        <f t="shared" si="17"/>
        <v>0</v>
      </c>
      <c r="AE35" s="2"/>
      <c r="AG35">
        <f t="shared" si="18"/>
        <v>2007</v>
      </c>
      <c r="AH35" s="6">
        <f t="shared" si="19"/>
        <v>1</v>
      </c>
      <c r="AI35" s="6"/>
      <c r="AJ35" s="6"/>
      <c r="AK35" s="6"/>
      <c r="AL35" s="6"/>
      <c r="AM35" s="6"/>
      <c r="AN35" s="6"/>
      <c r="AO35" s="6">
        <f t="shared" si="20"/>
        <v>1</v>
      </c>
      <c r="AP35" s="7">
        <f t="shared" si="21"/>
        <v>1</v>
      </c>
      <c r="AQ35" s="7">
        <f t="shared" si="22"/>
        <v>0</v>
      </c>
    </row>
    <row r="36" spans="1:43" x14ac:dyDescent="0.25">
      <c r="A36">
        <f t="shared" si="3"/>
        <v>2008</v>
      </c>
      <c r="B36" s="2">
        <f t="shared" si="5"/>
        <v>42173.549886512556</v>
      </c>
      <c r="C36" s="2"/>
      <c r="D36" s="2"/>
      <c r="E36" s="2"/>
      <c r="F36" s="2"/>
      <c r="G36" s="2"/>
      <c r="H36" s="2"/>
      <c r="I36" s="2">
        <f t="shared" si="23"/>
        <v>42173.549886512556</v>
      </c>
      <c r="J36" s="2">
        <f t="shared" si="7"/>
        <v>-29739.340962299248</v>
      </c>
      <c r="K36" s="6">
        <f t="shared" si="8"/>
        <v>-0.41354673148688503</v>
      </c>
      <c r="L36" s="7">
        <f t="shared" si="9"/>
        <v>0.58645326851311497</v>
      </c>
      <c r="N36">
        <f t="shared" si="10"/>
        <v>2008</v>
      </c>
      <c r="O36" s="2">
        <f t="shared" si="11"/>
        <v>4949.4899492999593</v>
      </c>
      <c r="P36" s="2"/>
      <c r="Q36" s="2"/>
      <c r="R36">
        <f t="shared" si="12"/>
        <v>2008</v>
      </c>
      <c r="S36" s="2">
        <f t="shared" si="13"/>
        <v>37224.059937212594</v>
      </c>
      <c r="T36" s="2"/>
      <c r="U36" s="2"/>
      <c r="V36" s="2"/>
      <c r="W36" s="2"/>
      <c r="X36" s="2"/>
      <c r="Y36" s="2"/>
      <c r="Z36" s="2">
        <f t="shared" si="4"/>
        <v>37224.059937212594</v>
      </c>
      <c r="AA36" s="2">
        <f t="shared" si="14"/>
        <v>-29739.340962299255</v>
      </c>
      <c r="AB36" s="6">
        <f t="shared" si="15"/>
        <v>-0.44411335987739609</v>
      </c>
      <c r="AC36" s="7">
        <f t="shared" si="16"/>
        <v>0.55588664012260391</v>
      </c>
      <c r="AD36" s="2">
        <f t="shared" si="17"/>
        <v>0</v>
      </c>
      <c r="AE36" s="2"/>
      <c r="AG36">
        <f t="shared" si="18"/>
        <v>2008</v>
      </c>
      <c r="AH36" s="6">
        <f t="shared" si="19"/>
        <v>1</v>
      </c>
      <c r="AI36" s="6"/>
      <c r="AJ36" s="6"/>
      <c r="AK36" s="6"/>
      <c r="AL36" s="6"/>
      <c r="AM36" s="6"/>
      <c r="AN36" s="6"/>
      <c r="AO36" s="6">
        <f t="shared" si="20"/>
        <v>1</v>
      </c>
      <c r="AP36" s="7">
        <f t="shared" si="21"/>
        <v>1</v>
      </c>
      <c r="AQ36" s="7">
        <f t="shared" si="22"/>
        <v>0</v>
      </c>
    </row>
    <row r="37" spans="1:43" x14ac:dyDescent="0.25">
      <c r="A37">
        <f t="shared" si="3"/>
        <v>2009</v>
      </c>
      <c r="B37" s="2">
        <f t="shared" si="5"/>
        <v>47084.713414580205</v>
      </c>
      <c r="C37" s="2"/>
      <c r="D37" s="2"/>
      <c r="E37" s="2"/>
      <c r="F37" s="2"/>
      <c r="G37" s="2"/>
      <c r="H37" s="2"/>
      <c r="I37" s="2">
        <f t="shared" si="6"/>
        <v>47084.713414580205</v>
      </c>
      <c r="J37" s="2">
        <f t="shared" si="7"/>
        <v>4911.1635280676492</v>
      </c>
      <c r="K37" s="6">
        <f t="shared" si="8"/>
        <v>0.1164512719769478</v>
      </c>
      <c r="L37" s="7">
        <f t="shared" si="9"/>
        <v>1.1164512719769477</v>
      </c>
      <c r="N37">
        <f t="shared" si="10"/>
        <v>2009</v>
      </c>
      <c r="O37" s="2">
        <f t="shared" si="11"/>
        <v>5088.0756678803582</v>
      </c>
      <c r="P37" s="2"/>
      <c r="Q37" s="2"/>
      <c r="R37">
        <f t="shared" si="12"/>
        <v>2009</v>
      </c>
      <c r="S37" s="2">
        <f t="shared" si="13"/>
        <v>41996.637746699846</v>
      </c>
      <c r="T37" s="2"/>
      <c r="U37" s="2"/>
      <c r="V37" s="2"/>
      <c r="W37" s="2"/>
      <c r="X37" s="2"/>
      <c r="Y37" s="2"/>
      <c r="Z37" s="2">
        <f t="shared" si="4"/>
        <v>41996.637746699846</v>
      </c>
      <c r="AA37" s="2">
        <f t="shared" si="14"/>
        <v>4772.5778094872512</v>
      </c>
      <c r="AB37" s="6">
        <f t="shared" si="15"/>
        <v>0.12821217829375306</v>
      </c>
      <c r="AC37" s="7">
        <f t="shared" si="16"/>
        <v>1.1282121782937531</v>
      </c>
      <c r="AD37" s="2">
        <f t="shared" si="17"/>
        <v>0</v>
      </c>
      <c r="AE37" s="2"/>
      <c r="AG37">
        <f t="shared" si="18"/>
        <v>2009</v>
      </c>
      <c r="AH37" s="6">
        <f t="shared" si="19"/>
        <v>1</v>
      </c>
      <c r="AI37" s="6"/>
      <c r="AJ37" s="6"/>
      <c r="AK37" s="6"/>
      <c r="AL37" s="6"/>
      <c r="AM37" s="6"/>
      <c r="AN37" s="6"/>
      <c r="AO37" s="6">
        <f t="shared" si="20"/>
        <v>1</v>
      </c>
      <c r="AP37" s="7">
        <f t="shared" si="21"/>
        <v>1</v>
      </c>
      <c r="AQ37" s="7">
        <f t="shared" si="22"/>
        <v>0</v>
      </c>
    </row>
    <row r="38" spans="1:43" x14ac:dyDescent="0.25">
      <c r="A38">
        <f t="shared" si="3"/>
        <v>2010</v>
      </c>
      <c r="B38" s="2">
        <f t="shared" si="5"/>
        <v>48258.336434732795</v>
      </c>
      <c r="C38" s="2"/>
      <c r="D38" s="2"/>
      <c r="E38" s="2"/>
      <c r="F38" s="2"/>
      <c r="G38" s="2"/>
      <c r="H38" s="2"/>
      <c r="I38" s="2">
        <f t="shared" si="6"/>
        <v>48258.336434732795</v>
      </c>
      <c r="J38" s="2">
        <f t="shared" si="7"/>
        <v>1173.6230201525905</v>
      </c>
      <c r="K38" s="6">
        <f t="shared" si="8"/>
        <v>2.492577601182059E-2</v>
      </c>
      <c r="L38" s="7">
        <f t="shared" si="9"/>
        <v>1.0249257760118207</v>
      </c>
      <c r="N38">
        <f t="shared" si="10"/>
        <v>2010</v>
      </c>
      <c r="O38" s="2">
        <f t="shared" si="11"/>
        <v>5159.308727230683</v>
      </c>
      <c r="P38" s="2"/>
      <c r="Q38" s="2"/>
      <c r="R38">
        <f t="shared" si="12"/>
        <v>2010</v>
      </c>
      <c r="S38" s="2">
        <f t="shared" si="13"/>
        <v>43099.027707502115</v>
      </c>
      <c r="T38" s="2"/>
      <c r="U38" s="2"/>
      <c r="V38" s="2"/>
      <c r="W38" s="2"/>
      <c r="X38" s="2"/>
      <c r="Y38" s="2"/>
      <c r="Z38" s="2">
        <f t="shared" si="4"/>
        <v>43099.027707502115</v>
      </c>
      <c r="AA38" s="2">
        <f t="shared" si="14"/>
        <v>1102.3899608022693</v>
      </c>
      <c r="AB38" s="6">
        <f t="shared" si="15"/>
        <v>2.6249481385897295E-2</v>
      </c>
      <c r="AC38" s="7">
        <f t="shared" si="16"/>
        <v>1.0262494813858973</v>
      </c>
      <c r="AD38" s="2">
        <f t="shared" si="17"/>
        <v>0</v>
      </c>
      <c r="AE38" s="2"/>
      <c r="AG38">
        <f t="shared" si="18"/>
        <v>2010</v>
      </c>
      <c r="AH38" s="6">
        <f t="shared" si="19"/>
        <v>1</v>
      </c>
      <c r="AI38" s="6"/>
      <c r="AJ38" s="6"/>
      <c r="AK38" s="6"/>
      <c r="AL38" s="7"/>
      <c r="AM38" s="6"/>
      <c r="AN38" s="6"/>
      <c r="AO38" s="6">
        <f t="shared" si="20"/>
        <v>1</v>
      </c>
      <c r="AP38" s="7">
        <f t="shared" si="21"/>
        <v>1</v>
      </c>
      <c r="AQ38" s="7">
        <f t="shared" si="22"/>
        <v>0</v>
      </c>
    </row>
    <row r="39" spans="1:43" x14ac:dyDescent="0.25">
      <c r="A39">
        <f t="shared" si="3"/>
        <v>2011</v>
      </c>
      <c r="B39" s="2">
        <f t="shared" si="5"/>
        <v>43948.07855333991</v>
      </c>
      <c r="C39" s="2"/>
      <c r="D39" s="2"/>
      <c r="E39" s="2"/>
      <c r="F39" s="2"/>
      <c r="G39" s="2"/>
      <c r="H39" s="2"/>
      <c r="I39" s="2">
        <f t="shared" si="6"/>
        <v>43948.07855333991</v>
      </c>
      <c r="J39" s="2">
        <f t="shared" si="7"/>
        <v>-4310.2578813928849</v>
      </c>
      <c r="K39" s="6">
        <f t="shared" si="8"/>
        <v>-8.93163378564098E-2</v>
      </c>
      <c r="L39" s="7">
        <f t="shared" si="9"/>
        <v>0.9106836621435902</v>
      </c>
      <c r="N39">
        <f t="shared" si="10"/>
        <v>2011</v>
      </c>
      <c r="O39" s="2">
        <f t="shared" si="11"/>
        <v>5314.0879890476035</v>
      </c>
      <c r="P39" s="2"/>
      <c r="Q39" s="2"/>
      <c r="R39">
        <f t="shared" si="12"/>
        <v>2011</v>
      </c>
      <c r="S39" s="2">
        <f t="shared" si="13"/>
        <v>38633.990564292304</v>
      </c>
      <c r="T39" s="2"/>
      <c r="U39" s="2"/>
      <c r="V39" s="2"/>
      <c r="W39" s="2"/>
      <c r="X39" s="2"/>
      <c r="Y39" s="2"/>
      <c r="Z39" s="2">
        <f t="shared" si="4"/>
        <v>38633.990564292304</v>
      </c>
      <c r="AA39" s="2">
        <f t="shared" si="14"/>
        <v>-4465.0371432098109</v>
      </c>
      <c r="AB39" s="6">
        <f t="shared" si="15"/>
        <v>-0.10359948659427869</v>
      </c>
      <c r="AC39" s="7">
        <f t="shared" si="16"/>
        <v>0.89640051340572136</v>
      </c>
      <c r="AD39" s="2">
        <f t="shared" si="17"/>
        <v>0</v>
      </c>
      <c r="AE39" s="2"/>
      <c r="AG39">
        <f t="shared" si="18"/>
        <v>2011</v>
      </c>
      <c r="AH39" s="6">
        <f t="shared" si="19"/>
        <v>1</v>
      </c>
      <c r="AI39" s="7"/>
      <c r="AJ39" s="6"/>
      <c r="AK39" s="6"/>
      <c r="AL39" s="7"/>
      <c r="AM39" s="6"/>
      <c r="AN39" s="6"/>
      <c r="AO39" s="6">
        <f t="shared" si="20"/>
        <v>1</v>
      </c>
      <c r="AP39" s="7">
        <f t="shared" si="21"/>
        <v>1</v>
      </c>
      <c r="AQ39" s="7">
        <f t="shared" si="22"/>
        <v>0</v>
      </c>
    </row>
    <row r="40" spans="1:43" x14ac:dyDescent="0.25">
      <c r="A40">
        <f t="shared" si="3"/>
        <v>2012</v>
      </c>
      <c r="B40" s="2">
        <f t="shared" si="5"/>
        <v>44745.88787156334</v>
      </c>
      <c r="C40" s="2"/>
      <c r="D40" s="2"/>
      <c r="E40" s="2"/>
      <c r="F40" s="2"/>
      <c r="G40" s="2"/>
      <c r="H40" s="2"/>
      <c r="I40" s="2">
        <f t="shared" si="6"/>
        <v>44745.88787156334</v>
      </c>
      <c r="J40" s="2">
        <f t="shared" si="7"/>
        <v>797.80931822342973</v>
      </c>
      <c r="K40" s="6">
        <f t="shared" si="8"/>
        <v>1.8153451629406875E-2</v>
      </c>
      <c r="L40" s="7">
        <f t="shared" si="9"/>
        <v>1.0181534516294068</v>
      </c>
      <c r="N40">
        <f t="shared" si="10"/>
        <v>2012</v>
      </c>
      <c r="O40" s="2">
        <f t="shared" si="11"/>
        <v>5409.7415728504602</v>
      </c>
      <c r="P40" s="2"/>
      <c r="Q40" s="2"/>
      <c r="R40">
        <f t="shared" si="12"/>
        <v>2012</v>
      </c>
      <c r="S40" s="2">
        <f t="shared" si="13"/>
        <v>39336.146298712876</v>
      </c>
      <c r="T40" s="2"/>
      <c r="U40" s="2"/>
      <c r="V40" s="2"/>
      <c r="W40" s="2"/>
      <c r="X40" s="2"/>
      <c r="Y40" s="2"/>
      <c r="Z40" s="2">
        <f t="shared" si="4"/>
        <v>39336.146298712876</v>
      </c>
      <c r="AA40" s="2">
        <f t="shared" si="14"/>
        <v>702.15573442057212</v>
      </c>
      <c r="AB40" s="6">
        <f t="shared" si="15"/>
        <v>1.8174558831868217E-2</v>
      </c>
      <c r="AC40" s="7">
        <f t="shared" si="16"/>
        <v>1.0181745588318682</v>
      </c>
      <c r="AD40" s="2">
        <f t="shared" si="17"/>
        <v>0</v>
      </c>
      <c r="AE40" s="2"/>
      <c r="AG40">
        <f t="shared" si="18"/>
        <v>2012</v>
      </c>
      <c r="AH40" s="6">
        <f t="shared" si="19"/>
        <v>1</v>
      </c>
      <c r="AI40" s="7"/>
      <c r="AJ40" s="6"/>
      <c r="AK40" s="6"/>
      <c r="AL40" s="7"/>
      <c r="AM40" s="6"/>
      <c r="AN40" s="6"/>
      <c r="AO40" s="6">
        <f t="shared" si="20"/>
        <v>1</v>
      </c>
      <c r="AP40" s="7">
        <f t="shared" si="21"/>
        <v>1</v>
      </c>
      <c r="AQ40" s="7">
        <f t="shared" si="22"/>
        <v>0</v>
      </c>
    </row>
    <row r="41" spans="1:43" x14ac:dyDescent="0.25">
      <c r="A41">
        <f t="shared" si="3"/>
        <v>2013</v>
      </c>
      <c r="B41" s="2">
        <f t="shared" si="5"/>
        <v>51994.518177638682</v>
      </c>
      <c r="C41" s="2"/>
      <c r="D41" s="2"/>
      <c r="E41" s="2"/>
      <c r="F41" s="2"/>
      <c r="G41" s="2"/>
      <c r="H41" s="2"/>
      <c r="I41" s="2">
        <f t="shared" si="6"/>
        <v>51994.518177638682</v>
      </c>
      <c r="J41" s="2">
        <f t="shared" si="7"/>
        <v>7248.6303060753417</v>
      </c>
      <c r="K41" s="6">
        <f t="shared" si="8"/>
        <v>0.16199545144531485</v>
      </c>
      <c r="L41" s="7">
        <f t="shared" si="9"/>
        <v>1.1619954514453148</v>
      </c>
      <c r="N41">
        <f t="shared" si="10"/>
        <v>2013</v>
      </c>
      <c r="O41" s="2">
        <f t="shared" si="11"/>
        <v>5472.2560977473113</v>
      </c>
      <c r="P41" s="2"/>
      <c r="Q41" s="2"/>
      <c r="R41">
        <f t="shared" si="12"/>
        <v>2013</v>
      </c>
      <c r="S41" s="2">
        <f t="shared" si="13"/>
        <v>46522.26207989137</v>
      </c>
      <c r="T41" s="2"/>
      <c r="U41" s="2"/>
      <c r="V41" s="2"/>
      <c r="W41" s="2"/>
      <c r="X41" s="2"/>
      <c r="Y41" s="2"/>
      <c r="Z41" s="2">
        <f t="shared" si="4"/>
        <v>46522.26207989137</v>
      </c>
      <c r="AA41" s="2">
        <f t="shared" si="14"/>
        <v>7186.1157811784942</v>
      </c>
      <c r="AB41" s="6">
        <f t="shared" si="15"/>
        <v>0.18268479394519721</v>
      </c>
      <c r="AC41" s="7">
        <f t="shared" si="16"/>
        <v>1.1826847939451972</v>
      </c>
      <c r="AD41" s="2">
        <f t="shared" si="17"/>
        <v>0</v>
      </c>
      <c r="AE41" s="2"/>
      <c r="AG41">
        <f t="shared" si="18"/>
        <v>2013</v>
      </c>
      <c r="AH41" s="6">
        <f t="shared" si="19"/>
        <v>1</v>
      </c>
      <c r="AI41" s="7"/>
      <c r="AJ41" s="6"/>
      <c r="AK41" s="6"/>
      <c r="AL41" s="7"/>
      <c r="AM41" s="6"/>
      <c r="AN41" s="6"/>
      <c r="AO41" s="6">
        <f t="shared" si="20"/>
        <v>1</v>
      </c>
      <c r="AP41" s="7">
        <f t="shared" si="21"/>
        <v>1</v>
      </c>
      <c r="AQ41" s="7">
        <f t="shared" si="22"/>
        <v>0</v>
      </c>
    </row>
    <row r="42" spans="1:43" x14ac:dyDescent="0.25">
      <c r="A42">
        <f t="shared" si="3"/>
        <v>2014</v>
      </c>
      <c r="B42" s="2">
        <f t="shared" si="5"/>
        <v>52807.419686884692</v>
      </c>
      <c r="C42" s="2"/>
      <c r="D42" s="2"/>
      <c r="E42" s="2"/>
      <c r="F42" s="2"/>
      <c r="G42" s="2"/>
      <c r="H42" s="2"/>
      <c r="I42" s="2">
        <f t="shared" si="6"/>
        <v>52807.419686884692</v>
      </c>
      <c r="J42" s="2">
        <f t="shared" si="7"/>
        <v>812.90150924601039</v>
      </c>
      <c r="K42" s="6">
        <f t="shared" si="8"/>
        <v>1.5634369501583641E-2</v>
      </c>
      <c r="L42" s="7">
        <f t="shared" si="9"/>
        <v>1.0156343695015837</v>
      </c>
      <c r="N42">
        <f t="shared" si="10"/>
        <v>2014</v>
      </c>
      <c r="O42" s="2">
        <f t="shared" si="11"/>
        <v>5542.848201408251</v>
      </c>
      <c r="P42" s="2"/>
      <c r="Q42" s="2"/>
      <c r="R42">
        <f t="shared" si="12"/>
        <v>2014</v>
      </c>
      <c r="S42" s="2">
        <f t="shared" si="13"/>
        <v>47264.571485476437</v>
      </c>
      <c r="T42" s="2"/>
      <c r="U42" s="2"/>
      <c r="V42" s="2"/>
      <c r="W42" s="2"/>
      <c r="X42" s="2"/>
      <c r="Y42" s="2"/>
      <c r="Z42" s="2">
        <f t="shared" si="4"/>
        <v>47264.571485476437</v>
      </c>
      <c r="AA42" s="2">
        <f t="shared" si="14"/>
        <v>742.309405585067</v>
      </c>
      <c r="AB42" s="6">
        <f t="shared" si="15"/>
        <v>1.5956004123581093E-2</v>
      </c>
      <c r="AC42" s="7">
        <f t="shared" si="16"/>
        <v>1.0159560041235811</v>
      </c>
      <c r="AD42" s="2">
        <f t="shared" si="17"/>
        <v>0</v>
      </c>
      <c r="AE42" s="2"/>
      <c r="AG42">
        <f t="shared" si="18"/>
        <v>2014</v>
      </c>
      <c r="AH42" s="6">
        <f t="shared" si="19"/>
        <v>1</v>
      </c>
      <c r="AI42" s="7"/>
      <c r="AJ42" s="6"/>
      <c r="AK42" s="6"/>
      <c r="AL42" s="7"/>
      <c r="AM42" s="6"/>
      <c r="AN42" s="6"/>
      <c r="AO42" s="6">
        <f t="shared" si="20"/>
        <v>1</v>
      </c>
      <c r="AP42" s="7">
        <f t="shared" si="21"/>
        <v>1</v>
      </c>
      <c r="AQ42" s="7">
        <f t="shared" si="22"/>
        <v>0</v>
      </c>
    </row>
    <row r="43" spans="1:43" x14ac:dyDescent="0.25">
      <c r="A43">
        <f t="shared" si="3"/>
        <v>2015</v>
      </c>
      <c r="B43" s="2">
        <f t="shared" si="5"/>
        <v>47855.378629044892</v>
      </c>
      <c r="C43" s="2"/>
      <c r="D43" s="2"/>
      <c r="E43" s="2"/>
      <c r="F43" s="2"/>
      <c r="G43" s="2"/>
      <c r="H43" s="2"/>
      <c r="I43" s="2">
        <f t="shared" si="6"/>
        <v>47855.378629044892</v>
      </c>
      <c r="J43" s="2">
        <f t="shared" si="7"/>
        <v>-4952.0410578398005</v>
      </c>
      <c r="K43" s="6">
        <f t="shared" si="8"/>
        <v>-9.3775478658157094E-2</v>
      </c>
      <c r="L43" s="7">
        <f t="shared" si="9"/>
        <v>0.90622452134184295</v>
      </c>
      <c r="N43">
        <f t="shared" si="10"/>
        <v>2015</v>
      </c>
      <c r="O43" s="2">
        <f t="shared" si="11"/>
        <v>5567.2367334944474</v>
      </c>
      <c r="P43" s="2"/>
      <c r="Q43" s="2"/>
      <c r="R43">
        <f t="shared" si="12"/>
        <v>2015</v>
      </c>
      <c r="S43" s="2">
        <f t="shared" si="13"/>
        <v>42288.141895550441</v>
      </c>
      <c r="T43" s="2"/>
      <c r="U43" s="2"/>
      <c r="V43" s="2"/>
      <c r="W43" s="2"/>
      <c r="X43" s="2"/>
      <c r="Y43" s="2"/>
      <c r="Z43" s="2">
        <f t="shared" si="4"/>
        <v>42288.141895550441</v>
      </c>
      <c r="AA43" s="2">
        <f t="shared" si="14"/>
        <v>-4976.429589925996</v>
      </c>
      <c r="AB43" s="6">
        <f t="shared" si="15"/>
        <v>-0.10528879102300048</v>
      </c>
      <c r="AC43" s="7">
        <f t="shared" si="16"/>
        <v>0.89471120897699952</v>
      </c>
      <c r="AD43" s="2">
        <f t="shared" si="17"/>
        <v>0</v>
      </c>
      <c r="AE43" s="2"/>
      <c r="AG43">
        <f t="shared" si="18"/>
        <v>2015</v>
      </c>
      <c r="AH43" s="6">
        <f t="shared" si="19"/>
        <v>1</v>
      </c>
      <c r="AI43" s="7"/>
      <c r="AJ43" s="6"/>
      <c r="AK43" s="6"/>
      <c r="AL43" s="7"/>
      <c r="AM43" s="6"/>
      <c r="AN43" s="6"/>
      <c r="AO43" s="6">
        <f t="shared" si="20"/>
        <v>1</v>
      </c>
      <c r="AP43" s="7">
        <f t="shared" si="21"/>
        <v>1</v>
      </c>
      <c r="AQ43" s="7">
        <f t="shared" si="22"/>
        <v>0</v>
      </c>
    </row>
    <row r="44" spans="1:43" x14ac:dyDescent="0.25">
      <c r="A44">
        <f t="shared" si="3"/>
        <v>2016</v>
      </c>
      <c r="B44" s="2">
        <f t="shared" si="5"/>
        <v>47286.60026760451</v>
      </c>
      <c r="C44" s="2"/>
      <c r="D44" s="2"/>
      <c r="E44" s="2"/>
      <c r="F44" s="2"/>
      <c r="G44" s="2"/>
      <c r="H44" s="2"/>
      <c r="I44" s="2">
        <f t="shared" si="6"/>
        <v>47286.60026760451</v>
      </c>
      <c r="J44" s="2">
        <f t="shared" si="7"/>
        <v>-568.77836144038156</v>
      </c>
      <c r="K44" s="6">
        <f t="shared" si="8"/>
        <v>-1.188535913275948E-2</v>
      </c>
      <c r="L44" s="7">
        <f t="shared" si="9"/>
        <v>0.98811464086724055</v>
      </c>
      <c r="N44">
        <f t="shared" si="10"/>
        <v>2016</v>
      </c>
      <c r="O44" s="2">
        <f t="shared" si="11"/>
        <v>5661.8797579638522</v>
      </c>
      <c r="P44" s="2"/>
      <c r="Q44" s="2"/>
      <c r="R44">
        <f t="shared" si="12"/>
        <v>2016</v>
      </c>
      <c r="S44" s="2">
        <f t="shared" si="13"/>
        <v>41624.720509640654</v>
      </c>
      <c r="T44" s="2"/>
      <c r="U44" s="2"/>
      <c r="V44" s="2"/>
      <c r="W44" s="2"/>
      <c r="X44" s="2"/>
      <c r="Y44" s="2"/>
      <c r="Z44" s="2">
        <f t="shared" ref="Z44" si="24">SUM(S44:Y44)</f>
        <v>41624.720509640654</v>
      </c>
      <c r="AA44" s="2">
        <f t="shared" ref="AA44" si="25">Z44-Z43</f>
        <v>-663.4213859097872</v>
      </c>
      <c r="AB44" s="6">
        <f t="shared" ref="AB44" si="26">(AA44/Z43)</f>
        <v>-1.5688118611321449E-2</v>
      </c>
      <c r="AC44" s="7">
        <f t="shared" ref="AC44" si="27">AB44+1</f>
        <v>0.98431188138867853</v>
      </c>
      <c r="AD44" s="2">
        <f t="shared" ref="AD44" si="28">Z44-(I44-O44)</f>
        <v>0</v>
      </c>
      <c r="AE44" s="2"/>
      <c r="AG44">
        <f t="shared" ref="AG44:AG45" si="29">A44</f>
        <v>2016</v>
      </c>
      <c r="AH44" s="6">
        <f t="shared" ref="AH44:AH45" si="30">S44/$Z44</f>
        <v>1</v>
      </c>
      <c r="AI44" s="7"/>
      <c r="AJ44" s="6"/>
      <c r="AK44" s="6"/>
      <c r="AL44" s="7"/>
      <c r="AM44" s="6"/>
      <c r="AN44" s="6"/>
      <c r="AO44" s="6">
        <f t="shared" ref="AO44:AO45" si="31">SUM(AH44:AN44)</f>
        <v>1</v>
      </c>
      <c r="AP44" s="7">
        <f t="shared" ref="AP44:AP45" si="32">SUM(AH44:AM44)</f>
        <v>1</v>
      </c>
      <c r="AQ44" s="7">
        <f t="shared" ref="AQ44:AQ45" si="33">AO44-(AP44+AN44)</f>
        <v>0</v>
      </c>
    </row>
    <row r="45" spans="1:43" x14ac:dyDescent="0.25">
      <c r="A45">
        <f t="shared" si="3"/>
        <v>2017</v>
      </c>
      <c r="B45" s="2">
        <f t="shared" si="5"/>
        <v>50644.797444079777</v>
      </c>
      <c r="C45" s="2"/>
      <c r="D45" s="2"/>
      <c r="E45" s="2"/>
      <c r="F45" s="2"/>
      <c r="G45" s="2"/>
      <c r="H45" s="2"/>
      <c r="I45" s="2">
        <f t="shared" si="6"/>
        <v>50644.797444079777</v>
      </c>
      <c r="J45" s="2">
        <f t="shared" si="7"/>
        <v>3358.197176475267</v>
      </c>
      <c r="K45" s="6">
        <f t="shared" si="8"/>
        <v>7.1017944988020804E-2</v>
      </c>
      <c r="L45" s="7">
        <f t="shared" si="9"/>
        <v>1.0710179449880208</v>
      </c>
      <c r="N45">
        <f t="shared" si="10"/>
        <v>2017</v>
      </c>
      <c r="O45" s="2">
        <f t="shared" si="11"/>
        <v>5788.1396765664458</v>
      </c>
      <c r="P45" s="2"/>
      <c r="Q45" s="2"/>
      <c r="R45">
        <f t="shared" si="12"/>
        <v>2017</v>
      </c>
      <c r="S45" s="2">
        <f t="shared" si="13"/>
        <v>44856.65776751333</v>
      </c>
      <c r="T45" s="2"/>
      <c r="U45" s="2"/>
      <c r="V45" s="2"/>
      <c r="W45" s="2"/>
      <c r="X45" s="2"/>
      <c r="Y45" s="2"/>
      <c r="Z45" s="2">
        <f t="shared" ref="Z45" si="34">SUM(S45:Y45)</f>
        <v>44856.65776751333</v>
      </c>
      <c r="AA45" s="2">
        <f t="shared" ref="AA45" si="35">Z45-Z44</f>
        <v>3231.9372578726761</v>
      </c>
      <c r="AB45" s="6">
        <f t="shared" ref="AB45" si="36">(AA45/Z44)</f>
        <v>7.7644659671027239E-2</v>
      </c>
      <c r="AC45" s="7">
        <f t="shared" ref="AC45" si="37">AB45+1</f>
        <v>1.0776446596710272</v>
      </c>
      <c r="AD45" s="2">
        <f t="shared" ref="AD45" si="38">Z45-(I45-O45)</f>
        <v>0</v>
      </c>
      <c r="AE45" s="2"/>
      <c r="AG45">
        <f t="shared" si="29"/>
        <v>2017</v>
      </c>
      <c r="AH45" s="6">
        <f t="shared" si="30"/>
        <v>1</v>
      </c>
      <c r="AI45" s="7"/>
      <c r="AJ45" s="6"/>
      <c r="AK45" s="6"/>
      <c r="AL45" s="7"/>
      <c r="AM45" s="6"/>
      <c r="AN45" s="6"/>
      <c r="AO45" s="6">
        <f t="shared" si="31"/>
        <v>1</v>
      </c>
      <c r="AP45" s="7">
        <f t="shared" si="32"/>
        <v>1</v>
      </c>
      <c r="AQ45" s="7">
        <f t="shared" si="33"/>
        <v>0</v>
      </c>
    </row>
    <row r="46" spans="1:43" x14ac:dyDescent="0.25">
      <c r="A46" s="9" t="s">
        <v>41</v>
      </c>
      <c r="B46" s="10">
        <f>S45</f>
        <v>44856.65776751333</v>
      </c>
      <c r="C46" s="10"/>
      <c r="D46" s="10"/>
      <c r="E46" s="10"/>
      <c r="F46" s="10"/>
      <c r="G46" s="10"/>
      <c r="H46" s="10"/>
      <c r="I46" s="10">
        <f>SUM(B46:H46)</f>
        <v>44856.65776751333</v>
      </c>
      <c r="J46" s="10"/>
      <c r="K46" s="10"/>
      <c r="N46" t="s">
        <v>68</v>
      </c>
      <c r="O46" s="2">
        <f>O45</f>
        <v>5788.1396765664458</v>
      </c>
      <c r="P46" s="2"/>
      <c r="R46" s="67" t="s">
        <v>41</v>
      </c>
      <c r="S46" s="10">
        <f>S45</f>
        <v>44856.65776751333</v>
      </c>
      <c r="T46" s="10"/>
      <c r="U46" s="10"/>
      <c r="V46" s="10"/>
      <c r="W46" s="10"/>
      <c r="X46" s="10"/>
      <c r="Y46" s="10"/>
      <c r="Z46" s="10">
        <f>SUM(S46:Y46)</f>
        <v>44856.65776751333</v>
      </c>
      <c r="AA46" s="40"/>
      <c r="AB46" s="40"/>
      <c r="AC46" s="40"/>
      <c r="AD46" s="40"/>
      <c r="AE46" s="40"/>
      <c r="AH46" s="6"/>
      <c r="AK46" s="7"/>
      <c r="AN46" s="6"/>
    </row>
    <row r="47" spans="1:43" x14ac:dyDescent="0.25">
      <c r="A47" s="11" t="s">
        <v>28</v>
      </c>
      <c r="I47" s="6">
        <f>(Z46-Z27)/Z27</f>
        <v>-0.5514334223248667</v>
      </c>
      <c r="K47" s="6"/>
      <c r="N47" t="s">
        <v>114</v>
      </c>
      <c r="O47" s="2">
        <f>SUM(O28:O45)</f>
        <v>89644.854984899488</v>
      </c>
      <c r="P47" s="2"/>
    </row>
    <row r="48" spans="1:43" x14ac:dyDescent="0.25">
      <c r="A48" s="1" t="s">
        <v>29</v>
      </c>
      <c r="I48" s="12">
        <f>STDEV(AC28:AC45)</f>
        <v>0.15990081285354552</v>
      </c>
    </row>
    <row r="49" spans="1:16" x14ac:dyDescent="0.25">
      <c r="A49" s="1" t="s">
        <v>30</v>
      </c>
      <c r="I49" s="13">
        <f>((1+I47)^(1/I56))-1</f>
        <v>-4.3561497862209975E-2</v>
      </c>
    </row>
    <row r="50" spans="1:16" x14ac:dyDescent="0.25">
      <c r="A50" s="1" t="s">
        <v>45</v>
      </c>
      <c r="I50" s="28">
        <f>J36</f>
        <v>-29739.340962299248</v>
      </c>
      <c r="O50" s="2"/>
      <c r="P50" s="2"/>
    </row>
    <row r="51" spans="1:16" x14ac:dyDescent="0.25">
      <c r="A51" s="1" t="s">
        <v>46</v>
      </c>
      <c r="I51" s="29">
        <f>K36</f>
        <v>-0.41354673148688503</v>
      </c>
    </row>
    <row r="52" spans="1:16" x14ac:dyDescent="0.25">
      <c r="A52" s="1" t="s">
        <v>22</v>
      </c>
      <c r="I52" s="2">
        <f>O47</f>
        <v>89644.854984899488</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56"/>
  <sheetViews>
    <sheetView topLeftCell="A2" workbookViewId="0">
      <pane ySplit="1200" topLeftCell="A25" activePane="bottomLeft"/>
      <selection activeCell="C40" sqref="C40"/>
      <selection pane="bottomLeft" activeCell="C40" sqref="C40"/>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95</v>
      </c>
      <c r="N1" s="64" t="s">
        <v>67</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94</v>
      </c>
      <c r="O3" s="42" t="s">
        <v>69</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2">
        <v>2015</v>
      </c>
      <c r="O19" s="43">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2">
        <v>2016</v>
      </c>
      <c r="O20" s="43">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2">
        <v>2017</v>
      </c>
      <c r="O21" s="43">
        <v>2.23E-2</v>
      </c>
      <c r="P21" s="41"/>
    </row>
    <row r="24" spans="1:43" x14ac:dyDescent="0.25">
      <c r="A24" s="18" t="s">
        <v>11</v>
      </c>
      <c r="N24" s="18" t="s">
        <v>119</v>
      </c>
      <c r="R24" s="18" t="s">
        <v>16</v>
      </c>
      <c r="AG24" s="18" t="s">
        <v>135</v>
      </c>
    </row>
    <row r="25" spans="1:43"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S25" s="4" t="str">
        <f t="shared" ref="S25:Y25"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3" t="s">
        <v>7</v>
      </c>
    </row>
    <row r="26" spans="1:43"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ref="S26" si="3">B26</f>
        <v>VFINX</v>
      </c>
      <c r="T26" s="4" t="str">
        <f t="shared" ref="T26" si="4">C26</f>
        <v>VEXMX</v>
      </c>
      <c r="U26" s="4" t="str">
        <f t="shared" ref="U26:U27" si="5">D26</f>
        <v>VIMSX</v>
      </c>
      <c r="V26" s="4" t="str">
        <f t="shared" ref="V26:V27" si="6">E26</f>
        <v>NAESX</v>
      </c>
      <c r="W26" s="4" t="str">
        <f t="shared" ref="W26" si="7">F26</f>
        <v>VTRIX</v>
      </c>
      <c r="X26" s="4" t="str">
        <f t="shared" ref="X26:X27" si="8">G26</f>
        <v>VGTSX</v>
      </c>
      <c r="Y26" s="4" t="str">
        <f t="shared" ref="Y26:Y27" si="9">H26</f>
        <v>VBMFX</v>
      </c>
      <c r="Z26" s="5" t="str">
        <f t="shared" ref="Z26:Z27" si="10">I26</f>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3" t="s">
        <v>50</v>
      </c>
    </row>
    <row r="27" spans="1:43"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N27" s="19"/>
      <c r="R27" t="str">
        <f>A27</f>
        <v>Stating Balance</v>
      </c>
      <c r="S27" s="2">
        <f>B27</f>
        <v>20000</v>
      </c>
      <c r="T27" s="2"/>
      <c r="U27" s="2">
        <f t="shared" si="5"/>
        <v>20000</v>
      </c>
      <c r="V27" s="2">
        <f t="shared" si="6"/>
        <v>10000</v>
      </c>
      <c r="W27" s="2"/>
      <c r="X27" s="2">
        <f t="shared" si="8"/>
        <v>20000</v>
      </c>
      <c r="Y27" s="2">
        <f t="shared" si="9"/>
        <v>30000</v>
      </c>
      <c r="Z27" s="2">
        <f t="shared" si="10"/>
        <v>100000</v>
      </c>
      <c r="AD27" s="2"/>
      <c r="AE27" s="2"/>
      <c r="AG27" s="19" t="s">
        <v>49</v>
      </c>
      <c r="AH27" s="6">
        <f>S27/$Z27</f>
        <v>0.2</v>
      </c>
      <c r="AI27" s="6"/>
      <c r="AJ27" s="6">
        <f>U27/$Z27</f>
        <v>0.2</v>
      </c>
      <c r="AK27" s="6">
        <f>V27/$Z27</f>
        <v>0.1</v>
      </c>
      <c r="AL27" s="6"/>
      <c r="AM27" s="6">
        <f>X27/$Z27</f>
        <v>0.2</v>
      </c>
      <c r="AN27" s="6">
        <f>Y27/$Z27</f>
        <v>0.3</v>
      </c>
      <c r="AO27" s="6">
        <f>Z27/$Z27</f>
        <v>1</v>
      </c>
      <c r="AP27" s="22"/>
    </row>
    <row r="28" spans="1:43" x14ac:dyDescent="0.25">
      <c r="A28">
        <f t="shared" ref="A28:A43" si="11">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N28">
        <f>A28</f>
        <v>2000</v>
      </c>
      <c r="O28" s="2">
        <f>I28*0.04</f>
        <v>4073.4120000000003</v>
      </c>
      <c r="P28" s="2"/>
      <c r="Q28" s="2"/>
      <c r="R28">
        <f>A28</f>
        <v>2000</v>
      </c>
      <c r="S28" s="2">
        <f t="shared" ref="S28:S39" si="12">B28-($O28/5)</f>
        <v>17373.317599999998</v>
      </c>
      <c r="T28" s="2"/>
      <c r="U28" s="2">
        <f t="shared" ref="U28:U39" si="13">D28-($O28/5)</f>
        <v>22804.917599999997</v>
      </c>
      <c r="V28" s="2">
        <f t="shared" ref="V28:V39" si="14">E28-($O28/5)</f>
        <v>8918.8176000000003</v>
      </c>
      <c r="W28" s="2"/>
      <c r="X28" s="2">
        <f t="shared" ref="X28:X39" si="15">G28-($O28/5)</f>
        <v>16062.517600000001</v>
      </c>
      <c r="Y28" s="2">
        <f t="shared" ref="Y28:Y39" si="16">H28-($O28/5)</f>
        <v>32602.317599999998</v>
      </c>
      <c r="Z28" s="2">
        <f t="shared" ref="Z28:Z39" si="17">SUM(S28:Y28)</f>
        <v>97761.887999999992</v>
      </c>
      <c r="AA28" s="2">
        <f>Z28-Z27</f>
        <v>-2238.1120000000083</v>
      </c>
      <c r="AB28" s="6">
        <f>(AA28/Z27)</f>
        <v>-2.2381120000000084E-2</v>
      </c>
      <c r="AC28" s="7">
        <f>AB28+1</f>
        <v>0.97761887999999997</v>
      </c>
      <c r="AD28" s="2">
        <f>Z28-(I28-O28)</f>
        <v>0</v>
      </c>
      <c r="AE28" s="2"/>
      <c r="AG28">
        <f>A28</f>
        <v>2000</v>
      </c>
      <c r="AH28" s="6">
        <f>S28/$Z28</f>
        <v>0.17771053685051583</v>
      </c>
      <c r="AI28" s="6"/>
      <c r="AJ28" s="6">
        <f>U28/$Z28</f>
        <v>0.23327002031711988</v>
      </c>
      <c r="AK28" s="6">
        <f>V28/$Z28</f>
        <v>9.1230005705290815E-2</v>
      </c>
      <c r="AL28" s="6"/>
      <c r="AM28" s="6">
        <f>X28/$Z28</f>
        <v>0.16430244882341064</v>
      </c>
      <c r="AN28" s="6">
        <f>Y28/$Z28</f>
        <v>0.33348698830366291</v>
      </c>
      <c r="AO28" s="6">
        <f>SUM(AH28:AN28)</f>
        <v>1</v>
      </c>
      <c r="AP28" s="7">
        <f>SUM(AH28:AM28)</f>
        <v>0.66651301169633714</v>
      </c>
      <c r="AQ28" s="7">
        <f>AO28-(AP28+AN28)</f>
        <v>0</v>
      </c>
    </row>
    <row r="29" spans="1:43" x14ac:dyDescent="0.25">
      <c r="A29">
        <f t="shared" si="11"/>
        <v>2001</v>
      </c>
      <c r="B29" s="2">
        <f t="shared" ref="B29:B43" si="18">S28*(1+(B5/100))</f>
        <v>15285.044824479999</v>
      </c>
      <c r="C29" s="2"/>
      <c r="D29" s="2">
        <f t="shared" ref="D29:D43" si="19">U28*(1+(D5/100))</f>
        <v>22691.121061175996</v>
      </c>
      <c r="E29" s="2">
        <f t="shared" ref="E29:E43" si="20">V28*(1+(E5/100))</f>
        <v>9195.3009456</v>
      </c>
      <c r="F29" s="2"/>
      <c r="G29" s="2">
        <f t="shared" ref="G29:G43" si="21">G28*(1+(G5/100))</f>
        <v>13475.937884000001</v>
      </c>
      <c r="H29" s="2">
        <f t="shared" ref="H29:H43" si="22">Y28*(1+(H5/100))</f>
        <v>35350.692973680001</v>
      </c>
      <c r="I29" s="2">
        <f t="shared" ref="I29:I40" si="23">SUM(B29:H29)</f>
        <v>95998.097688935988</v>
      </c>
      <c r="J29" s="2">
        <f t="shared" ref="J29:J40" si="24">I29-I28</f>
        <v>-5837.2023110640148</v>
      </c>
      <c r="K29" s="6">
        <f t="shared" ref="K29:K40" si="25">(J29/I28)</f>
        <v>-5.7320028625280378E-2</v>
      </c>
      <c r="L29" s="7">
        <f t="shared" ref="L29:L40" si="26">K29+1</f>
        <v>0.94267997137471959</v>
      </c>
      <c r="N29">
        <f t="shared" ref="N29:N40" si="27">A29</f>
        <v>2001</v>
      </c>
      <c r="O29" s="2">
        <f t="shared" ref="O29:O43" si="28">O28*(1+O5)</f>
        <v>4138.5865920000006</v>
      </c>
      <c r="P29" s="2"/>
      <c r="Q29" s="2"/>
      <c r="R29">
        <f t="shared" ref="R29:R36" si="29">A29</f>
        <v>2001</v>
      </c>
      <c r="S29" s="2">
        <f t="shared" si="12"/>
        <v>14457.327506079999</v>
      </c>
      <c r="T29" s="2"/>
      <c r="U29" s="2">
        <f t="shared" si="13"/>
        <v>21863.403742775998</v>
      </c>
      <c r="V29" s="2">
        <f t="shared" si="14"/>
        <v>8367.5836271999997</v>
      </c>
      <c r="W29" s="2"/>
      <c r="X29" s="2">
        <f t="shared" si="15"/>
        <v>12648.220565600001</v>
      </c>
      <c r="Y29" s="2">
        <f t="shared" si="16"/>
        <v>34522.975655280003</v>
      </c>
      <c r="Z29" s="2">
        <f t="shared" si="17"/>
        <v>91859.51109693601</v>
      </c>
      <c r="AA29" s="2">
        <f t="shared" ref="AA29:AA40" si="30">Z29-Z28</f>
        <v>-5902.3769030639814</v>
      </c>
      <c r="AB29" s="6">
        <f t="shared" ref="AB29:AB40" si="31">(AA29/Z28)</f>
        <v>-6.037502981800006E-2</v>
      </c>
      <c r="AC29" s="7">
        <f t="shared" ref="AC29:AC40" si="32">AB29+1</f>
        <v>0.93962497018199997</v>
      </c>
      <c r="AD29" s="2">
        <f t="shared" ref="AD29:AD40" si="33">Z29-(I29-O29)</f>
        <v>0</v>
      </c>
      <c r="AE29" s="2"/>
      <c r="AG29">
        <f t="shared" ref="AG29:AG40" si="34">A29</f>
        <v>2001</v>
      </c>
      <c r="AH29" s="6">
        <f t="shared" ref="AH29:AM40" si="35">S29/$Z29</f>
        <v>0.15738519978430654</v>
      </c>
      <c r="AI29" s="6"/>
      <c r="AJ29" s="6">
        <f t="shared" si="35"/>
        <v>0.2380091455059492</v>
      </c>
      <c r="AK29" s="6">
        <f t="shared" si="35"/>
        <v>9.1091096907428476E-2</v>
      </c>
      <c r="AL29" s="6"/>
      <c r="AM29" s="6">
        <f t="shared" si="35"/>
        <v>0.13769091969423605</v>
      </c>
      <c r="AN29" s="6">
        <f t="shared" ref="AN29:AN40" si="36">Y29/$Z29</f>
        <v>0.37582363810807962</v>
      </c>
      <c r="AO29" s="6">
        <f t="shared" ref="AO29:AO40" si="37">SUM(AH29:AN29)</f>
        <v>0.99999999999999989</v>
      </c>
      <c r="AP29" s="7">
        <f t="shared" ref="AP29:AP40" si="38">SUM(AH29:AM29)</f>
        <v>0.62417636189192027</v>
      </c>
      <c r="AQ29" s="7">
        <f t="shared" ref="AQ29:AQ40" si="39">AO29-(AP29+AN29)</f>
        <v>0</v>
      </c>
    </row>
    <row r="30" spans="1:43" x14ac:dyDescent="0.25">
      <c r="A30">
        <f t="shared" si="11"/>
        <v>2002</v>
      </c>
      <c r="B30" s="2">
        <f t="shared" si="18"/>
        <v>11255.029463483279</v>
      </c>
      <c r="C30" s="2"/>
      <c r="D30" s="2">
        <f t="shared" si="19"/>
        <v>18669.597724031279</v>
      </c>
      <c r="E30" s="2">
        <f t="shared" si="20"/>
        <v>6692.2260333620161</v>
      </c>
      <c r="F30" s="2"/>
      <c r="G30" s="2">
        <f t="shared" si="21"/>
        <v>11443.36217295628</v>
      </c>
      <c r="H30" s="2">
        <f t="shared" si="22"/>
        <v>37374.573444406131</v>
      </c>
      <c r="I30" s="2">
        <f t="shared" ref="I30:I36" si="40">SUM(B30:H30)</f>
        <v>85434.788838238979</v>
      </c>
      <c r="J30" s="2">
        <f t="shared" si="24"/>
        <v>-10563.308850697009</v>
      </c>
      <c r="K30" s="6">
        <f t="shared" si="25"/>
        <v>-0.11003664765238838</v>
      </c>
      <c r="L30" s="7">
        <f t="shared" si="26"/>
        <v>0.88996335234761159</v>
      </c>
      <c r="N30">
        <f t="shared" si="27"/>
        <v>2002</v>
      </c>
      <c r="O30" s="2">
        <f t="shared" si="28"/>
        <v>4242.0512568000004</v>
      </c>
      <c r="P30" s="2"/>
      <c r="Q30" s="2"/>
      <c r="R30">
        <f t="shared" si="29"/>
        <v>2002</v>
      </c>
      <c r="S30" s="2">
        <f t="shared" si="12"/>
        <v>10406.619212123278</v>
      </c>
      <c r="T30" s="2"/>
      <c r="U30" s="2">
        <f t="shared" si="13"/>
        <v>17821.187472671278</v>
      </c>
      <c r="V30" s="2">
        <f t="shared" si="14"/>
        <v>5843.815782002016</v>
      </c>
      <c r="W30" s="2"/>
      <c r="X30" s="2">
        <f t="shared" si="15"/>
        <v>10594.951921596279</v>
      </c>
      <c r="Y30" s="2">
        <f t="shared" si="16"/>
        <v>36526.16319304613</v>
      </c>
      <c r="Z30" s="2">
        <f t="shared" si="17"/>
        <v>81192.737581438982</v>
      </c>
      <c r="AA30" s="2">
        <f t="shared" si="30"/>
        <v>-10666.773515497029</v>
      </c>
      <c r="AB30" s="6">
        <f t="shared" si="31"/>
        <v>-0.11612051259711985</v>
      </c>
      <c r="AC30" s="7">
        <f t="shared" si="32"/>
        <v>0.88387948740288014</v>
      </c>
      <c r="AD30" s="2">
        <f t="shared" si="33"/>
        <v>0</v>
      </c>
      <c r="AE30" s="2"/>
      <c r="AG30">
        <f t="shared" si="34"/>
        <v>2002</v>
      </c>
      <c r="AH30" s="6">
        <f t="shared" si="35"/>
        <v>0.12817179863759487</v>
      </c>
      <c r="AI30" s="6"/>
      <c r="AJ30" s="6">
        <f t="shared" si="35"/>
        <v>0.21949238322942421</v>
      </c>
      <c r="AK30" s="6">
        <f t="shared" si="35"/>
        <v>7.1974611967486335E-2</v>
      </c>
      <c r="AL30" s="6"/>
      <c r="AM30" s="6">
        <f t="shared" si="35"/>
        <v>0.13049137444059197</v>
      </c>
      <c r="AN30" s="6">
        <f t="shared" si="36"/>
        <v>0.44986983172490258</v>
      </c>
      <c r="AO30" s="6">
        <f t="shared" si="37"/>
        <v>1</v>
      </c>
      <c r="AP30" s="7">
        <f t="shared" si="38"/>
        <v>0.55013016827509742</v>
      </c>
      <c r="AQ30" s="7">
        <f t="shared" si="39"/>
        <v>0</v>
      </c>
    </row>
    <row r="31" spans="1:43" x14ac:dyDescent="0.25">
      <c r="A31">
        <f t="shared" si="11"/>
        <v>2003</v>
      </c>
      <c r="B31" s="2">
        <f t="shared" si="18"/>
        <v>13372.505687578412</v>
      </c>
      <c r="C31" s="2"/>
      <c r="D31" s="2">
        <f t="shared" si="19"/>
        <v>23905.697299590705</v>
      </c>
      <c r="E31" s="2">
        <f t="shared" si="20"/>
        <v>8510.2320470138966</v>
      </c>
      <c r="F31" s="2"/>
      <c r="G31" s="2">
        <f t="shared" si="21"/>
        <v>16059.614473526843</v>
      </c>
      <c r="H31" s="2">
        <f t="shared" si="22"/>
        <v>37976.251871810062</v>
      </c>
      <c r="I31" s="2">
        <f t="shared" si="40"/>
        <v>99824.301379519922</v>
      </c>
      <c r="J31" s="2">
        <f t="shared" si="24"/>
        <v>14389.512541280943</v>
      </c>
      <c r="K31" s="6">
        <f t="shared" si="25"/>
        <v>0.16842685206989674</v>
      </c>
      <c r="L31" s="7">
        <f t="shared" si="26"/>
        <v>1.1684268520698968</v>
      </c>
      <c r="N31">
        <f t="shared" si="27"/>
        <v>2003</v>
      </c>
      <c r="O31" s="2">
        <f t="shared" si="28"/>
        <v>4326.8922819360005</v>
      </c>
      <c r="P31" s="2"/>
      <c r="Q31" s="2"/>
      <c r="R31">
        <f t="shared" si="29"/>
        <v>2003</v>
      </c>
      <c r="S31" s="2">
        <f t="shared" si="12"/>
        <v>12507.127231191213</v>
      </c>
      <c r="T31" s="2"/>
      <c r="U31" s="2">
        <f t="shared" si="13"/>
        <v>23040.318843203506</v>
      </c>
      <c r="V31" s="2">
        <f t="shared" si="14"/>
        <v>7644.8535906266961</v>
      </c>
      <c r="W31" s="2"/>
      <c r="X31" s="2">
        <f t="shared" si="15"/>
        <v>15194.236017139643</v>
      </c>
      <c r="Y31" s="2">
        <f t="shared" si="16"/>
        <v>37110.873415422859</v>
      </c>
      <c r="Z31" s="2">
        <f t="shared" si="17"/>
        <v>95497.409097583921</v>
      </c>
      <c r="AA31" s="2">
        <f t="shared" si="30"/>
        <v>14304.671516144939</v>
      </c>
      <c r="AB31" s="6">
        <f t="shared" si="31"/>
        <v>0.17618166282171338</v>
      </c>
      <c r="AC31" s="7">
        <f t="shared" si="32"/>
        <v>1.1761816628217134</v>
      </c>
      <c r="AD31" s="2">
        <f t="shared" si="33"/>
        <v>0</v>
      </c>
      <c r="AE31" s="2"/>
      <c r="AG31">
        <f t="shared" si="34"/>
        <v>2003</v>
      </c>
      <c r="AH31" s="6">
        <f t="shared" si="35"/>
        <v>0.13096823620011322</v>
      </c>
      <c r="AI31" s="6"/>
      <c r="AJ31" s="6">
        <f t="shared" si="35"/>
        <v>0.24126642870132509</v>
      </c>
      <c r="AK31" s="6">
        <f t="shared" si="35"/>
        <v>8.0052994765698937E-2</v>
      </c>
      <c r="AL31" s="6"/>
      <c r="AM31" s="6">
        <f t="shared" si="35"/>
        <v>0.15910626435543848</v>
      </c>
      <c r="AN31" s="6">
        <f t="shared" si="36"/>
        <v>0.38860607597742419</v>
      </c>
      <c r="AO31" s="6">
        <f t="shared" si="37"/>
        <v>1</v>
      </c>
      <c r="AP31" s="7">
        <f t="shared" si="38"/>
        <v>0.61139392402257575</v>
      </c>
      <c r="AQ31" s="7">
        <f t="shared" si="39"/>
        <v>0</v>
      </c>
    </row>
    <row r="32" spans="1:43" x14ac:dyDescent="0.25">
      <c r="A32">
        <f t="shared" si="11"/>
        <v>2004</v>
      </c>
      <c r="B32" s="2">
        <f t="shared" si="18"/>
        <v>13850.392695821149</v>
      </c>
      <c r="C32" s="2"/>
      <c r="D32" s="2">
        <f t="shared" si="19"/>
        <v>27729.714937360714</v>
      </c>
      <c r="E32" s="2">
        <f t="shared" si="20"/>
        <v>9165.9501095536907</v>
      </c>
      <c r="F32" s="2"/>
      <c r="G32" s="2">
        <f t="shared" si="21"/>
        <v>19405.95634137563</v>
      </c>
      <c r="H32" s="2">
        <f t="shared" si="22"/>
        <v>38684.374448236791</v>
      </c>
      <c r="I32" s="2">
        <f t="shared" si="40"/>
        <v>108836.38853234798</v>
      </c>
      <c r="J32" s="2">
        <f t="shared" si="24"/>
        <v>9012.087152828055</v>
      </c>
      <c r="K32" s="6">
        <f t="shared" si="25"/>
        <v>9.0279491349157456E-2</v>
      </c>
      <c r="L32" s="7">
        <f t="shared" si="26"/>
        <v>1.0902794913491574</v>
      </c>
      <c r="N32">
        <f t="shared" si="27"/>
        <v>2004</v>
      </c>
      <c r="O32" s="2">
        <f t="shared" si="28"/>
        <v>4469.6797272398881</v>
      </c>
      <c r="P32" s="2"/>
      <c r="Q32" s="2"/>
      <c r="R32">
        <f t="shared" si="29"/>
        <v>2004</v>
      </c>
      <c r="S32" s="2">
        <f t="shared" si="12"/>
        <v>12956.456750373171</v>
      </c>
      <c r="T32" s="2"/>
      <c r="U32" s="2">
        <f t="shared" si="13"/>
        <v>26835.778991912735</v>
      </c>
      <c r="V32" s="2">
        <f t="shared" si="14"/>
        <v>8272.0141641057126</v>
      </c>
      <c r="W32" s="2"/>
      <c r="X32" s="2">
        <f t="shared" si="15"/>
        <v>18512.020395927651</v>
      </c>
      <c r="Y32" s="2">
        <f t="shared" si="16"/>
        <v>37790.438502788813</v>
      </c>
      <c r="Z32" s="2">
        <f t="shared" si="17"/>
        <v>104366.70880510809</v>
      </c>
      <c r="AA32" s="2">
        <f t="shared" si="30"/>
        <v>8869.2997075241728</v>
      </c>
      <c r="AB32" s="6">
        <f t="shared" si="31"/>
        <v>9.287476792654227E-2</v>
      </c>
      <c r="AC32" s="7">
        <f t="shared" si="32"/>
        <v>1.0928747679265423</v>
      </c>
      <c r="AD32" s="2">
        <f t="shared" si="33"/>
        <v>0</v>
      </c>
      <c r="AE32" s="2"/>
      <c r="AG32">
        <f t="shared" si="34"/>
        <v>2004</v>
      </c>
      <c r="AH32" s="6">
        <f t="shared" si="35"/>
        <v>0.12414357891238814</v>
      </c>
      <c r="AI32" s="6"/>
      <c r="AJ32" s="6">
        <f t="shared" si="35"/>
        <v>0.25712968531014263</v>
      </c>
      <c r="AK32" s="6">
        <f t="shared" si="35"/>
        <v>7.9259126390127665E-2</v>
      </c>
      <c r="AL32" s="6"/>
      <c r="AM32" s="6">
        <f t="shared" si="35"/>
        <v>0.17737476449982301</v>
      </c>
      <c r="AN32" s="6">
        <f t="shared" si="36"/>
        <v>0.36209284488751847</v>
      </c>
      <c r="AO32" s="6">
        <f t="shared" si="37"/>
        <v>0.99999999999999989</v>
      </c>
      <c r="AP32" s="7">
        <f t="shared" si="38"/>
        <v>0.63790715511248142</v>
      </c>
      <c r="AQ32" s="7">
        <f t="shared" si="39"/>
        <v>0</v>
      </c>
    </row>
    <row r="33" spans="1:43" x14ac:dyDescent="0.25">
      <c r="A33">
        <f t="shared" si="11"/>
        <v>2005</v>
      </c>
      <c r="B33" s="2">
        <f t="shared" si="18"/>
        <v>13574.479737365971</v>
      </c>
      <c r="C33" s="2"/>
      <c r="D33" s="2">
        <f t="shared" si="19"/>
        <v>30574.271363276101</v>
      </c>
      <c r="E33" s="2">
        <f t="shared" si="20"/>
        <v>8881.0825670088161</v>
      </c>
      <c r="F33" s="2"/>
      <c r="G33" s="2">
        <f t="shared" si="21"/>
        <v>22427.657803291229</v>
      </c>
      <c r="H33" s="2">
        <f t="shared" si="22"/>
        <v>38697.409026855748</v>
      </c>
      <c r="I33" s="2">
        <f t="shared" si="40"/>
        <v>114154.90049779786</v>
      </c>
      <c r="J33" s="2">
        <f t="shared" si="24"/>
        <v>5318.5119654498849</v>
      </c>
      <c r="K33" s="6">
        <f t="shared" si="25"/>
        <v>4.8867038287191376E-2</v>
      </c>
      <c r="L33" s="7">
        <f t="shared" si="26"/>
        <v>1.0488670382871914</v>
      </c>
      <c r="N33">
        <f t="shared" si="27"/>
        <v>2005</v>
      </c>
      <c r="O33" s="2">
        <f t="shared" si="28"/>
        <v>4617.1791582388041</v>
      </c>
      <c r="P33" s="2"/>
      <c r="Q33" s="2"/>
      <c r="R33">
        <f t="shared" si="29"/>
        <v>2005</v>
      </c>
      <c r="S33" s="2">
        <f t="shared" si="12"/>
        <v>12651.04390571821</v>
      </c>
      <c r="T33" s="2"/>
      <c r="U33" s="2">
        <f t="shared" si="13"/>
        <v>29650.835531628341</v>
      </c>
      <c r="V33" s="2">
        <f t="shared" si="14"/>
        <v>7957.6467353610551</v>
      </c>
      <c r="W33" s="2"/>
      <c r="X33" s="2">
        <f t="shared" si="15"/>
        <v>21504.22197164347</v>
      </c>
      <c r="Y33" s="2">
        <f t="shared" si="16"/>
        <v>37773.973195207989</v>
      </c>
      <c r="Z33" s="2">
        <f t="shared" si="17"/>
        <v>109537.72133955907</v>
      </c>
      <c r="AA33" s="2">
        <f t="shared" si="30"/>
        <v>5171.0125344509725</v>
      </c>
      <c r="AB33" s="6">
        <f t="shared" si="31"/>
        <v>4.954657087162917E-2</v>
      </c>
      <c r="AC33" s="7">
        <f t="shared" si="32"/>
        <v>1.0495465708716292</v>
      </c>
      <c r="AD33" s="2">
        <f t="shared" si="33"/>
        <v>0</v>
      </c>
      <c r="AE33" s="2"/>
      <c r="AG33">
        <f t="shared" si="34"/>
        <v>2005</v>
      </c>
      <c r="AH33" s="6">
        <f t="shared" si="35"/>
        <v>0.11549486104883343</v>
      </c>
      <c r="AI33" s="6"/>
      <c r="AJ33" s="6">
        <f t="shared" si="35"/>
        <v>0.2706906366959459</v>
      </c>
      <c r="AK33" s="6">
        <f t="shared" si="35"/>
        <v>7.2647546781559588E-2</v>
      </c>
      <c r="AL33" s="6"/>
      <c r="AM33" s="6">
        <f t="shared" si="35"/>
        <v>0.19631795977371053</v>
      </c>
      <c r="AN33" s="6">
        <f t="shared" si="36"/>
        <v>0.34484899569995059</v>
      </c>
      <c r="AO33" s="6">
        <f t="shared" si="37"/>
        <v>1</v>
      </c>
      <c r="AP33" s="7">
        <f t="shared" si="38"/>
        <v>0.65515100430004947</v>
      </c>
      <c r="AQ33" s="7">
        <f t="shared" si="39"/>
        <v>0</v>
      </c>
    </row>
    <row r="34" spans="1:43" x14ac:dyDescent="0.25">
      <c r="A34">
        <f t="shared" si="11"/>
        <v>2006</v>
      </c>
      <c r="B34" s="2">
        <f t="shared" si="18"/>
        <v>14629.667172572539</v>
      </c>
      <c r="C34" s="2"/>
      <c r="D34" s="2">
        <f t="shared" si="19"/>
        <v>33682.459638863846</v>
      </c>
      <c r="E34" s="2">
        <f t="shared" si="20"/>
        <v>9203.4959082491823</v>
      </c>
      <c r="F34" s="2"/>
      <c r="G34" s="2">
        <f t="shared" si="21"/>
        <v>28401.713012353914</v>
      </c>
      <c r="H34" s="2">
        <f t="shared" si="22"/>
        <v>39386.921850643368</v>
      </c>
      <c r="I34" s="2">
        <f t="shared" si="40"/>
        <v>125304.25758268285</v>
      </c>
      <c r="J34" s="2">
        <f t="shared" si="24"/>
        <v>11149.357084884992</v>
      </c>
      <c r="K34" s="6">
        <f t="shared" si="25"/>
        <v>9.7668668066510839E-2</v>
      </c>
      <c r="L34" s="7">
        <f t="shared" si="26"/>
        <v>1.0976686680665109</v>
      </c>
      <c r="N34">
        <f t="shared" si="27"/>
        <v>2006</v>
      </c>
      <c r="O34" s="2">
        <f t="shared" si="28"/>
        <v>4732.608637194774</v>
      </c>
      <c r="P34" s="2"/>
      <c r="Q34" s="2"/>
      <c r="R34">
        <f t="shared" si="29"/>
        <v>2006</v>
      </c>
      <c r="S34" s="2">
        <f t="shared" si="12"/>
        <v>13683.145445133585</v>
      </c>
      <c r="T34" s="2"/>
      <c r="U34" s="2">
        <f t="shared" si="13"/>
        <v>32735.937911424891</v>
      </c>
      <c r="V34" s="2">
        <f t="shared" si="14"/>
        <v>8256.9741808102281</v>
      </c>
      <c r="W34" s="2"/>
      <c r="X34" s="2">
        <f t="shared" si="15"/>
        <v>27455.191284914959</v>
      </c>
      <c r="Y34" s="2">
        <f t="shared" si="16"/>
        <v>38440.40012320441</v>
      </c>
      <c r="Z34" s="2">
        <f t="shared" si="17"/>
        <v>120571.64894548808</v>
      </c>
      <c r="AA34" s="2">
        <f t="shared" si="30"/>
        <v>11033.927605929013</v>
      </c>
      <c r="AB34" s="6">
        <f t="shared" si="31"/>
        <v>0.10073176136031377</v>
      </c>
      <c r="AC34" s="7">
        <f t="shared" si="32"/>
        <v>1.1007317613603138</v>
      </c>
      <c r="AD34" s="2">
        <f t="shared" si="33"/>
        <v>0</v>
      </c>
      <c r="AE34" s="2"/>
      <c r="AG34">
        <f t="shared" si="34"/>
        <v>2006</v>
      </c>
      <c r="AH34" s="6">
        <f t="shared" si="35"/>
        <v>0.11348559603194863</v>
      </c>
      <c r="AI34" s="6"/>
      <c r="AJ34" s="6">
        <f t="shared" si="35"/>
        <v>0.27150609780766299</v>
      </c>
      <c r="AK34" s="6">
        <f t="shared" si="35"/>
        <v>6.8481888180390624E-2</v>
      </c>
      <c r="AL34" s="6"/>
      <c r="AM34" s="6">
        <f t="shared" si="35"/>
        <v>0.2277085162642819</v>
      </c>
      <c r="AN34" s="6">
        <f t="shared" si="36"/>
        <v>0.31881790171571583</v>
      </c>
      <c r="AO34" s="6">
        <f t="shared" si="37"/>
        <v>1</v>
      </c>
      <c r="AP34" s="7">
        <f t="shared" si="38"/>
        <v>0.68118209828428422</v>
      </c>
      <c r="AQ34" s="7">
        <f t="shared" si="39"/>
        <v>0</v>
      </c>
    </row>
    <row r="35" spans="1:43" x14ac:dyDescent="0.25">
      <c r="A35">
        <f t="shared" si="11"/>
        <v>2007</v>
      </c>
      <c r="B35" s="2">
        <f t="shared" si="18"/>
        <v>14420.666984626287</v>
      </c>
      <c r="C35" s="2"/>
      <c r="D35" s="2">
        <f t="shared" si="19"/>
        <v>34706.968733071786</v>
      </c>
      <c r="E35" s="2">
        <f t="shared" si="20"/>
        <v>8352.4248023403943</v>
      </c>
      <c r="F35" s="2"/>
      <c r="G35" s="2">
        <f t="shared" si="21"/>
        <v>32810.226906131487</v>
      </c>
      <c r="H35" s="2">
        <f t="shared" si="22"/>
        <v>41100.475811730154</v>
      </c>
      <c r="I35" s="2">
        <f t="shared" si="40"/>
        <v>131390.7632379001</v>
      </c>
      <c r="J35" s="2">
        <f t="shared" si="24"/>
        <v>6086.5056552172464</v>
      </c>
      <c r="K35" s="6">
        <f t="shared" si="25"/>
        <v>4.8573813632797155E-2</v>
      </c>
      <c r="L35" s="7">
        <f t="shared" si="26"/>
        <v>1.0485738136327971</v>
      </c>
      <c r="N35">
        <f t="shared" si="27"/>
        <v>2007</v>
      </c>
      <c r="O35" s="2">
        <f t="shared" si="28"/>
        <v>4926.6455913197597</v>
      </c>
      <c r="P35" s="2"/>
      <c r="Q35" s="2"/>
      <c r="R35">
        <f t="shared" si="29"/>
        <v>2007</v>
      </c>
      <c r="S35" s="2">
        <f t="shared" si="12"/>
        <v>13435.337866362335</v>
      </c>
      <c r="T35" s="2"/>
      <c r="U35" s="2">
        <f t="shared" si="13"/>
        <v>33721.639614807835</v>
      </c>
      <c r="V35" s="2">
        <f t="shared" si="14"/>
        <v>7367.095684076442</v>
      </c>
      <c r="W35" s="2"/>
      <c r="X35" s="2">
        <f t="shared" si="15"/>
        <v>31824.897787867536</v>
      </c>
      <c r="Y35" s="2">
        <f t="shared" si="16"/>
        <v>40115.146693466202</v>
      </c>
      <c r="Z35" s="2">
        <f t="shared" si="17"/>
        <v>126464.11764658036</v>
      </c>
      <c r="AA35" s="2">
        <f t="shared" si="30"/>
        <v>5892.4687010922789</v>
      </c>
      <c r="AB35" s="6">
        <f t="shared" si="31"/>
        <v>4.8871096585535928E-2</v>
      </c>
      <c r="AC35" s="7">
        <f t="shared" si="32"/>
        <v>1.0488710965855359</v>
      </c>
      <c r="AD35" s="2">
        <f t="shared" si="33"/>
        <v>0</v>
      </c>
      <c r="AE35" s="2"/>
      <c r="AG35">
        <f t="shared" si="34"/>
        <v>2007</v>
      </c>
      <c r="AH35" s="6">
        <f t="shared" si="35"/>
        <v>0.10623833950993949</v>
      </c>
      <c r="AI35" s="6"/>
      <c r="AJ35" s="6">
        <f t="shared" si="35"/>
        <v>0.26664986276223535</v>
      </c>
      <c r="AK35" s="6">
        <f t="shared" si="35"/>
        <v>5.8254434705856277E-2</v>
      </c>
      <c r="AL35" s="6"/>
      <c r="AM35" s="6">
        <f t="shared" si="35"/>
        <v>0.25165160189395502</v>
      </c>
      <c r="AN35" s="6">
        <f t="shared" si="36"/>
        <v>0.3172057611280138</v>
      </c>
      <c r="AO35" s="6">
        <f t="shared" si="37"/>
        <v>0.99999999999999989</v>
      </c>
      <c r="AP35" s="7">
        <f t="shared" si="38"/>
        <v>0.68279423887198609</v>
      </c>
      <c r="AQ35" s="7">
        <f t="shared" si="39"/>
        <v>0</v>
      </c>
    </row>
    <row r="36" spans="1:43" x14ac:dyDescent="0.25">
      <c r="A36">
        <f t="shared" si="11"/>
        <v>2008</v>
      </c>
      <c r="B36" s="2">
        <f t="shared" si="18"/>
        <v>8461.5757882349972</v>
      </c>
      <c r="C36" s="2"/>
      <c r="D36" s="2">
        <f t="shared" si="19"/>
        <v>19617.901062310608</v>
      </c>
      <c r="E36" s="2">
        <f t="shared" si="20"/>
        <v>4709.7842708300695</v>
      </c>
      <c r="F36" s="2"/>
      <c r="G36" s="2">
        <f t="shared" si="21"/>
        <v>18340.588738258441</v>
      </c>
      <c r="H36" s="2">
        <f t="shared" si="22"/>
        <v>42140.961601486248</v>
      </c>
      <c r="I36" s="2">
        <f t="shared" si="40"/>
        <v>93270.811461120364</v>
      </c>
      <c r="J36" s="2">
        <f t="shared" si="24"/>
        <v>-38119.951776779737</v>
      </c>
      <c r="K36" s="6">
        <f t="shared" si="25"/>
        <v>-0.29012657235089345</v>
      </c>
      <c r="L36" s="7">
        <f t="shared" si="26"/>
        <v>0.70987342764910655</v>
      </c>
      <c r="N36">
        <f t="shared" si="27"/>
        <v>2008</v>
      </c>
      <c r="O36" s="2">
        <f t="shared" si="28"/>
        <v>4926.6455913197597</v>
      </c>
      <c r="P36" s="2"/>
      <c r="Q36" s="2"/>
      <c r="R36">
        <f t="shared" si="29"/>
        <v>2008</v>
      </c>
      <c r="S36" s="2">
        <f t="shared" si="12"/>
        <v>7476.2466699710449</v>
      </c>
      <c r="T36" s="2"/>
      <c r="U36" s="2">
        <f t="shared" si="13"/>
        <v>18632.571944046656</v>
      </c>
      <c r="V36" s="2">
        <f t="shared" si="14"/>
        <v>3724.4551525661177</v>
      </c>
      <c r="W36" s="2"/>
      <c r="X36" s="2">
        <f t="shared" si="15"/>
        <v>17355.259619994489</v>
      </c>
      <c r="Y36" s="2">
        <f t="shared" si="16"/>
        <v>41155.632483222296</v>
      </c>
      <c r="Z36" s="2">
        <f t="shared" si="17"/>
        <v>88344.165869800607</v>
      </c>
      <c r="AA36" s="2">
        <f t="shared" si="30"/>
        <v>-38119.951776779752</v>
      </c>
      <c r="AB36" s="6">
        <f t="shared" si="31"/>
        <v>-0.3014289941381687</v>
      </c>
      <c r="AC36" s="7">
        <f t="shared" si="32"/>
        <v>0.6985710058618313</v>
      </c>
      <c r="AD36" s="2">
        <f t="shared" si="33"/>
        <v>0</v>
      </c>
      <c r="AE36" s="2"/>
      <c r="AG36">
        <f t="shared" si="34"/>
        <v>2008</v>
      </c>
      <c r="AH36" s="6">
        <f t="shared" si="35"/>
        <v>8.4626376811224271E-2</v>
      </c>
      <c r="AI36" s="6"/>
      <c r="AJ36" s="6">
        <f t="shared" si="35"/>
        <v>0.21090891244031743</v>
      </c>
      <c r="AK36" s="6">
        <f t="shared" si="35"/>
        <v>4.2158473238121073E-2</v>
      </c>
      <c r="AL36" s="6"/>
      <c r="AM36" s="6">
        <f t="shared" si="35"/>
        <v>0.19645054598820064</v>
      </c>
      <c r="AN36" s="6">
        <f t="shared" si="36"/>
        <v>0.46585569152213657</v>
      </c>
      <c r="AO36" s="6">
        <f t="shared" si="37"/>
        <v>1</v>
      </c>
      <c r="AP36" s="7">
        <f t="shared" si="38"/>
        <v>0.53414430847786343</v>
      </c>
      <c r="AQ36" s="7">
        <f t="shared" si="39"/>
        <v>0</v>
      </c>
    </row>
    <row r="37" spans="1:43" x14ac:dyDescent="0.25">
      <c r="A37">
        <f t="shared" si="11"/>
        <v>2009</v>
      </c>
      <c r="B37" s="2">
        <f t="shared" si="18"/>
        <v>9456.7044128463749</v>
      </c>
      <c r="C37" s="2"/>
      <c r="D37" s="2">
        <f t="shared" si="19"/>
        <v>26126.21972850334</v>
      </c>
      <c r="E37" s="2">
        <f t="shared" si="20"/>
        <v>5069.6538645699484</v>
      </c>
      <c r="F37" s="2"/>
      <c r="G37" s="2">
        <f t="shared" si="21"/>
        <v>25076.536764158616</v>
      </c>
      <c r="H37" s="2">
        <f t="shared" si="22"/>
        <v>43596.161489477374</v>
      </c>
      <c r="I37" s="2">
        <f t="shared" si="23"/>
        <v>109325.27625955566</v>
      </c>
      <c r="J37" s="2">
        <f t="shared" si="24"/>
        <v>16054.464798435292</v>
      </c>
      <c r="K37" s="6">
        <f t="shared" si="25"/>
        <v>0.17212742707966622</v>
      </c>
      <c r="L37" s="7">
        <f t="shared" si="26"/>
        <v>1.1721274270796662</v>
      </c>
      <c r="N37">
        <f t="shared" si="27"/>
        <v>2009</v>
      </c>
      <c r="O37" s="2">
        <f t="shared" si="28"/>
        <v>5064.5916678767135</v>
      </c>
      <c r="P37" s="2"/>
      <c r="Q37" s="2"/>
      <c r="R37">
        <f t="shared" ref="R37" si="41">A37</f>
        <v>2009</v>
      </c>
      <c r="S37" s="2">
        <f t="shared" si="12"/>
        <v>8443.7860792710326</v>
      </c>
      <c r="T37" s="2"/>
      <c r="U37" s="2">
        <f t="shared" si="13"/>
        <v>25113.301394927996</v>
      </c>
      <c r="V37" s="2">
        <f t="shared" si="14"/>
        <v>4056.7355309946056</v>
      </c>
      <c r="W37" s="2"/>
      <c r="X37" s="2">
        <f t="shared" si="15"/>
        <v>24063.618430583272</v>
      </c>
      <c r="Y37" s="2">
        <f t="shared" si="16"/>
        <v>42583.243155902033</v>
      </c>
      <c r="Z37" s="2">
        <f t="shared" si="17"/>
        <v>104260.68459167893</v>
      </c>
      <c r="AA37" s="2">
        <f t="shared" si="30"/>
        <v>15916.518721878325</v>
      </c>
      <c r="AB37" s="6">
        <f t="shared" si="31"/>
        <v>0.18016491032736318</v>
      </c>
      <c r="AC37" s="7">
        <f t="shared" si="32"/>
        <v>1.1801649103273633</v>
      </c>
      <c r="AD37" s="2">
        <f t="shared" si="33"/>
        <v>0</v>
      </c>
      <c r="AE37" s="2"/>
      <c r="AG37">
        <f t="shared" si="34"/>
        <v>2009</v>
      </c>
      <c r="AH37" s="6">
        <f t="shared" si="35"/>
        <v>8.0987249530729943E-2</v>
      </c>
      <c r="AI37" s="6"/>
      <c r="AJ37" s="6">
        <f t="shared" si="35"/>
        <v>0.2408702905920905</v>
      </c>
      <c r="AK37" s="6">
        <f t="shared" si="35"/>
        <v>3.8909542430899925E-2</v>
      </c>
      <c r="AL37" s="6"/>
      <c r="AM37" s="6">
        <f t="shared" si="35"/>
        <v>0.23080242111227989</v>
      </c>
      <c r="AN37" s="6">
        <f t="shared" si="36"/>
        <v>0.4084304963339998</v>
      </c>
      <c r="AO37" s="6">
        <f t="shared" si="37"/>
        <v>1</v>
      </c>
      <c r="AP37" s="7">
        <f t="shared" si="38"/>
        <v>0.59156950366600025</v>
      </c>
      <c r="AQ37" s="7">
        <f t="shared" si="39"/>
        <v>0</v>
      </c>
    </row>
    <row r="38" spans="1:43" x14ac:dyDescent="0.25">
      <c r="A38">
        <f t="shared" si="11"/>
        <v>2010</v>
      </c>
      <c r="B38" s="2">
        <f t="shared" si="18"/>
        <v>9702.7545836903428</v>
      </c>
      <c r="C38" s="2"/>
      <c r="D38" s="2">
        <f t="shared" si="19"/>
        <v>31507.147930076662</v>
      </c>
      <c r="E38" s="2">
        <f t="shared" si="20"/>
        <v>5181.2626201863104</v>
      </c>
      <c r="F38" s="2"/>
      <c r="G38" s="2">
        <f t="shared" si="21"/>
        <v>27865.047652333054</v>
      </c>
      <c r="H38" s="2">
        <f t="shared" si="22"/>
        <v>45317.087366510947</v>
      </c>
      <c r="I38" s="2">
        <f t="shared" si="23"/>
        <v>119573.30015279731</v>
      </c>
      <c r="J38" s="2">
        <f t="shared" si="24"/>
        <v>10248.023893241654</v>
      </c>
      <c r="K38" s="6">
        <f t="shared" si="25"/>
        <v>9.3738833725068388E-2</v>
      </c>
      <c r="L38" s="7">
        <f t="shared" si="26"/>
        <v>1.0937388337250684</v>
      </c>
      <c r="N38">
        <f t="shared" si="27"/>
        <v>2010</v>
      </c>
      <c r="O38" s="2">
        <f t="shared" si="28"/>
        <v>5135.4959512269879</v>
      </c>
      <c r="P38" s="2"/>
      <c r="Q38" s="2"/>
      <c r="R38">
        <f t="shared" ref="R38:R40" si="42">A38</f>
        <v>2010</v>
      </c>
      <c r="S38" s="2">
        <f t="shared" si="12"/>
        <v>8675.6553934449457</v>
      </c>
      <c r="T38" s="2"/>
      <c r="U38" s="2">
        <f t="shared" si="13"/>
        <v>30480.048739831265</v>
      </c>
      <c r="V38" s="2">
        <f t="shared" si="14"/>
        <v>4154.1634299409125</v>
      </c>
      <c r="W38" s="2"/>
      <c r="X38" s="2">
        <f t="shared" si="15"/>
        <v>26837.948462087657</v>
      </c>
      <c r="Y38" s="2">
        <f t="shared" si="16"/>
        <v>44289.98817626555</v>
      </c>
      <c r="Z38" s="2">
        <f t="shared" si="17"/>
        <v>114437.80420157034</v>
      </c>
      <c r="AA38" s="2">
        <f t="shared" si="30"/>
        <v>10177.119609891408</v>
      </c>
      <c r="AB38" s="6">
        <f t="shared" si="31"/>
        <v>9.7612246166889696E-2</v>
      </c>
      <c r="AC38" s="7">
        <f t="shared" si="32"/>
        <v>1.0976122461668898</v>
      </c>
      <c r="AD38" s="2">
        <f t="shared" si="33"/>
        <v>0</v>
      </c>
      <c r="AE38" s="2"/>
      <c r="AG38">
        <f t="shared" si="34"/>
        <v>2010</v>
      </c>
      <c r="AH38" s="6">
        <f t="shared" si="35"/>
        <v>7.5811096289157012E-2</v>
      </c>
      <c r="AI38" s="6"/>
      <c r="AJ38" s="6">
        <f t="shared" si="35"/>
        <v>0.26634597677305843</v>
      </c>
      <c r="AK38" s="6">
        <f t="shared" si="35"/>
        <v>3.6300621625208605E-2</v>
      </c>
      <c r="AL38" s="7"/>
      <c r="AM38" s="6">
        <f t="shared" si="35"/>
        <v>0.23451995299398956</v>
      </c>
      <c r="AN38" s="6">
        <f t="shared" si="36"/>
        <v>0.38702235231858628</v>
      </c>
      <c r="AO38" s="6">
        <f t="shared" si="37"/>
        <v>0.99999999999999989</v>
      </c>
      <c r="AP38" s="7">
        <f t="shared" si="38"/>
        <v>0.61297764768141361</v>
      </c>
      <c r="AQ38" s="7">
        <f t="shared" si="39"/>
        <v>0</v>
      </c>
    </row>
    <row r="39" spans="1:43" x14ac:dyDescent="0.25">
      <c r="A39">
        <f t="shared" si="11"/>
        <v>2011</v>
      </c>
      <c r="B39" s="2">
        <f t="shared" si="18"/>
        <v>8846.5658046958124</v>
      </c>
      <c r="C39" s="2"/>
      <c r="D39" s="2">
        <f t="shared" si="19"/>
        <v>29836.919711420825</v>
      </c>
      <c r="E39" s="2">
        <f t="shared" si="20"/>
        <v>4037.8468539025666</v>
      </c>
      <c r="F39" s="2"/>
      <c r="G39" s="2">
        <f t="shared" si="21"/>
        <v>23807.896714153361</v>
      </c>
      <c r="H39" s="2">
        <f t="shared" si="22"/>
        <v>47638.311282391231</v>
      </c>
      <c r="I39" s="2">
        <f t="shared" si="23"/>
        <v>114167.5403665638</v>
      </c>
      <c r="J39" s="2">
        <f t="shared" si="24"/>
        <v>-5405.7597862335097</v>
      </c>
      <c r="K39" s="6">
        <f t="shared" si="25"/>
        <v>-4.520875295175205E-2</v>
      </c>
      <c r="L39" s="7">
        <f t="shared" si="26"/>
        <v>0.95479124704824792</v>
      </c>
      <c r="N39">
        <f t="shared" si="27"/>
        <v>2011</v>
      </c>
      <c r="O39" s="2">
        <f t="shared" si="28"/>
        <v>5289.5608297637973</v>
      </c>
      <c r="P39" s="2"/>
      <c r="Q39" s="2"/>
      <c r="R39">
        <f t="shared" si="42"/>
        <v>2011</v>
      </c>
      <c r="S39" s="2">
        <f t="shared" si="12"/>
        <v>7788.6536387430533</v>
      </c>
      <c r="T39" s="2"/>
      <c r="U39" s="2">
        <f t="shared" si="13"/>
        <v>28779.007545468066</v>
      </c>
      <c r="V39" s="2">
        <f t="shared" si="14"/>
        <v>2979.9346879498071</v>
      </c>
      <c r="W39" s="2"/>
      <c r="X39" s="2">
        <f t="shared" si="15"/>
        <v>22749.984548200602</v>
      </c>
      <c r="Y39" s="2">
        <f t="shared" si="16"/>
        <v>46580.399116438472</v>
      </c>
      <c r="Z39" s="2">
        <f t="shared" si="17"/>
        <v>108877.97953680001</v>
      </c>
      <c r="AA39" s="2">
        <f t="shared" si="30"/>
        <v>-5559.8246647703345</v>
      </c>
      <c r="AB39" s="6">
        <f t="shared" si="31"/>
        <v>-4.8583811123964586E-2</v>
      </c>
      <c r="AC39" s="7">
        <f t="shared" si="32"/>
        <v>0.95141618887603541</v>
      </c>
      <c r="AD39" s="2">
        <f t="shared" si="33"/>
        <v>0</v>
      </c>
      <c r="AE39" s="2"/>
      <c r="AG39">
        <f t="shared" si="34"/>
        <v>2011</v>
      </c>
      <c r="AH39" s="6">
        <f t="shared" si="35"/>
        <v>7.1535618789753008E-2</v>
      </c>
      <c r="AI39" s="7"/>
      <c r="AJ39" s="6">
        <f t="shared" si="35"/>
        <v>0.26432349009324663</v>
      </c>
      <c r="AK39" s="6">
        <f t="shared" si="35"/>
        <v>2.7369489226631082E-2</v>
      </c>
      <c r="AL39" s="7"/>
      <c r="AM39" s="6">
        <f t="shared" si="35"/>
        <v>0.20894936372796361</v>
      </c>
      <c r="AN39" s="6">
        <f t="shared" si="36"/>
        <v>0.42782203816240566</v>
      </c>
      <c r="AO39" s="6">
        <f t="shared" si="37"/>
        <v>1</v>
      </c>
      <c r="AP39" s="7">
        <f t="shared" si="38"/>
        <v>0.57217796183759428</v>
      </c>
      <c r="AQ39" s="7">
        <f t="shared" si="39"/>
        <v>0</v>
      </c>
    </row>
    <row r="40" spans="1:43" x14ac:dyDescent="0.25">
      <c r="A40">
        <f t="shared" si="11"/>
        <v>2012</v>
      </c>
      <c r="B40" s="2">
        <f t="shared" si="18"/>
        <v>9020.8186443922041</v>
      </c>
      <c r="C40" s="2"/>
      <c r="D40" s="2">
        <f t="shared" si="19"/>
        <v>33326.090737652019</v>
      </c>
      <c r="E40" s="2">
        <f t="shared" si="20"/>
        <v>3517.5149056559526</v>
      </c>
      <c r="F40" s="2"/>
      <c r="G40" s="2">
        <f t="shared" si="21"/>
        <v>28126.649178100783</v>
      </c>
      <c r="H40" s="2">
        <f t="shared" si="22"/>
        <v>48466.905280654231</v>
      </c>
      <c r="I40" s="2">
        <f t="shared" si="23"/>
        <v>122457.97874645519</v>
      </c>
      <c r="J40" s="2">
        <f t="shared" si="24"/>
        <v>8290.4383798913914</v>
      </c>
      <c r="K40" s="6">
        <f t="shared" si="25"/>
        <v>7.2616422787710411E-2</v>
      </c>
      <c r="L40" s="7">
        <f t="shared" si="26"/>
        <v>1.0726164227877104</v>
      </c>
      <c r="N40">
        <f t="shared" si="27"/>
        <v>2012</v>
      </c>
      <c r="O40" s="2">
        <f t="shared" si="28"/>
        <v>5384.7729246995459</v>
      </c>
      <c r="P40" s="2"/>
      <c r="Q40" s="2"/>
      <c r="R40">
        <f t="shared" si="42"/>
        <v>2012</v>
      </c>
      <c r="S40" s="2">
        <f t="shared" ref="S40" si="43">B40-($O40/5)</f>
        <v>7943.8640594522949</v>
      </c>
      <c r="T40" s="2"/>
      <c r="U40" s="2">
        <f t="shared" ref="U40" si="44">D40-($O40/5)</f>
        <v>32249.136152712112</v>
      </c>
      <c r="V40" s="2">
        <f t="shared" ref="V40" si="45">E40-($O40/5)</f>
        <v>2440.5603207160434</v>
      </c>
      <c r="W40" s="2"/>
      <c r="X40" s="2">
        <f t="shared" ref="X40" si="46">G40-($O40/5)</f>
        <v>27049.694593160872</v>
      </c>
      <c r="Y40" s="2">
        <f t="shared" ref="Y40" si="47">H40-($O40/5)</f>
        <v>47389.950695714324</v>
      </c>
      <c r="Z40" s="2">
        <f t="shared" ref="Z40" si="48">SUM(S40:Y40)</f>
        <v>117073.20582175566</v>
      </c>
      <c r="AA40" s="2">
        <f t="shared" si="30"/>
        <v>8195.2262849556573</v>
      </c>
      <c r="AB40" s="6">
        <f t="shared" si="31"/>
        <v>7.526982333636828E-2</v>
      </c>
      <c r="AC40" s="7">
        <f t="shared" si="32"/>
        <v>1.0752698233363682</v>
      </c>
      <c r="AD40" s="2">
        <f t="shared" si="33"/>
        <v>0</v>
      </c>
      <c r="AE40" s="2"/>
      <c r="AG40">
        <f t="shared" si="34"/>
        <v>2012</v>
      </c>
      <c r="AH40" s="6">
        <f t="shared" si="35"/>
        <v>6.7853818503499891E-2</v>
      </c>
      <c r="AI40" s="7"/>
      <c r="AJ40" s="6">
        <f t="shared" si="35"/>
        <v>0.27546128874109355</v>
      </c>
      <c r="AK40" s="6">
        <f t="shared" si="35"/>
        <v>2.0846446491196324E-2</v>
      </c>
      <c r="AL40" s="7"/>
      <c r="AM40" s="6">
        <f t="shared" si="35"/>
        <v>0.23104940539805599</v>
      </c>
      <c r="AN40" s="6">
        <f t="shared" si="36"/>
        <v>0.40478904086615408</v>
      </c>
      <c r="AO40" s="6">
        <f t="shared" si="37"/>
        <v>0.99999999999999989</v>
      </c>
      <c r="AP40" s="7">
        <f t="shared" si="38"/>
        <v>0.59521095913384581</v>
      </c>
      <c r="AQ40" s="7">
        <f t="shared" si="39"/>
        <v>0</v>
      </c>
    </row>
    <row r="41" spans="1:43" x14ac:dyDescent="0.25">
      <c r="A41">
        <f t="shared" si="11"/>
        <v>2013</v>
      </c>
      <c r="B41" s="2">
        <f t="shared" si="18"/>
        <v>10500.199513784044</v>
      </c>
      <c r="C41" s="2"/>
      <c r="D41" s="2">
        <f t="shared" si="19"/>
        <v>43536.333806161354</v>
      </c>
      <c r="E41" s="2">
        <f t="shared" si="20"/>
        <v>3358.6991133694187</v>
      </c>
      <c r="F41" s="2"/>
      <c r="G41" s="2">
        <f t="shared" si="21"/>
        <v>32356.897214487137</v>
      </c>
      <c r="H41" s="2">
        <f t="shared" si="22"/>
        <v>46318.937809991185</v>
      </c>
      <c r="I41" s="2">
        <f t="shared" ref="I41:I42" si="49">SUM(B41:H41)</f>
        <v>136071.06745779313</v>
      </c>
      <c r="J41" s="2">
        <f t="shared" ref="J41:J42" si="50">I41-I40</f>
        <v>13613.088711337943</v>
      </c>
      <c r="K41" s="6">
        <f t="shared" ref="K41:K42" si="51">(J41/I40)</f>
        <v>0.11116538792072789</v>
      </c>
      <c r="L41" s="7">
        <f t="shared" ref="L41:L42" si="52">K41+1</f>
        <v>1.1111653879207279</v>
      </c>
      <c r="N41">
        <f t="shared" ref="N41:N42" si="53">A41</f>
        <v>2013</v>
      </c>
      <c r="O41" s="2">
        <f t="shared" si="28"/>
        <v>5446.9989139694262</v>
      </c>
      <c r="P41" s="2"/>
      <c r="Q41" s="2"/>
      <c r="R41">
        <f t="shared" ref="R41:R42" si="54">A41</f>
        <v>2013</v>
      </c>
      <c r="S41" s="2">
        <f t="shared" ref="S41:S42" si="55">B41-($O41/5)</f>
        <v>9410.7997309901584</v>
      </c>
      <c r="T41" s="2"/>
      <c r="U41" s="2">
        <f t="shared" ref="U41:U42" si="56">D41-($O41/5)</f>
        <v>42446.934023367467</v>
      </c>
      <c r="V41" s="2">
        <f t="shared" ref="V41:V42" si="57">E41-($O41/5)</f>
        <v>2269.2993305755335</v>
      </c>
      <c r="W41" s="2"/>
      <c r="X41" s="2">
        <f t="shared" ref="X41:X42" si="58">G41-($O41/5)</f>
        <v>31267.497431693253</v>
      </c>
      <c r="Y41" s="2">
        <f t="shared" ref="Y41:Y42" si="59">H41-($O41/5)</f>
        <v>45229.538027197297</v>
      </c>
      <c r="Z41" s="2">
        <f t="shared" ref="Z41:Z42" si="60">SUM(S41:Y41)</f>
        <v>130624.06854382371</v>
      </c>
      <c r="AA41" s="2">
        <f t="shared" ref="AA41:AA42" si="61">Z41-Z40</f>
        <v>13550.86272206805</v>
      </c>
      <c r="AB41" s="6">
        <f t="shared" ref="AB41:AB42" si="62">(AA41/Z40)</f>
        <v>0.11574691772513074</v>
      </c>
      <c r="AC41" s="7">
        <f t="shared" ref="AC41:AC42" si="63">AB41+1</f>
        <v>1.1157469177251307</v>
      </c>
      <c r="AD41" s="2">
        <f t="shared" ref="AD41:AD42" si="64">Z41-(I41-O41)</f>
        <v>0</v>
      </c>
      <c r="AE41" s="2"/>
      <c r="AG41">
        <f t="shared" ref="AG41:AG42" si="65">A41</f>
        <v>2013</v>
      </c>
      <c r="AH41" s="6">
        <f t="shared" ref="AH41:AH42" si="66">S41/$Z41</f>
        <v>7.204491358981735E-2</v>
      </c>
      <c r="AI41" s="7"/>
      <c r="AJ41" s="6">
        <f t="shared" ref="AJ41:AJ42" si="67">U41/$Z41</f>
        <v>0.32495492214075949</v>
      </c>
      <c r="AK41" s="6">
        <f t="shared" ref="AK41:AK42" si="68">V41/$Z41</f>
        <v>1.7372750335166564E-2</v>
      </c>
      <c r="AL41" s="7"/>
      <c r="AM41" s="6">
        <f t="shared" ref="AM41:AM42" si="69">X41/$Z41</f>
        <v>0.23937010828293995</v>
      </c>
      <c r="AN41" s="6">
        <f t="shared" ref="AN41:AN42" si="70">Y41/$Z41</f>
        <v>0.34625730565131663</v>
      </c>
      <c r="AO41" s="6">
        <f t="shared" ref="AO41:AO42" si="71">SUM(AH41:AN41)</f>
        <v>1</v>
      </c>
      <c r="AP41" s="7">
        <f t="shared" ref="AP41:AP42" si="72">SUM(AH41:AM41)</f>
        <v>0.65374269434868337</v>
      </c>
      <c r="AQ41" s="7">
        <f t="shared" ref="AQ41:AQ42" si="73">AO41-(AP41+AN41)</f>
        <v>0</v>
      </c>
    </row>
    <row r="42" spans="1:43" x14ac:dyDescent="0.25">
      <c r="A42">
        <f t="shared" si="11"/>
        <v>2014</v>
      </c>
      <c r="B42" s="2">
        <f t="shared" si="18"/>
        <v>10682.198774646929</v>
      </c>
      <c r="C42" s="2"/>
      <c r="D42" s="2">
        <f t="shared" si="19"/>
        <v>48219.717050545449</v>
      </c>
      <c r="E42" s="2">
        <f t="shared" si="20"/>
        <v>2436.5466912389506</v>
      </c>
      <c r="F42" s="2"/>
      <c r="G42" s="2">
        <f t="shared" si="21"/>
        <v>30984.964772592881</v>
      </c>
      <c r="H42" s="2">
        <f t="shared" si="22"/>
        <v>47834.759417563866</v>
      </c>
      <c r="I42" s="2">
        <f t="shared" si="49"/>
        <v>140158.18670658808</v>
      </c>
      <c r="J42" s="2">
        <f t="shared" si="50"/>
        <v>4087.1192487949447</v>
      </c>
      <c r="K42" s="6">
        <f t="shared" si="51"/>
        <v>3.0036651620027142E-2</v>
      </c>
      <c r="L42" s="7">
        <f t="shared" si="52"/>
        <v>1.0300366516200272</v>
      </c>
      <c r="N42">
        <f t="shared" si="53"/>
        <v>2014</v>
      </c>
      <c r="O42" s="2">
        <f t="shared" si="28"/>
        <v>5517.265199959631</v>
      </c>
      <c r="P42" s="2"/>
      <c r="Q42" s="2"/>
      <c r="R42">
        <f t="shared" si="54"/>
        <v>2014</v>
      </c>
      <c r="S42" s="2">
        <f t="shared" si="55"/>
        <v>9578.7457346550036</v>
      </c>
      <c r="T42" s="2"/>
      <c r="U42" s="2">
        <f t="shared" si="56"/>
        <v>47116.264010553525</v>
      </c>
      <c r="V42" s="2">
        <f t="shared" si="57"/>
        <v>1333.0936512470244</v>
      </c>
      <c r="W42" s="2"/>
      <c r="X42" s="2">
        <f t="shared" si="58"/>
        <v>29881.511732600953</v>
      </c>
      <c r="Y42" s="2">
        <f t="shared" si="59"/>
        <v>46731.306377571942</v>
      </c>
      <c r="Z42" s="2">
        <f t="shared" si="60"/>
        <v>134640.92150662845</v>
      </c>
      <c r="AA42" s="2">
        <f t="shared" si="61"/>
        <v>4016.8529628047399</v>
      </c>
      <c r="AB42" s="6">
        <f t="shared" si="62"/>
        <v>3.0751246746361344E-2</v>
      </c>
      <c r="AC42" s="7">
        <f t="shared" si="63"/>
        <v>1.0307512467463613</v>
      </c>
      <c r="AD42" s="2">
        <f t="shared" si="64"/>
        <v>0</v>
      </c>
      <c r="AE42" s="2"/>
      <c r="AG42">
        <f t="shared" si="65"/>
        <v>2014</v>
      </c>
      <c r="AH42" s="6">
        <f t="shared" si="66"/>
        <v>7.1142900891267569E-2</v>
      </c>
      <c r="AI42" s="7"/>
      <c r="AJ42" s="6">
        <f t="shared" si="67"/>
        <v>0.34994014808665702</v>
      </c>
      <c r="AK42" s="6">
        <f t="shared" si="68"/>
        <v>9.9011031440496746E-3</v>
      </c>
      <c r="AL42" s="7"/>
      <c r="AM42" s="6">
        <f t="shared" si="69"/>
        <v>0.22193484267804769</v>
      </c>
      <c r="AN42" s="6">
        <f t="shared" si="70"/>
        <v>0.34708100519997803</v>
      </c>
      <c r="AO42" s="6">
        <f t="shared" si="71"/>
        <v>1</v>
      </c>
      <c r="AP42" s="7">
        <f t="shared" si="72"/>
        <v>0.65291899480002202</v>
      </c>
      <c r="AQ42" s="7">
        <f t="shared" si="73"/>
        <v>0</v>
      </c>
    </row>
    <row r="43" spans="1:43" x14ac:dyDescent="0.25">
      <c r="A43">
        <f t="shared" si="11"/>
        <v>2015</v>
      </c>
      <c r="B43" s="2">
        <f t="shared" si="18"/>
        <v>9698.4800563381905</v>
      </c>
      <c r="C43" s="2"/>
      <c r="D43" s="2">
        <f t="shared" si="19"/>
        <v>46428.366555999448</v>
      </c>
      <c r="E43" s="2">
        <f t="shared" si="20"/>
        <v>1282.7027112298867</v>
      </c>
      <c r="F43" s="2"/>
      <c r="G43" s="2">
        <f t="shared" si="21"/>
        <v>29630.921812030574</v>
      </c>
      <c r="H43" s="2">
        <f t="shared" si="22"/>
        <v>46871.500296704653</v>
      </c>
      <c r="I43" s="2">
        <f t="shared" ref="I43" si="74">SUM(B43:H43)</f>
        <v>133911.97143230276</v>
      </c>
      <c r="J43" s="2">
        <f t="shared" ref="J43" si="75">I43-I42</f>
        <v>-6246.2152742853214</v>
      </c>
      <c r="K43" s="6">
        <f t="shared" ref="K43" si="76">(J43/I42)</f>
        <v>-4.456546863981168E-2</v>
      </c>
      <c r="L43" s="7">
        <f t="shared" ref="L43" si="77">K43+1</f>
        <v>0.9554345313601883</v>
      </c>
      <c r="N43">
        <f t="shared" ref="N43" si="78">A43</f>
        <v>2015</v>
      </c>
      <c r="O43" s="2">
        <f t="shared" si="28"/>
        <v>5541.5411668394536</v>
      </c>
      <c r="P43" s="2"/>
      <c r="Q43" s="2"/>
      <c r="R43">
        <f t="shared" ref="R43" si="79">A43</f>
        <v>2015</v>
      </c>
      <c r="S43" s="2">
        <f t="shared" ref="S43" si="80">B43-($O43/5)</f>
        <v>8590.1718229703001</v>
      </c>
      <c r="T43" s="2"/>
      <c r="U43" s="2">
        <f t="shared" ref="U43" si="81">D43-($O43/5)</f>
        <v>45320.058322631558</v>
      </c>
      <c r="V43" s="2">
        <f t="shared" ref="V43" si="82">E43-($O43/5)</f>
        <v>174.39447786199594</v>
      </c>
      <c r="W43" s="2"/>
      <c r="X43" s="2">
        <f t="shared" ref="X43" si="83">G43-($O43/5)</f>
        <v>28522.613578662684</v>
      </c>
      <c r="Y43" s="2">
        <f t="shared" ref="Y43" si="84">H43-($O43/5)</f>
        <v>45763.192063336763</v>
      </c>
      <c r="Z43" s="2">
        <f t="shared" ref="Z43" si="85">SUM(S43:Y43)</f>
        <v>128370.43026546331</v>
      </c>
      <c r="AA43" s="2">
        <f t="shared" ref="AA43" si="86">Z43-Z42</f>
        <v>-6270.4912411651458</v>
      </c>
      <c r="AB43" s="6">
        <f t="shared" ref="AB43" si="87">(AA43/Z42)</f>
        <v>-4.657195725488588E-2</v>
      </c>
      <c r="AC43" s="7">
        <f t="shared" ref="AC43" si="88">AB43+1</f>
        <v>0.95342804274511417</v>
      </c>
      <c r="AD43" s="2">
        <f t="shared" ref="AD43" si="89">Z43-(I43-O43)</f>
        <v>0</v>
      </c>
      <c r="AE43" s="2"/>
      <c r="AG43">
        <f t="shared" ref="AG43" si="90">A43</f>
        <v>2015</v>
      </c>
      <c r="AH43" s="6">
        <f t="shared" ref="AH43" si="91">S43/$Z43</f>
        <v>6.691706030124131E-2</v>
      </c>
      <c r="AI43" s="7"/>
      <c r="AJ43" s="6">
        <f t="shared" ref="AJ43" si="92">U43/$Z43</f>
        <v>0.35304125902602379</v>
      </c>
      <c r="AK43" s="6">
        <f t="shared" ref="AK43" si="93">V43/$Z43</f>
        <v>1.3585253044751608E-3</v>
      </c>
      <c r="AL43" s="7"/>
      <c r="AM43" s="6">
        <f t="shared" ref="AM43" si="94">X43/$Z43</f>
        <v>0.22218990401200198</v>
      </c>
      <c r="AN43" s="6">
        <f t="shared" ref="AN43" si="95">Y43/$Z43</f>
        <v>0.3564932513562577</v>
      </c>
      <c r="AO43" s="6">
        <f t="shared" ref="AO43" si="96">SUM(AH43:AN43)</f>
        <v>1</v>
      </c>
      <c r="AP43" s="7">
        <f t="shared" ref="AP43" si="97">SUM(AH43:AM43)</f>
        <v>0.64350674864374224</v>
      </c>
      <c r="AQ43" s="7">
        <f t="shared" ref="AQ43" si="98">AO43-(AP43+AN43)</f>
        <v>0</v>
      </c>
    </row>
    <row r="44" spans="1:43" x14ac:dyDescent="0.25">
      <c r="A44">
        <f t="shared" ref="A44:A45" si="99">A20</f>
        <v>2016</v>
      </c>
      <c r="B44" s="2">
        <f t="shared" ref="B44:B45" si="100">S43*(1+(B20/100))</f>
        <v>9605.5301324453903</v>
      </c>
      <c r="C44" s="2"/>
      <c r="D44" s="2">
        <f t="shared" ref="D44:E44" si="101">U43*(1+(D20/100))</f>
        <v>50336.98877894687</v>
      </c>
      <c r="E44" s="2">
        <f t="shared" si="101"/>
        <v>206.0819544895206</v>
      </c>
      <c r="F44" s="2"/>
      <c r="G44" s="2">
        <f t="shared" ref="G44:G45" si="102">G43*(1+(G20/100))</f>
        <v>31008.759676289996</v>
      </c>
      <c r="H44" s="2">
        <f t="shared" ref="H44:H45" si="103">Y43*(1+(H20/100))</f>
        <v>46907.271864920178</v>
      </c>
      <c r="I44" s="2">
        <f t="shared" ref="I44:I45" si="104">SUM(B44:H44)</f>
        <v>138064.63240709197</v>
      </c>
      <c r="J44" s="2">
        <f t="shared" ref="J44:J45" si="105">I44-I43</f>
        <v>4152.6609747892071</v>
      </c>
      <c r="K44" s="6">
        <f t="shared" ref="K44:K45" si="106">(J44/I43)</f>
        <v>3.101037891066016E-2</v>
      </c>
      <c r="L44" s="7">
        <f t="shared" ref="L44:L45" si="107">K44+1</f>
        <v>1.0310103789106602</v>
      </c>
      <c r="N44">
        <f t="shared" ref="N44:N45" si="108">A44</f>
        <v>2016</v>
      </c>
      <c r="O44" s="2">
        <f t="shared" ref="O44:O45" si="109">O43*(1+O20)</f>
        <v>5635.7473666757242</v>
      </c>
      <c r="P44" s="2"/>
      <c r="Q44" s="2"/>
      <c r="R44">
        <f t="shared" ref="R44:R45" si="110">A44</f>
        <v>2016</v>
      </c>
      <c r="S44" s="2">
        <f t="shared" ref="S44:S45" si="111">B44-($O44/5)</f>
        <v>8478.3806591102457</v>
      </c>
      <c r="T44" s="2"/>
      <c r="U44" s="2">
        <f t="shared" ref="U44:U45" si="112">D44-($O44/5)</f>
        <v>49209.839305611727</v>
      </c>
      <c r="V44" s="2">
        <f t="shared" ref="V44:V45" si="113">E44-($O44/5)</f>
        <v>-921.06751884562425</v>
      </c>
      <c r="W44" s="2"/>
      <c r="X44" s="2">
        <f t="shared" ref="X44:X45" si="114">G44-($O44/5)</f>
        <v>29881.610202954849</v>
      </c>
      <c r="Y44" s="2">
        <f t="shared" ref="Y44:Y45" si="115">H44-($O44/5)</f>
        <v>45780.122391585035</v>
      </c>
      <c r="Z44" s="2">
        <f t="shared" ref="Z44:Z45" si="116">SUM(S44:Y44)</f>
        <v>132428.88504041624</v>
      </c>
      <c r="AA44" s="2">
        <f t="shared" ref="AA44:AA45" si="117">Z44-Z43</f>
        <v>4058.4547749529302</v>
      </c>
      <c r="AB44" s="6">
        <f t="shared" ref="AB44:AB45" si="118">(AA44/Z43)</f>
        <v>3.1615184015199284E-2</v>
      </c>
      <c r="AC44" s="7">
        <f t="shared" ref="AC44:AC45" si="119">AB44+1</f>
        <v>1.0316151840151992</v>
      </c>
      <c r="AD44" s="2">
        <f t="shared" ref="AD44:AD45" si="120">Z44-(I44-O44)</f>
        <v>0</v>
      </c>
      <c r="AE44" s="2"/>
      <c r="AG44">
        <f t="shared" ref="AG44:AG45" si="121">A44</f>
        <v>2016</v>
      </c>
      <c r="AH44" s="6">
        <f t="shared" ref="AH44:AH45" si="122">S44/$Z44</f>
        <v>6.4022140309666672E-2</v>
      </c>
      <c r="AI44" s="7"/>
      <c r="AJ44" s="6">
        <f t="shared" ref="AJ44:AJ45" si="123">U44/$Z44</f>
        <v>0.37159445456777257</v>
      </c>
      <c r="AK44" s="6">
        <f t="shared" ref="AK44:AK45" si="124">V44/$Z44</f>
        <v>-6.955185936697434E-3</v>
      </c>
      <c r="AL44" s="7"/>
      <c r="AM44" s="6">
        <f t="shared" ref="AM44:AM45" si="125">X44/$Z44</f>
        <v>0.22564269263337239</v>
      </c>
      <c r="AN44" s="6">
        <f t="shared" ref="AN44:AN45" si="126">Y44/$Z44</f>
        <v>0.34569589842588577</v>
      </c>
      <c r="AO44" s="6">
        <f t="shared" ref="AO44:AO45" si="127">SUM(AH44:AN44)</f>
        <v>1</v>
      </c>
      <c r="AP44" s="7">
        <f t="shared" ref="AP44:AP45" si="128">SUM(AH44:AM44)</f>
        <v>0.65430410157411423</v>
      </c>
      <c r="AQ44" s="7">
        <f t="shared" ref="AQ44:AQ45" si="129">AO44-(AP44+AN44)</f>
        <v>0</v>
      </c>
    </row>
    <row r="45" spans="1:43" x14ac:dyDescent="0.25">
      <c r="A45">
        <f t="shared" si="99"/>
        <v>2017</v>
      </c>
      <c r="B45" s="2">
        <f t="shared" si="100"/>
        <v>10315.645747939436</v>
      </c>
      <c r="C45" s="2"/>
      <c r="D45" s="2">
        <f t="shared" ref="D45:E45" si="130">U44*(1+(D21/100))</f>
        <v>58854.967809511625</v>
      </c>
      <c r="E45" s="2">
        <f t="shared" si="130"/>
        <v>-1069.3593893797697</v>
      </c>
      <c r="F45" s="2"/>
      <c r="G45" s="2">
        <f t="shared" si="102"/>
        <v>39505.159827593452</v>
      </c>
      <c r="H45" s="2">
        <f t="shared" si="103"/>
        <v>47364.114626333874</v>
      </c>
      <c r="I45" s="2">
        <f t="shared" si="104"/>
        <v>154970.52862199862</v>
      </c>
      <c r="J45" s="2">
        <f t="shared" si="105"/>
        <v>16905.89621490665</v>
      </c>
      <c r="K45" s="6">
        <f t="shared" si="106"/>
        <v>0.1224491451587586</v>
      </c>
      <c r="L45" s="7">
        <f t="shared" si="107"/>
        <v>1.1224491451587586</v>
      </c>
      <c r="N45">
        <f t="shared" si="108"/>
        <v>2017</v>
      </c>
      <c r="O45" s="2">
        <f t="shared" si="109"/>
        <v>5761.4245329525929</v>
      </c>
      <c r="P45" s="2"/>
      <c r="Q45" s="2"/>
      <c r="R45">
        <f t="shared" si="110"/>
        <v>2017</v>
      </c>
      <c r="S45" s="2">
        <f t="shared" si="111"/>
        <v>9163.3608413489164</v>
      </c>
      <c r="T45" s="2"/>
      <c r="U45" s="2">
        <f t="shared" si="112"/>
        <v>57702.682902921108</v>
      </c>
      <c r="V45" s="2">
        <f t="shared" si="113"/>
        <v>-2221.6442959702881</v>
      </c>
      <c r="W45" s="2"/>
      <c r="X45" s="2">
        <f t="shared" si="114"/>
        <v>38352.874921002935</v>
      </c>
      <c r="Y45" s="2">
        <f t="shared" si="115"/>
        <v>46211.829719743357</v>
      </c>
      <c r="Z45" s="2">
        <f t="shared" si="116"/>
        <v>149209.10408904601</v>
      </c>
      <c r="AA45" s="2">
        <f t="shared" si="117"/>
        <v>16780.219048629777</v>
      </c>
      <c r="AB45" s="6">
        <f t="shared" si="118"/>
        <v>0.12671117062949361</v>
      </c>
      <c r="AC45" s="7">
        <f t="shared" si="119"/>
        <v>1.1267111706294937</v>
      </c>
      <c r="AD45" s="2">
        <f t="shared" si="120"/>
        <v>0</v>
      </c>
      <c r="AE45" s="2"/>
      <c r="AG45">
        <f t="shared" si="121"/>
        <v>2017</v>
      </c>
      <c r="AH45" s="6">
        <f t="shared" si="122"/>
        <v>6.1412880248113706E-2</v>
      </c>
      <c r="AI45" s="7"/>
      <c r="AJ45" s="6">
        <f t="shared" si="123"/>
        <v>0.38672360681480206</v>
      </c>
      <c r="AK45" s="6">
        <f t="shared" si="124"/>
        <v>-1.4889468772927156E-2</v>
      </c>
      <c r="AL45" s="7"/>
      <c r="AM45" s="6">
        <f t="shared" si="125"/>
        <v>0.25704111793416068</v>
      </c>
      <c r="AN45" s="6">
        <f t="shared" si="126"/>
        <v>0.30971186377585075</v>
      </c>
      <c r="AO45" s="6">
        <f t="shared" si="127"/>
        <v>1</v>
      </c>
      <c r="AP45" s="7">
        <f t="shared" si="128"/>
        <v>0.69028813622414931</v>
      </c>
      <c r="AQ45" s="7">
        <f t="shared" si="129"/>
        <v>0</v>
      </c>
    </row>
    <row r="46" spans="1:43" x14ac:dyDescent="0.25">
      <c r="A46" s="9" t="s">
        <v>41</v>
      </c>
      <c r="B46" s="10">
        <f>S45</f>
        <v>9163.3608413489164</v>
      </c>
      <c r="C46" s="10"/>
      <c r="D46" s="10">
        <f>U45</f>
        <v>57702.682902921108</v>
      </c>
      <c r="E46" s="10">
        <f>V45</f>
        <v>-2221.6442959702881</v>
      </c>
      <c r="F46" s="10"/>
      <c r="G46" s="10">
        <f>X45</f>
        <v>38352.874921002935</v>
      </c>
      <c r="H46" s="10">
        <f>Y45</f>
        <v>46211.829719743357</v>
      </c>
      <c r="I46" s="10">
        <f>SUM(B46:H46)</f>
        <v>149209.10408904601</v>
      </c>
      <c r="J46" s="10"/>
      <c r="K46" s="10"/>
      <c r="N46" t="s">
        <v>68</v>
      </c>
      <c r="O46" s="2">
        <f>O45</f>
        <v>5761.4245329525929</v>
      </c>
      <c r="P46" s="2"/>
      <c r="R46" s="67" t="s">
        <v>41</v>
      </c>
      <c r="S46" s="10">
        <f>S45</f>
        <v>9163.3608413489164</v>
      </c>
      <c r="T46" s="10"/>
      <c r="U46" s="10">
        <f>U45</f>
        <v>57702.682902921108</v>
      </c>
      <c r="V46" s="10">
        <f>V45</f>
        <v>-2221.6442959702881</v>
      </c>
      <c r="W46" s="10"/>
      <c r="X46" s="10">
        <f>X45</f>
        <v>38352.874921002935</v>
      </c>
      <c r="Y46" s="10">
        <f>Y45</f>
        <v>46211.829719743357</v>
      </c>
      <c r="Z46" s="10">
        <f>SUM(S46:Y46)</f>
        <v>149209.10408904601</v>
      </c>
      <c r="AA46" s="40"/>
      <c r="AB46" s="40"/>
      <c r="AC46" s="40"/>
      <c r="AD46" s="40"/>
      <c r="AE46" s="40"/>
      <c r="AH46" s="6"/>
      <c r="AK46" s="7"/>
      <c r="AN46" s="6"/>
    </row>
    <row r="47" spans="1:43" x14ac:dyDescent="0.25">
      <c r="A47" s="11" t="s">
        <v>28</v>
      </c>
      <c r="I47" s="6">
        <f>(Z46-Z27)/Z27</f>
        <v>0.49209104089046013</v>
      </c>
      <c r="K47" s="6"/>
      <c r="N47" t="s">
        <v>114</v>
      </c>
      <c r="O47" s="2">
        <f>SUM(O28:O45)</f>
        <v>89231.099390012838</v>
      </c>
      <c r="P47" s="2"/>
    </row>
    <row r="48" spans="1:43" x14ac:dyDescent="0.25">
      <c r="A48" s="1" t="s">
        <v>29</v>
      </c>
      <c r="I48" s="12">
        <f>STDEV(AC28:AC45)</f>
        <v>0.11658980690694581</v>
      </c>
    </row>
    <row r="49" spans="1:16" x14ac:dyDescent="0.25">
      <c r="A49" s="1" t="s">
        <v>30</v>
      </c>
      <c r="I49" s="13">
        <f>((1+I47)^(1/I56))-1</f>
        <v>2.2481115647835948E-2</v>
      </c>
    </row>
    <row r="50" spans="1:16" x14ac:dyDescent="0.25">
      <c r="A50" s="1" t="s">
        <v>45</v>
      </c>
      <c r="I50" s="28">
        <f>J36</f>
        <v>-38119.951776779737</v>
      </c>
      <c r="O50" s="2"/>
      <c r="P50" s="2"/>
    </row>
    <row r="51" spans="1:16" x14ac:dyDescent="0.25">
      <c r="A51" s="1" t="s">
        <v>46</v>
      </c>
      <c r="I51" s="29">
        <f>K36</f>
        <v>-0.29012657235089345</v>
      </c>
    </row>
    <row r="52" spans="1:16" x14ac:dyDescent="0.25">
      <c r="A52" s="1" t="s">
        <v>22</v>
      </c>
      <c r="I52" s="2">
        <f>O47</f>
        <v>89231.099390012838</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56"/>
  <sheetViews>
    <sheetView topLeftCell="A21" workbookViewId="0">
      <pane ySplit="900" topLeftCell="A20" activePane="bottomLeft"/>
      <selection activeCell="C40" sqref="C40"/>
      <selection pane="bottomLeft" activeCell="C40" sqref="C40"/>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95</v>
      </c>
      <c r="N1" s="18" t="s">
        <v>67</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 Withdrawals-No Rebalancing'!N21</f>
        <v>2017</v>
      </c>
      <c r="O21" s="47">
        <f>'4% Withdrawals-No Rebalancing'!O21</f>
        <v>2.23E-2</v>
      </c>
      <c r="P21" s="41"/>
    </row>
    <row r="24" spans="1:65" x14ac:dyDescent="0.25">
      <c r="A24" s="18" t="s">
        <v>12</v>
      </c>
      <c r="N24" s="18" t="s">
        <v>119</v>
      </c>
      <c r="R24" s="18" t="s">
        <v>17</v>
      </c>
      <c r="AG24" s="18" t="s">
        <v>18</v>
      </c>
      <c r="AS24" s="18" t="s">
        <v>121</v>
      </c>
      <c r="BC24" s="18" t="s">
        <v>19</v>
      </c>
    </row>
    <row r="25" spans="1:65"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S25" s="4" t="str">
        <f t="shared" ref="S25:Y25"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5" t="s">
        <v>7</v>
      </c>
      <c r="AT25" s="4" t="str">
        <f t="shared" ref="AT25:AZ26" si="3">AH25</f>
        <v>LC Stocks</v>
      </c>
      <c r="AU25" s="4" t="str">
        <f t="shared" si="3"/>
        <v>Ext Mkt</v>
      </c>
      <c r="AV25" s="4" t="str">
        <f t="shared" si="3"/>
        <v>Mcap Stk</v>
      </c>
      <c r="AW25" s="4" t="str">
        <f t="shared" si="3"/>
        <v>Small Cap</v>
      </c>
      <c r="AX25" s="4" t="str">
        <f t="shared" si="3"/>
        <v>Intl Val</v>
      </c>
      <c r="AY25" s="4" t="str">
        <f t="shared" si="3"/>
        <v>Tot Int Stk</v>
      </c>
      <c r="AZ25" s="4" t="str">
        <f t="shared" si="3"/>
        <v>Bonds</v>
      </c>
      <c r="BA25" s="5"/>
      <c r="BD25" s="4" t="str">
        <f>AT25</f>
        <v>LC Stocks</v>
      </c>
      <c r="BE25" s="4" t="str">
        <f t="shared" ref="BE25:BK27" si="4">AU25</f>
        <v>Ext Mkt</v>
      </c>
      <c r="BF25" s="4" t="str">
        <f t="shared" si="4"/>
        <v>Mcap Stk</v>
      </c>
      <c r="BG25" s="4" t="str">
        <f t="shared" si="4"/>
        <v>Small Cap</v>
      </c>
      <c r="BH25" s="4" t="str">
        <f t="shared" si="4"/>
        <v>Intl Val</v>
      </c>
      <c r="BI25" s="4" t="str">
        <f t="shared" si="4"/>
        <v>Tot Int Stk</v>
      </c>
      <c r="BJ25" s="4" t="str">
        <f t="shared" si="4"/>
        <v>Bonds</v>
      </c>
      <c r="BK25" s="4"/>
      <c r="BL25" t="s">
        <v>51</v>
      </c>
    </row>
    <row r="26" spans="1:65"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ref="S26:Z27" si="5">B26</f>
        <v>VFINX</v>
      </c>
      <c r="T26" s="4" t="str">
        <f t="shared" si="5"/>
        <v>VEXMX</v>
      </c>
      <c r="U26" s="4" t="str">
        <f t="shared" si="5"/>
        <v>VIMSX</v>
      </c>
      <c r="V26" s="4" t="str">
        <f t="shared" si="5"/>
        <v>NAESX</v>
      </c>
      <c r="W26" s="4" t="str">
        <f t="shared" si="5"/>
        <v>VTRIX</v>
      </c>
      <c r="X26" s="4" t="str">
        <f t="shared" si="5"/>
        <v>VGTSX</v>
      </c>
      <c r="Y26" s="4" t="str">
        <f t="shared" si="5"/>
        <v>VBMFX</v>
      </c>
      <c r="Z26" s="5" t="str">
        <f t="shared" si="5"/>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5" t="s">
        <v>50</v>
      </c>
      <c r="AS26" t="str">
        <f>AG26</f>
        <v>Fund</v>
      </c>
      <c r="AT26" s="4" t="str">
        <f t="shared" si="3"/>
        <v>VFINX</v>
      </c>
      <c r="AU26" s="4" t="str">
        <f t="shared" si="3"/>
        <v>VEXMX</v>
      </c>
      <c r="AV26" s="4" t="str">
        <f t="shared" si="3"/>
        <v>VIMSX</v>
      </c>
      <c r="AW26" s="4" t="str">
        <f t="shared" si="3"/>
        <v>NAESX</v>
      </c>
      <c r="AX26" s="4" t="str">
        <f t="shared" si="3"/>
        <v>VTRIX</v>
      </c>
      <c r="AY26" s="4" t="str">
        <f t="shared" si="3"/>
        <v>VGTSX</v>
      </c>
      <c r="AZ26" s="4" t="str">
        <f t="shared" si="3"/>
        <v>VBMFX</v>
      </c>
      <c r="BA26" s="4" t="str">
        <f>AO26</f>
        <v>Total</v>
      </c>
      <c r="BC26" t="s">
        <v>116</v>
      </c>
      <c r="BD26" s="4" t="str">
        <f>AT26</f>
        <v>VFINX</v>
      </c>
      <c r="BE26" s="4" t="str">
        <f t="shared" si="4"/>
        <v>VEXMX</v>
      </c>
      <c r="BF26" s="4" t="str">
        <f t="shared" si="4"/>
        <v>VIMSX</v>
      </c>
      <c r="BG26" s="4" t="str">
        <f t="shared" si="4"/>
        <v>NAESX</v>
      </c>
      <c r="BH26" s="4" t="str">
        <f t="shared" si="4"/>
        <v>VTRIX</v>
      </c>
      <c r="BI26" s="4" t="str">
        <f t="shared" si="4"/>
        <v>VGTSX</v>
      </c>
      <c r="BJ26" s="4" t="str">
        <f t="shared" si="4"/>
        <v>VBMFX</v>
      </c>
      <c r="BK26" s="4" t="str">
        <f t="shared" si="4"/>
        <v>Total</v>
      </c>
      <c r="BL26" t="s">
        <v>50</v>
      </c>
    </row>
    <row r="27" spans="1:65"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R27" t="str">
        <f>A27</f>
        <v>Stating Balance</v>
      </c>
      <c r="S27" s="2">
        <f>B27</f>
        <v>20000</v>
      </c>
      <c r="T27" s="2">
        <f t="shared" si="5"/>
        <v>0</v>
      </c>
      <c r="U27" s="2">
        <f t="shared" si="5"/>
        <v>20000</v>
      </c>
      <c r="V27" s="2">
        <f t="shared" si="5"/>
        <v>10000</v>
      </c>
      <c r="W27" s="2">
        <f t="shared" si="5"/>
        <v>0</v>
      </c>
      <c r="X27" s="2">
        <f t="shared" si="5"/>
        <v>20000</v>
      </c>
      <c r="Y27" s="2">
        <f t="shared" si="5"/>
        <v>30000</v>
      </c>
      <c r="Z27" s="2">
        <f t="shared" si="5"/>
        <v>100000</v>
      </c>
      <c r="AD27" s="2"/>
      <c r="AE27" s="2"/>
      <c r="AG27" s="19" t="s">
        <v>49</v>
      </c>
      <c r="AH27" s="6">
        <f t="shared" ref="AH27:AM38" si="6">S27/$Z27</f>
        <v>0.2</v>
      </c>
      <c r="AI27" s="6"/>
      <c r="AJ27" s="6">
        <f t="shared" si="6"/>
        <v>0.2</v>
      </c>
      <c r="AK27" s="6">
        <f t="shared" si="6"/>
        <v>0.1</v>
      </c>
      <c r="AL27" s="6"/>
      <c r="AM27" s="6">
        <f t="shared" si="6"/>
        <v>0.2</v>
      </c>
      <c r="AN27" s="6">
        <f>Y27/$Z27</f>
        <v>0.3</v>
      </c>
      <c r="AO27" s="6">
        <f>Z27/$Z27</f>
        <v>1</v>
      </c>
      <c r="AP27" s="22"/>
      <c r="AR27" s="22"/>
      <c r="AS27" s="19" t="str">
        <f>AG27</f>
        <v>Target Allocation</v>
      </c>
      <c r="AT27" s="22">
        <f>AH27</f>
        <v>0.2</v>
      </c>
      <c r="AU27" s="22">
        <f>AI27</f>
        <v>0</v>
      </c>
      <c r="AV27" s="22">
        <f>AJ27</f>
        <v>0.2</v>
      </c>
      <c r="AW27" s="22">
        <f>AK27</f>
        <v>0.1</v>
      </c>
      <c r="AX27" s="22"/>
      <c r="AY27" s="22">
        <f>AM27</f>
        <v>0.2</v>
      </c>
      <c r="AZ27" s="22">
        <f>AN27</f>
        <v>0.3</v>
      </c>
      <c r="BA27" s="22">
        <f>AO27</f>
        <v>1</v>
      </c>
      <c r="BC27" s="19" t="str">
        <f>AS27</f>
        <v>Target Allocation</v>
      </c>
      <c r="BD27" s="22">
        <f>AT27</f>
        <v>0.2</v>
      </c>
      <c r="BE27" s="22"/>
      <c r="BF27" s="22">
        <f>AV27</f>
        <v>0.2</v>
      </c>
      <c r="BG27" s="22">
        <f>AW27</f>
        <v>0.1</v>
      </c>
      <c r="BH27" s="22"/>
      <c r="BI27" s="22">
        <f>AY27</f>
        <v>0.2</v>
      </c>
      <c r="BJ27" s="22">
        <f t="shared" si="4"/>
        <v>0.3</v>
      </c>
      <c r="BK27" s="22">
        <f t="shared" si="4"/>
        <v>1</v>
      </c>
      <c r="BL27" s="2"/>
    </row>
    <row r="28" spans="1:65" x14ac:dyDescent="0.25">
      <c r="A28">
        <f t="shared" ref="A28:A43" si="7">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N28">
        <f>A28</f>
        <v>2000</v>
      </c>
      <c r="O28" s="2">
        <f>I28*0.04</f>
        <v>4073.4120000000003</v>
      </c>
      <c r="P28" s="2"/>
      <c r="Q28" s="2"/>
      <c r="R28">
        <f>A28</f>
        <v>2000</v>
      </c>
      <c r="S28" s="2">
        <f t="shared" ref="S28" si="8">B28-($O28/5)</f>
        <v>17373.317599999998</v>
      </c>
      <c r="T28" s="2"/>
      <c r="U28" s="2">
        <f t="shared" ref="U28" si="9">D28-($O28/5)</f>
        <v>22804.917599999997</v>
      </c>
      <c r="V28" s="2">
        <f t="shared" ref="V28" si="10">E28-($O28/5)</f>
        <v>8918.8176000000003</v>
      </c>
      <c r="W28" s="2"/>
      <c r="X28" s="2">
        <f t="shared" ref="X28" si="11">G28-($O28/5)</f>
        <v>16062.517600000001</v>
      </c>
      <c r="Y28" s="2">
        <f t="shared" ref="Y28" si="12">H28-($O28/5)</f>
        <v>32602.317599999998</v>
      </c>
      <c r="Z28" s="2">
        <f>SUM(S28:Y28)</f>
        <v>97761.887999999992</v>
      </c>
      <c r="AA28" s="2">
        <f>Z28-Z27</f>
        <v>-2238.1120000000083</v>
      </c>
      <c r="AB28" s="6">
        <f>(AA28/Z27)</f>
        <v>-2.2381120000000084E-2</v>
      </c>
      <c r="AC28" s="7">
        <f>AB28+1</f>
        <v>0.97761887999999997</v>
      </c>
      <c r="AD28" s="2">
        <f>Z28-(I28-O28)</f>
        <v>0</v>
      </c>
      <c r="AE28" s="2"/>
      <c r="AG28">
        <f>A28</f>
        <v>2000</v>
      </c>
      <c r="AH28" s="6">
        <f t="shared" si="6"/>
        <v>0.17771053685051583</v>
      </c>
      <c r="AI28" s="6"/>
      <c r="AJ28" s="6">
        <f t="shared" si="6"/>
        <v>0.23327002031711988</v>
      </c>
      <c r="AK28" s="6">
        <f t="shared" si="6"/>
        <v>9.1230005705290815E-2</v>
      </c>
      <c r="AL28" s="6"/>
      <c r="AM28" s="6">
        <f t="shared" si="6"/>
        <v>0.16430244882341064</v>
      </c>
      <c r="AN28" s="6">
        <f>Y28/$Z28</f>
        <v>0.33348698830366291</v>
      </c>
      <c r="AO28" s="6">
        <f>SUM(AH28:AN28)</f>
        <v>1</v>
      </c>
      <c r="AP28" s="7">
        <f>SUM(AH28:AM28)</f>
        <v>0.66651301169633714</v>
      </c>
      <c r="AQ28" s="7">
        <f>AO28-(AP28+AN28)</f>
        <v>0</v>
      </c>
      <c r="AR28" s="22"/>
      <c r="AS28">
        <f>AG28</f>
        <v>2000</v>
      </c>
      <c r="AT28" s="1" t="b">
        <f>AND((S28/$Z28)&gt;0.15,(S28/$Z28)&lt;0.25)</f>
        <v>1</v>
      </c>
      <c r="AU28" s="1"/>
      <c r="AV28" s="1" t="b">
        <f>AND((U28/$Z28)&gt;0.15,(U28/$Z28)&lt;0.25)</f>
        <v>1</v>
      </c>
      <c r="AW28" s="1" t="b">
        <f>AND((V28/$Z28)&gt;0.05,(V28/$Z28)&lt;0.15)</f>
        <v>1</v>
      </c>
      <c r="AX28" s="1"/>
      <c r="AY28" s="1" t="b">
        <f t="shared" ref="AY28:AY37" si="13">AND((X28/$Z28)&gt;0.15,(X28/$Z28)&lt;0.25)</f>
        <v>1</v>
      </c>
      <c r="AZ28" s="1" t="b">
        <f>AND((Y28/$Z28)&gt;0.25,(Y28/$Z28)&lt;0.35)</f>
        <v>1</v>
      </c>
      <c r="BA28" s="1" t="b">
        <f>AND((Z28/$Z28)&gt;0.999,(Z28/$Z28)&lt;1.01)</f>
        <v>1</v>
      </c>
      <c r="BC28">
        <f>AS28</f>
        <v>2000</v>
      </c>
      <c r="BD28" s="2">
        <f>S28</f>
        <v>17373.317599999998</v>
      </c>
      <c r="BE28" s="2"/>
      <c r="BF28" s="2">
        <f>U28</f>
        <v>22804.917599999997</v>
      </c>
      <c r="BG28" s="2">
        <f>V28</f>
        <v>8918.8176000000003</v>
      </c>
      <c r="BH28" s="2"/>
      <c r="BI28" s="2">
        <f>X28</f>
        <v>16062.517600000001</v>
      </c>
      <c r="BJ28" s="2">
        <f>Y28</f>
        <v>32602.317599999998</v>
      </c>
      <c r="BK28" s="2">
        <f>Z28</f>
        <v>97761.887999999992</v>
      </c>
      <c r="BL28" s="2">
        <f>SUM(BD28:BJ28)-Z28</f>
        <v>0</v>
      </c>
      <c r="BM28" s="2"/>
    </row>
    <row r="29" spans="1:65" x14ac:dyDescent="0.25">
      <c r="A29">
        <f t="shared" si="7"/>
        <v>2001</v>
      </c>
      <c r="B29" s="2">
        <f t="shared" ref="B29:B43" si="14">BD28*(1+(B5/100))</f>
        <v>15285.044824479999</v>
      </c>
      <c r="C29" s="2"/>
      <c r="D29" s="2">
        <f t="shared" ref="D29:D42" si="15">BF28*(1+(D5/100))</f>
        <v>22691.121061175996</v>
      </c>
      <c r="E29" s="2">
        <f t="shared" ref="E29:E42" si="16">BG28*(1+(E5/100))</f>
        <v>9195.3009456</v>
      </c>
      <c r="F29" s="2"/>
      <c r="G29" s="2">
        <f t="shared" ref="G29:G42" si="17">BI28*(1+(G5/100))</f>
        <v>12825.438428072001</v>
      </c>
      <c r="H29" s="2">
        <f t="shared" ref="H29:H42" si="18">BJ28*(1+(H5/100))</f>
        <v>35350.692973680001</v>
      </c>
      <c r="I29" s="2">
        <f>SUM(B29:H29)</f>
        <v>95347.598233008001</v>
      </c>
      <c r="J29" s="2">
        <f t="shared" ref="J29:J39" si="19">I29-I28</f>
        <v>-6487.7017669920024</v>
      </c>
      <c r="K29" s="6">
        <f t="shared" ref="K29:K39" si="20">(J29/I28)</f>
        <v>-6.3707788625280259E-2</v>
      </c>
      <c r="L29" s="7">
        <f t="shared" ref="L29:L39" si="21">K29+1</f>
        <v>0.93629221137471974</v>
      </c>
      <c r="N29">
        <f t="shared" ref="N29:N39" si="22">A29</f>
        <v>2001</v>
      </c>
      <c r="O29" s="2">
        <f t="shared" ref="O29:O43" si="23">O28*(1+O5)</f>
        <v>4138.5865920000006</v>
      </c>
      <c r="P29" s="2"/>
      <c r="Q29" s="2"/>
      <c r="R29">
        <f t="shared" ref="R29:R39" si="24">A29</f>
        <v>2001</v>
      </c>
      <c r="S29" s="2">
        <f t="shared" ref="S29:S39" si="25">B29-($O29/5)</f>
        <v>14457.327506079999</v>
      </c>
      <c r="T29" s="2"/>
      <c r="U29" s="2">
        <f t="shared" ref="U29:U39" si="26">D29-($O29/5)</f>
        <v>21863.403742775998</v>
      </c>
      <c r="V29" s="2">
        <f t="shared" ref="V29:V39" si="27">E29-($O29/5)</f>
        <v>8367.5836271999997</v>
      </c>
      <c r="W29" s="2"/>
      <c r="X29" s="2">
        <f t="shared" ref="X29:X39" si="28">G29-($O29/5)</f>
        <v>11997.721109672</v>
      </c>
      <c r="Y29" s="2">
        <f t="shared" ref="Y29:Y39" si="29">H29-($O29/5)</f>
        <v>34522.975655280003</v>
      </c>
      <c r="Z29" s="2">
        <f t="shared" ref="Z29:Z39" si="30">SUM(S29:Y29)</f>
        <v>91209.011641007994</v>
      </c>
      <c r="AA29" s="2">
        <f t="shared" ref="AA29:AA39" si="31">Z29-Z28</f>
        <v>-6552.8763589919981</v>
      </c>
      <c r="AB29" s="6">
        <f t="shared" ref="AB29:AB39" si="32">(AA29/Z28)</f>
        <v>-6.7028946484666896E-2</v>
      </c>
      <c r="AC29" s="7">
        <f t="shared" ref="AC29:AC39" si="33">AB29+1</f>
        <v>0.93297105351533305</v>
      </c>
      <c r="AD29" s="2">
        <f t="shared" ref="AD29:AD39" si="34">Z29-(I29-O29)</f>
        <v>0</v>
      </c>
      <c r="AE29" s="2"/>
      <c r="AG29">
        <f t="shared" ref="AG29:AG39" si="35">A29</f>
        <v>2001</v>
      </c>
      <c r="AH29" s="6">
        <f t="shared" si="6"/>
        <v>0.1585076654813779</v>
      </c>
      <c r="AI29" s="6"/>
      <c r="AJ29" s="6">
        <f t="shared" si="6"/>
        <v>0.23970661834193269</v>
      </c>
      <c r="AK29" s="6">
        <f t="shared" si="6"/>
        <v>9.174075539963307E-2</v>
      </c>
      <c r="AL29" s="6"/>
      <c r="AM29" s="57">
        <f t="shared" si="6"/>
        <v>0.13154096172968252</v>
      </c>
      <c r="AN29" s="57">
        <f t="shared" ref="AN29:AN39" si="36">Y29/$Z29</f>
        <v>0.37850399904737386</v>
      </c>
      <c r="AO29" s="6">
        <f t="shared" ref="AO29:AO39" si="37">SUM(AH29:AN29)</f>
        <v>1</v>
      </c>
      <c r="AP29" s="7">
        <f t="shared" ref="AP29:AP39" si="38">SUM(AH29:AM29)</f>
        <v>0.62149600095262614</v>
      </c>
      <c r="AQ29" s="7">
        <f t="shared" ref="AQ29:AQ39" si="39">AO29-(AP29+AN29)</f>
        <v>0</v>
      </c>
      <c r="AR29" s="22"/>
      <c r="AS29">
        <f t="shared" ref="AS29:AS39" si="40">AG29</f>
        <v>2001</v>
      </c>
      <c r="AT29" s="1" t="b">
        <f t="shared" ref="AT29:AT39" si="41">AND((S29/$Z29)&gt;0.15,(S29/$Z29)&lt;0.25)</f>
        <v>1</v>
      </c>
      <c r="AU29" s="1"/>
      <c r="AV29" s="1" t="b">
        <f t="shared" ref="AV29:AV39" si="42">AND((U29/$Z29)&gt;0.15,(U29/$Z29)&lt;0.25)</f>
        <v>1</v>
      </c>
      <c r="AW29" s="1" t="b">
        <f t="shared" ref="AW29:AW39" si="43">AND((V29/$Z29)&gt;0.05,(V29/$Z29)&lt;0.15)</f>
        <v>1</v>
      </c>
      <c r="AX29" s="1"/>
      <c r="AY29" s="35" t="b">
        <f t="shared" si="13"/>
        <v>0</v>
      </c>
      <c r="AZ29" s="35" t="b">
        <f t="shared" ref="AZ29:AZ39" si="44">AND((Y29/$Z29)&gt;0.25,(Y29/$Z29)&lt;0.35)</f>
        <v>0</v>
      </c>
      <c r="BA29" s="1" t="b">
        <f t="shared" ref="BA29:BA39" si="45">AND((Z29/$Z29)&gt;0.999,(Z29/$Z29)&lt;1.01)</f>
        <v>1</v>
      </c>
      <c r="BC29">
        <f t="shared" ref="BC29:BC39" si="46">AS29</f>
        <v>2001</v>
      </c>
      <c r="BD29" s="36">
        <f>BD$27*$Z29</f>
        <v>18241.8023282016</v>
      </c>
      <c r="BE29" s="2"/>
      <c r="BF29" s="36">
        <f>BF$27*$Z29</f>
        <v>18241.8023282016</v>
      </c>
      <c r="BG29" s="36">
        <f>BG$27*$Z29</f>
        <v>9120.9011641008001</v>
      </c>
      <c r="BH29" s="2"/>
      <c r="BI29" s="36">
        <f>BI$27*$Z29</f>
        <v>18241.8023282016</v>
      </c>
      <c r="BJ29" s="36">
        <f>BJ$27*$Z29</f>
        <v>27362.703492302397</v>
      </c>
      <c r="BK29" s="2">
        <f t="shared" ref="BK29:BK39" si="47">Z29</f>
        <v>91209.011641007994</v>
      </c>
      <c r="BL29" s="2">
        <f t="shared" ref="BL29:BL39" si="48">SUM(BD29:BJ29)-Z29</f>
        <v>0</v>
      </c>
      <c r="BM29" s="2"/>
    </row>
    <row r="30" spans="1:65" x14ac:dyDescent="0.25">
      <c r="A30">
        <f t="shared" si="7"/>
        <v>2002</v>
      </c>
      <c r="B30" s="2">
        <f t="shared" si="14"/>
        <v>14201.243112504944</v>
      </c>
      <c r="C30" s="2"/>
      <c r="D30" s="2">
        <f t="shared" si="15"/>
        <v>15577.039844097912</v>
      </c>
      <c r="E30" s="2">
        <f t="shared" si="16"/>
        <v>7294.7143330245381</v>
      </c>
      <c r="F30" s="2"/>
      <c r="G30" s="2">
        <f t="shared" si="17"/>
        <v>15490.391283038953</v>
      </c>
      <c r="H30" s="2">
        <f t="shared" si="18"/>
        <v>29622.862800766576</v>
      </c>
      <c r="I30" s="2">
        <f t="shared" ref="I30:I39" si="49">SUM(B30:H30)</f>
        <v>82186.251373432926</v>
      </c>
      <c r="J30" s="2">
        <f t="shared" si="19"/>
        <v>-13161.346859575075</v>
      </c>
      <c r="K30" s="6">
        <f t="shared" si="20"/>
        <v>-0.13803543144748875</v>
      </c>
      <c r="L30" s="7">
        <f t="shared" si="21"/>
        <v>0.86196456855251125</v>
      </c>
      <c r="N30">
        <f t="shared" si="22"/>
        <v>2002</v>
      </c>
      <c r="O30" s="2">
        <f t="shared" si="23"/>
        <v>4242.0512568000004</v>
      </c>
      <c r="P30" s="2"/>
      <c r="Q30" s="2"/>
      <c r="R30">
        <f t="shared" si="24"/>
        <v>2002</v>
      </c>
      <c r="S30" s="2">
        <f t="shared" si="25"/>
        <v>13352.832861144943</v>
      </c>
      <c r="T30" s="2"/>
      <c r="U30" s="2">
        <f t="shared" si="26"/>
        <v>14728.629592737911</v>
      </c>
      <c r="V30" s="2">
        <f t="shared" si="27"/>
        <v>6446.304081664538</v>
      </c>
      <c r="W30" s="2"/>
      <c r="X30" s="2">
        <f t="shared" si="28"/>
        <v>14641.981031678952</v>
      </c>
      <c r="Y30" s="2">
        <f t="shared" si="29"/>
        <v>28774.452549406575</v>
      </c>
      <c r="Z30" s="2">
        <f t="shared" si="30"/>
        <v>77944.200116632914</v>
      </c>
      <c r="AA30" s="2">
        <f t="shared" si="31"/>
        <v>-13264.81152437508</v>
      </c>
      <c r="AB30" s="6">
        <f t="shared" si="32"/>
        <v>-0.14543312426829499</v>
      </c>
      <c r="AC30" s="7">
        <f t="shared" si="33"/>
        <v>0.85456687573170498</v>
      </c>
      <c r="AD30" s="2">
        <f t="shared" si="34"/>
        <v>0</v>
      </c>
      <c r="AE30" s="2"/>
      <c r="AG30">
        <f t="shared" si="35"/>
        <v>2002</v>
      </c>
      <c r="AH30" s="6">
        <f t="shared" si="6"/>
        <v>0.17131271911398463</v>
      </c>
      <c r="AI30" s="6"/>
      <c r="AJ30" s="6">
        <f t="shared" si="6"/>
        <v>0.18896376601079382</v>
      </c>
      <c r="AK30" s="6">
        <f t="shared" si="6"/>
        <v>8.2704089233304329E-2</v>
      </c>
      <c r="AL30" s="6"/>
      <c r="AM30" s="6">
        <f t="shared" si="6"/>
        <v>0.18785209174985715</v>
      </c>
      <c r="AN30" s="57">
        <f t="shared" si="36"/>
        <v>0.36916733389206013</v>
      </c>
      <c r="AO30" s="6">
        <f t="shared" si="37"/>
        <v>1</v>
      </c>
      <c r="AP30" s="7">
        <f t="shared" si="38"/>
        <v>0.63083266610793998</v>
      </c>
      <c r="AQ30" s="7">
        <f t="shared" si="39"/>
        <v>0</v>
      </c>
      <c r="AR30" s="22"/>
      <c r="AS30">
        <f t="shared" si="40"/>
        <v>2002</v>
      </c>
      <c r="AT30" s="1" t="b">
        <f t="shared" si="41"/>
        <v>1</v>
      </c>
      <c r="AU30" s="1"/>
      <c r="AV30" s="1" t="b">
        <f t="shared" si="42"/>
        <v>1</v>
      </c>
      <c r="AW30" s="1" t="b">
        <f t="shared" si="43"/>
        <v>1</v>
      </c>
      <c r="AX30" s="1"/>
      <c r="AY30" s="1" t="b">
        <f t="shared" si="13"/>
        <v>1</v>
      </c>
      <c r="AZ30" s="35" t="b">
        <f t="shared" si="44"/>
        <v>0</v>
      </c>
      <c r="BA30" s="1" t="b">
        <f t="shared" si="45"/>
        <v>1</v>
      </c>
      <c r="BC30">
        <f t="shared" si="46"/>
        <v>2002</v>
      </c>
      <c r="BD30" s="36">
        <f>BD$27*$Z30</f>
        <v>15588.840023326584</v>
      </c>
      <c r="BE30" s="2"/>
      <c r="BF30" s="36">
        <f>BF$27*$Z30</f>
        <v>15588.840023326584</v>
      </c>
      <c r="BG30" s="36">
        <f>BG$27*$Z30</f>
        <v>7794.4200116632919</v>
      </c>
      <c r="BH30" s="2"/>
      <c r="BI30" s="36">
        <f>BI$27*$Z30</f>
        <v>15588.840023326584</v>
      </c>
      <c r="BJ30" s="36">
        <f>BJ$27*$Z30</f>
        <v>23383.260034989875</v>
      </c>
      <c r="BK30" s="2">
        <f t="shared" si="47"/>
        <v>77944.200116632914</v>
      </c>
      <c r="BL30" s="2">
        <f t="shared" si="48"/>
        <v>0</v>
      </c>
      <c r="BM30" s="2"/>
    </row>
    <row r="31" spans="1:65" x14ac:dyDescent="0.25">
      <c r="A31">
        <f t="shared" si="7"/>
        <v>2003</v>
      </c>
      <c r="B31" s="2">
        <f t="shared" si="14"/>
        <v>20031.659429974658</v>
      </c>
      <c r="C31" s="2"/>
      <c r="D31" s="2">
        <f t="shared" si="15"/>
        <v>20911.181784090746</v>
      </c>
      <c r="E31" s="2">
        <f t="shared" si="16"/>
        <v>11350.857974585018</v>
      </c>
      <c r="F31" s="2"/>
      <c r="G31" s="2">
        <f t="shared" si="17"/>
        <v>21877.378088736528</v>
      </c>
      <c r="H31" s="2">
        <f t="shared" si="18"/>
        <v>24311.575458378975</v>
      </c>
      <c r="I31" s="2">
        <f t="shared" si="49"/>
        <v>98482.652735765936</v>
      </c>
      <c r="J31" s="2">
        <f t="shared" si="19"/>
        <v>16296.40136233301</v>
      </c>
      <c r="K31" s="6">
        <f t="shared" si="20"/>
        <v>0.19828622293875414</v>
      </c>
      <c r="L31" s="7">
        <f t="shared" si="21"/>
        <v>1.1982862229387541</v>
      </c>
      <c r="N31">
        <f t="shared" si="22"/>
        <v>2003</v>
      </c>
      <c r="O31" s="2">
        <f t="shared" si="23"/>
        <v>4326.8922819360005</v>
      </c>
      <c r="P31" s="2"/>
      <c r="Q31" s="2"/>
      <c r="R31">
        <f t="shared" si="24"/>
        <v>2003</v>
      </c>
      <c r="S31" s="2">
        <f t="shared" si="25"/>
        <v>19166.280973587458</v>
      </c>
      <c r="T31" s="2"/>
      <c r="U31" s="2">
        <f t="shared" si="26"/>
        <v>20045.803327703547</v>
      </c>
      <c r="V31" s="2">
        <f t="shared" si="27"/>
        <v>10485.479518197819</v>
      </c>
      <c r="W31" s="2"/>
      <c r="X31" s="2">
        <f t="shared" si="28"/>
        <v>21011.999632349329</v>
      </c>
      <c r="Y31" s="2">
        <f t="shared" si="29"/>
        <v>23446.197001991775</v>
      </c>
      <c r="Z31" s="2">
        <f t="shared" si="30"/>
        <v>94155.760453829935</v>
      </c>
      <c r="AA31" s="2">
        <f t="shared" si="31"/>
        <v>16211.560337197021</v>
      </c>
      <c r="AB31" s="6">
        <f t="shared" si="32"/>
        <v>0.20798930918450151</v>
      </c>
      <c r="AC31" s="7">
        <f t="shared" si="33"/>
        <v>1.2079893091845015</v>
      </c>
      <c r="AD31" s="2">
        <f t="shared" si="34"/>
        <v>0</v>
      </c>
      <c r="AE31" s="2"/>
      <c r="AG31">
        <f t="shared" si="35"/>
        <v>2003</v>
      </c>
      <c r="AH31" s="6">
        <f t="shared" si="6"/>
        <v>0.20355930302305619</v>
      </c>
      <c r="AI31" s="6"/>
      <c r="AJ31" s="6">
        <f t="shared" si="6"/>
        <v>0.21290044529493418</v>
      </c>
      <c r="AK31" s="6">
        <f t="shared" si="6"/>
        <v>0.11136312284726818</v>
      </c>
      <c r="AL31" s="6"/>
      <c r="AM31" s="6">
        <f t="shared" si="6"/>
        <v>0.2231621255149093</v>
      </c>
      <c r="AN31" s="6">
        <f t="shared" si="36"/>
        <v>0.24901500331983209</v>
      </c>
      <c r="AO31" s="6">
        <f t="shared" si="37"/>
        <v>1</v>
      </c>
      <c r="AP31" s="7">
        <f t="shared" si="38"/>
        <v>0.75098499668016794</v>
      </c>
      <c r="AQ31" s="7">
        <f t="shared" si="39"/>
        <v>0</v>
      </c>
      <c r="AR31" s="22"/>
      <c r="AS31">
        <f t="shared" si="40"/>
        <v>2003</v>
      </c>
      <c r="AT31" s="1" t="b">
        <f t="shared" si="41"/>
        <v>1</v>
      </c>
      <c r="AU31" s="1"/>
      <c r="AV31" s="1" t="b">
        <f t="shared" si="42"/>
        <v>1</v>
      </c>
      <c r="AW31" s="1" t="b">
        <f t="shared" si="43"/>
        <v>1</v>
      </c>
      <c r="AX31" s="1"/>
      <c r="AY31" s="1" t="b">
        <f t="shared" si="13"/>
        <v>1</v>
      </c>
      <c r="AZ31" s="1" t="b">
        <f t="shared" si="44"/>
        <v>0</v>
      </c>
      <c r="BA31" s="1" t="b">
        <f t="shared" si="45"/>
        <v>1</v>
      </c>
      <c r="BC31">
        <f t="shared" si="46"/>
        <v>2003</v>
      </c>
      <c r="BD31" s="2">
        <f t="shared" ref="BD31:BD39" si="50">S31</f>
        <v>19166.280973587458</v>
      </c>
      <c r="BE31" s="2"/>
      <c r="BF31" s="2">
        <f t="shared" ref="BF31:BF39" si="51">U31</f>
        <v>20045.803327703547</v>
      </c>
      <c r="BG31" s="2">
        <f t="shared" ref="BG31:BG39" si="52">V31</f>
        <v>10485.479518197819</v>
      </c>
      <c r="BH31" s="2"/>
      <c r="BI31" s="2">
        <f t="shared" ref="BI31:BI39" si="53">X31</f>
        <v>21011.999632349329</v>
      </c>
      <c r="BJ31" s="2">
        <f t="shared" ref="BJ31:BJ39" si="54">Y31</f>
        <v>23446.197001991775</v>
      </c>
      <c r="BK31" s="2">
        <f t="shared" si="47"/>
        <v>94155.760453829935</v>
      </c>
      <c r="BL31" s="2">
        <f t="shared" si="48"/>
        <v>0</v>
      </c>
      <c r="BM31" s="2"/>
    </row>
    <row r="32" spans="1:65" x14ac:dyDescent="0.25">
      <c r="A32">
        <f t="shared" si="7"/>
        <v>2004</v>
      </c>
      <c r="B32" s="2">
        <f t="shared" si="14"/>
        <v>21224.739550150749</v>
      </c>
      <c r="C32" s="2"/>
      <c r="D32" s="2">
        <f t="shared" si="15"/>
        <v>24125.72567899105</v>
      </c>
      <c r="E32" s="2">
        <f t="shared" si="16"/>
        <v>12571.77537793364</v>
      </c>
      <c r="F32" s="2"/>
      <c r="G32" s="2">
        <f t="shared" si="17"/>
        <v>25390.269995741957</v>
      </c>
      <c r="H32" s="2">
        <f t="shared" si="18"/>
        <v>24440.315754876225</v>
      </c>
      <c r="I32" s="2">
        <f t="shared" si="49"/>
        <v>107752.82635769363</v>
      </c>
      <c r="J32" s="2">
        <f t="shared" si="19"/>
        <v>9270.1736219276936</v>
      </c>
      <c r="K32" s="6">
        <f t="shared" si="20"/>
        <v>9.413001543327687E-2</v>
      </c>
      <c r="L32" s="7">
        <f t="shared" si="21"/>
        <v>1.0941300154332769</v>
      </c>
      <c r="N32">
        <f t="shared" si="22"/>
        <v>2004</v>
      </c>
      <c r="O32" s="2">
        <f t="shared" si="23"/>
        <v>4469.6797272398881</v>
      </c>
      <c r="P32" s="2"/>
      <c r="Q32" s="2"/>
      <c r="R32">
        <f t="shared" si="24"/>
        <v>2004</v>
      </c>
      <c r="S32" s="2">
        <f t="shared" si="25"/>
        <v>20330.803604702771</v>
      </c>
      <c r="T32" s="2"/>
      <c r="U32" s="2">
        <f t="shared" si="26"/>
        <v>23231.789733543072</v>
      </c>
      <c r="V32" s="2">
        <f t="shared" si="27"/>
        <v>11677.839432485662</v>
      </c>
      <c r="W32" s="2"/>
      <c r="X32" s="2">
        <f t="shared" si="28"/>
        <v>24496.334050293979</v>
      </c>
      <c r="Y32" s="2">
        <f t="shared" si="29"/>
        <v>23546.379809428247</v>
      </c>
      <c r="Z32" s="2">
        <f t="shared" si="30"/>
        <v>103283.14663045373</v>
      </c>
      <c r="AA32" s="2">
        <f t="shared" si="31"/>
        <v>9127.3861766237969</v>
      </c>
      <c r="AB32" s="6">
        <f t="shared" si="32"/>
        <v>9.6939222121194449E-2</v>
      </c>
      <c r="AC32" s="7">
        <f t="shared" si="33"/>
        <v>1.0969392221211944</v>
      </c>
      <c r="AD32" s="2">
        <f t="shared" si="34"/>
        <v>0</v>
      </c>
      <c r="AE32" s="2"/>
      <c r="AG32">
        <f t="shared" si="35"/>
        <v>2004</v>
      </c>
      <c r="AH32" s="6">
        <f t="shared" si="6"/>
        <v>0.19684531569749925</v>
      </c>
      <c r="AI32" s="56"/>
      <c r="AJ32" s="6">
        <f t="shared" si="6"/>
        <v>0.22493301658078088</v>
      </c>
      <c r="AK32" s="6">
        <f t="shared" si="6"/>
        <v>0.11306626311714608</v>
      </c>
      <c r="AL32" s="56"/>
      <c r="AM32" s="6">
        <f t="shared" si="6"/>
        <v>0.23717648860894669</v>
      </c>
      <c r="AN32" s="6">
        <f t="shared" si="36"/>
        <v>0.22797891599562708</v>
      </c>
      <c r="AO32" s="6">
        <f t="shared" si="37"/>
        <v>1</v>
      </c>
      <c r="AP32" s="7">
        <f t="shared" si="38"/>
        <v>0.77202108400437286</v>
      </c>
      <c r="AQ32" s="7">
        <f t="shared" si="39"/>
        <v>0</v>
      </c>
      <c r="AR32" s="22"/>
      <c r="AS32">
        <f t="shared" si="40"/>
        <v>2004</v>
      </c>
      <c r="AT32" s="1" t="b">
        <f t="shared" si="41"/>
        <v>1</v>
      </c>
      <c r="AU32" s="1"/>
      <c r="AV32" s="1" t="b">
        <f t="shared" si="42"/>
        <v>1</v>
      </c>
      <c r="AW32" s="1" t="b">
        <f t="shared" si="43"/>
        <v>1</v>
      </c>
      <c r="AX32" s="1"/>
      <c r="AY32" s="1" t="b">
        <f t="shared" si="13"/>
        <v>1</v>
      </c>
      <c r="AZ32" s="35" t="b">
        <f t="shared" si="44"/>
        <v>0</v>
      </c>
      <c r="BA32" s="1" t="b">
        <f t="shared" si="45"/>
        <v>1</v>
      </c>
      <c r="BC32">
        <f t="shared" si="46"/>
        <v>2004</v>
      </c>
      <c r="BD32" s="36">
        <f>BD$27*$Z32</f>
        <v>20656.629326090748</v>
      </c>
      <c r="BE32" s="2"/>
      <c r="BF32" s="36">
        <f>BF$27*$Z32</f>
        <v>20656.629326090748</v>
      </c>
      <c r="BG32" s="36">
        <f>BG$27*$Z32</f>
        <v>10328.314663045374</v>
      </c>
      <c r="BH32" s="2"/>
      <c r="BI32" s="36">
        <f>BI$27*$Z32</f>
        <v>20656.629326090748</v>
      </c>
      <c r="BJ32" s="36">
        <f>BJ$27*$Z32</f>
        <v>30984.943989136118</v>
      </c>
      <c r="BK32" s="2">
        <f t="shared" si="47"/>
        <v>103283.14663045373</v>
      </c>
      <c r="BL32" s="2">
        <f t="shared" si="48"/>
        <v>0</v>
      </c>
      <c r="BM32" s="2"/>
    </row>
    <row r="33" spans="1:65" x14ac:dyDescent="0.25">
      <c r="A33">
        <f t="shared" si="7"/>
        <v>2005</v>
      </c>
      <c r="B33" s="2">
        <f t="shared" si="14"/>
        <v>21641.950544945277</v>
      </c>
      <c r="C33" s="2"/>
      <c r="D33" s="2">
        <f t="shared" si="15"/>
        <v>23534.304357508452</v>
      </c>
      <c r="E33" s="2">
        <f t="shared" si="16"/>
        <v>11088.788471685406</v>
      </c>
      <c r="F33" s="2"/>
      <c r="G33" s="2">
        <f t="shared" si="17"/>
        <v>23873.073078456338</v>
      </c>
      <c r="H33" s="2">
        <f t="shared" si="18"/>
        <v>31728.582644875387</v>
      </c>
      <c r="I33" s="2">
        <f t="shared" si="49"/>
        <v>111866.69909747085</v>
      </c>
      <c r="J33" s="2">
        <f t="shared" si="19"/>
        <v>4113.8727397772163</v>
      </c>
      <c r="K33" s="6">
        <f t="shared" si="20"/>
        <v>3.8178791952249172E-2</v>
      </c>
      <c r="L33" s="7">
        <f t="shared" si="21"/>
        <v>1.0381787919522492</v>
      </c>
      <c r="N33">
        <f t="shared" si="22"/>
        <v>2005</v>
      </c>
      <c r="O33" s="2">
        <f t="shared" si="23"/>
        <v>4617.1791582388041</v>
      </c>
      <c r="P33" s="2"/>
      <c r="Q33" s="2"/>
      <c r="R33">
        <f t="shared" si="24"/>
        <v>2005</v>
      </c>
      <c r="S33" s="2">
        <f t="shared" si="25"/>
        <v>20718.514713297518</v>
      </c>
      <c r="T33" s="2"/>
      <c r="U33" s="2">
        <f t="shared" si="26"/>
        <v>22610.868525860693</v>
      </c>
      <c r="V33" s="2">
        <f t="shared" si="27"/>
        <v>10165.352640037645</v>
      </c>
      <c r="W33" s="2"/>
      <c r="X33" s="2">
        <f t="shared" si="28"/>
        <v>22949.637246808579</v>
      </c>
      <c r="Y33" s="2">
        <f t="shared" si="29"/>
        <v>30805.146813227628</v>
      </c>
      <c r="Z33" s="2">
        <f t="shared" si="30"/>
        <v>107249.51993923206</v>
      </c>
      <c r="AA33" s="2">
        <f t="shared" si="31"/>
        <v>3966.373308778333</v>
      </c>
      <c r="AB33" s="6">
        <f t="shared" si="32"/>
        <v>3.8402909266213439E-2</v>
      </c>
      <c r="AC33" s="7">
        <f t="shared" si="33"/>
        <v>1.0384029092662135</v>
      </c>
      <c r="AD33" s="2">
        <f t="shared" si="34"/>
        <v>0</v>
      </c>
      <c r="AE33" s="2"/>
      <c r="AG33">
        <f t="shared" si="35"/>
        <v>2005</v>
      </c>
      <c r="AH33" s="6">
        <f t="shared" si="6"/>
        <v>0.19318048905987362</v>
      </c>
      <c r="AI33" s="6"/>
      <c r="AJ33" s="6">
        <f t="shared" si="6"/>
        <v>0.21082489263049464</v>
      </c>
      <c r="AK33" s="6">
        <f t="shared" si="6"/>
        <v>9.4782267051613536E-2</v>
      </c>
      <c r="AL33" s="6"/>
      <c r="AM33" s="6">
        <f t="shared" si="6"/>
        <v>0.21398358948191024</v>
      </c>
      <c r="AN33" s="6">
        <f t="shared" si="36"/>
        <v>0.28722876177610795</v>
      </c>
      <c r="AO33" s="6">
        <f t="shared" si="37"/>
        <v>1</v>
      </c>
      <c r="AP33" s="7">
        <f t="shared" si="38"/>
        <v>0.71277123822389199</v>
      </c>
      <c r="AQ33" s="7">
        <f t="shared" si="39"/>
        <v>0</v>
      </c>
      <c r="AR33" s="22"/>
      <c r="AS33">
        <f t="shared" si="40"/>
        <v>2005</v>
      </c>
      <c r="AT33" s="1" t="b">
        <f t="shared" si="41"/>
        <v>1</v>
      </c>
      <c r="AU33" s="1"/>
      <c r="AV33" s="1" t="b">
        <f t="shared" si="42"/>
        <v>1</v>
      </c>
      <c r="AW33" s="1" t="b">
        <f t="shared" si="43"/>
        <v>1</v>
      </c>
      <c r="AX33" s="1"/>
      <c r="AY33" s="1" t="b">
        <f t="shared" si="13"/>
        <v>1</v>
      </c>
      <c r="AZ33" s="1" t="b">
        <f t="shared" si="44"/>
        <v>1</v>
      </c>
      <c r="BA33" s="1" t="b">
        <f t="shared" si="45"/>
        <v>1</v>
      </c>
      <c r="BC33">
        <f t="shared" si="46"/>
        <v>2005</v>
      </c>
      <c r="BD33" s="2">
        <f t="shared" si="50"/>
        <v>20718.514713297518</v>
      </c>
      <c r="BE33" s="2"/>
      <c r="BF33" s="2">
        <f t="shared" si="51"/>
        <v>22610.868525860693</v>
      </c>
      <c r="BG33" s="2">
        <f t="shared" si="52"/>
        <v>10165.352640037645</v>
      </c>
      <c r="BH33" s="2"/>
      <c r="BI33" s="2">
        <f t="shared" si="53"/>
        <v>22949.637246808579</v>
      </c>
      <c r="BJ33" s="2">
        <f t="shared" si="54"/>
        <v>30805.146813227628</v>
      </c>
      <c r="BK33" s="2">
        <f t="shared" si="47"/>
        <v>107249.51993923206</v>
      </c>
      <c r="BL33" s="2">
        <f t="shared" si="48"/>
        <v>0</v>
      </c>
      <c r="BM33" s="2"/>
    </row>
    <row r="34" spans="1:65" x14ac:dyDescent="0.25">
      <c r="A34">
        <f t="shared" si="7"/>
        <v>2006</v>
      </c>
      <c r="B34" s="2">
        <f t="shared" si="14"/>
        <v>23958.890414457252</v>
      </c>
      <c r="C34" s="2"/>
      <c r="D34" s="2">
        <f t="shared" si="15"/>
        <v>25685.268319321971</v>
      </c>
      <c r="E34" s="2">
        <f t="shared" si="16"/>
        <v>11756.84024936194</v>
      </c>
      <c r="F34" s="2"/>
      <c r="G34" s="2">
        <f t="shared" si="17"/>
        <v>29062.73212024098</v>
      </c>
      <c r="H34" s="2">
        <f t="shared" si="18"/>
        <v>32120.526582152444</v>
      </c>
      <c r="I34" s="2">
        <f t="shared" si="49"/>
        <v>122584.2576855346</v>
      </c>
      <c r="J34" s="2">
        <f t="shared" si="19"/>
        <v>10717.558588063752</v>
      </c>
      <c r="K34" s="6">
        <f t="shared" si="20"/>
        <v>9.5806515026651579E-2</v>
      </c>
      <c r="L34" s="7">
        <f t="shared" si="21"/>
        <v>1.0958065150266516</v>
      </c>
      <c r="N34">
        <f t="shared" si="22"/>
        <v>2006</v>
      </c>
      <c r="O34" s="2">
        <f t="shared" si="23"/>
        <v>4732.608637194774</v>
      </c>
      <c r="P34" s="2"/>
      <c r="Q34" s="2"/>
      <c r="R34">
        <f t="shared" si="24"/>
        <v>2006</v>
      </c>
      <c r="S34" s="2">
        <f t="shared" si="25"/>
        <v>23012.368687018297</v>
      </c>
      <c r="T34" s="2"/>
      <c r="U34" s="2">
        <f t="shared" si="26"/>
        <v>24738.746591883017</v>
      </c>
      <c r="V34" s="2">
        <f t="shared" si="27"/>
        <v>10810.318521922985</v>
      </c>
      <c r="W34" s="2"/>
      <c r="X34" s="2">
        <f t="shared" si="28"/>
        <v>28116.210392802026</v>
      </c>
      <c r="Y34" s="2">
        <f t="shared" si="29"/>
        <v>31174.00485471349</v>
      </c>
      <c r="Z34" s="2">
        <f t="shared" si="30"/>
        <v>117851.64904833982</v>
      </c>
      <c r="AA34" s="2">
        <f t="shared" si="31"/>
        <v>10602.129109107758</v>
      </c>
      <c r="AB34" s="6">
        <f t="shared" si="32"/>
        <v>9.8854793150728884E-2</v>
      </c>
      <c r="AC34" s="7">
        <f t="shared" si="33"/>
        <v>1.0988547931507289</v>
      </c>
      <c r="AD34" s="2">
        <f t="shared" si="34"/>
        <v>0</v>
      </c>
      <c r="AE34" s="2"/>
      <c r="AG34">
        <f t="shared" si="35"/>
        <v>2006</v>
      </c>
      <c r="AH34" s="6">
        <f t="shared" si="6"/>
        <v>0.19526556372222839</v>
      </c>
      <c r="AI34" s="6"/>
      <c r="AJ34" s="6">
        <f t="shared" si="6"/>
        <v>0.20991430151084095</v>
      </c>
      <c r="AK34" s="6">
        <f t="shared" si="6"/>
        <v>9.1728190561753284E-2</v>
      </c>
      <c r="AL34" s="6"/>
      <c r="AM34" s="6">
        <f t="shared" si="6"/>
        <v>0.23857290602076731</v>
      </c>
      <c r="AN34" s="6">
        <f t="shared" si="36"/>
        <v>0.26451903818441003</v>
      </c>
      <c r="AO34" s="6">
        <f t="shared" si="37"/>
        <v>1</v>
      </c>
      <c r="AP34" s="7">
        <f t="shared" si="38"/>
        <v>0.73548096181558997</v>
      </c>
      <c r="AQ34" s="7">
        <f t="shared" si="39"/>
        <v>0</v>
      </c>
      <c r="AR34" s="22"/>
      <c r="AS34">
        <f t="shared" si="40"/>
        <v>2006</v>
      </c>
      <c r="AT34" s="1" t="b">
        <f t="shared" si="41"/>
        <v>1</v>
      </c>
      <c r="AU34" s="1"/>
      <c r="AV34" s="1" t="b">
        <f t="shared" si="42"/>
        <v>1</v>
      </c>
      <c r="AW34" s="1" t="b">
        <f t="shared" si="43"/>
        <v>1</v>
      </c>
      <c r="AX34" s="1"/>
      <c r="AY34" s="1" t="b">
        <f t="shared" si="13"/>
        <v>1</v>
      </c>
      <c r="AZ34" s="1" t="b">
        <f t="shared" si="44"/>
        <v>1</v>
      </c>
      <c r="BA34" s="1" t="b">
        <f t="shared" si="45"/>
        <v>1</v>
      </c>
      <c r="BC34">
        <f t="shared" si="46"/>
        <v>2006</v>
      </c>
      <c r="BD34" s="2">
        <f t="shared" ref="BD34" si="55">S34</f>
        <v>23012.368687018297</v>
      </c>
      <c r="BE34" s="2"/>
      <c r="BF34" s="2">
        <f t="shared" ref="BF34" si="56">U34</f>
        <v>24738.746591883017</v>
      </c>
      <c r="BG34" s="2">
        <f t="shared" ref="BG34" si="57">V34</f>
        <v>10810.318521922985</v>
      </c>
      <c r="BH34" s="2"/>
      <c r="BI34" s="2">
        <f t="shared" ref="BI34" si="58">X34</f>
        <v>28116.210392802026</v>
      </c>
      <c r="BJ34" s="2">
        <f t="shared" ref="BJ34" si="59">Y34</f>
        <v>31174.00485471349</v>
      </c>
      <c r="BK34" s="2">
        <f t="shared" si="47"/>
        <v>117851.64904833982</v>
      </c>
      <c r="BL34" s="2">
        <f t="shared" si="48"/>
        <v>0</v>
      </c>
      <c r="BM34" s="2"/>
    </row>
    <row r="35" spans="1:65" x14ac:dyDescent="0.25">
      <c r="A35">
        <f t="shared" si="7"/>
        <v>2007</v>
      </c>
      <c r="B35" s="2">
        <f t="shared" si="14"/>
        <v>24252.735359248585</v>
      </c>
      <c r="C35" s="2"/>
      <c r="D35" s="2">
        <f t="shared" si="15"/>
        <v>26228.266524180297</v>
      </c>
      <c r="E35" s="2">
        <f t="shared" si="16"/>
        <v>10935.285804036415</v>
      </c>
      <c r="F35" s="2"/>
      <c r="G35" s="2">
        <f t="shared" si="17"/>
        <v>32480.408569972755</v>
      </c>
      <c r="H35" s="2">
        <f t="shared" si="18"/>
        <v>33331.245990659663</v>
      </c>
      <c r="I35" s="2">
        <f t="shared" si="49"/>
        <v>127227.94224809771</v>
      </c>
      <c r="J35" s="2">
        <f t="shared" si="19"/>
        <v>4643.6845625631104</v>
      </c>
      <c r="K35" s="6">
        <f t="shared" si="20"/>
        <v>3.7881573460073106E-2</v>
      </c>
      <c r="L35" s="7">
        <f t="shared" si="21"/>
        <v>1.037881573460073</v>
      </c>
      <c r="N35">
        <f t="shared" si="22"/>
        <v>2007</v>
      </c>
      <c r="O35" s="2">
        <f t="shared" si="23"/>
        <v>4926.6455913197597</v>
      </c>
      <c r="P35" s="2"/>
      <c r="Q35" s="2"/>
      <c r="R35">
        <f t="shared" si="24"/>
        <v>2007</v>
      </c>
      <c r="S35" s="2">
        <f t="shared" si="25"/>
        <v>23267.406240984634</v>
      </c>
      <c r="T35" s="2"/>
      <c r="U35" s="2">
        <f t="shared" si="26"/>
        <v>25242.937405916346</v>
      </c>
      <c r="V35" s="2">
        <f t="shared" si="27"/>
        <v>9949.956685772464</v>
      </c>
      <c r="W35" s="2"/>
      <c r="X35" s="2">
        <f t="shared" si="28"/>
        <v>31495.079451708803</v>
      </c>
      <c r="Y35" s="2">
        <f t="shared" si="29"/>
        <v>32345.916872395712</v>
      </c>
      <c r="Z35" s="2">
        <f t="shared" si="30"/>
        <v>122301.29665677795</v>
      </c>
      <c r="AA35" s="2">
        <f t="shared" si="31"/>
        <v>4449.6476084381284</v>
      </c>
      <c r="AB35" s="6">
        <f t="shared" si="32"/>
        <v>3.7756345747975012E-2</v>
      </c>
      <c r="AC35" s="7">
        <f t="shared" si="33"/>
        <v>1.037756345747975</v>
      </c>
      <c r="AD35" s="2">
        <f t="shared" si="34"/>
        <v>0</v>
      </c>
      <c r="AE35" s="2"/>
      <c r="AG35">
        <f t="shared" si="35"/>
        <v>2007</v>
      </c>
      <c r="AH35" s="6">
        <f t="shared" si="6"/>
        <v>0.19024660307798258</v>
      </c>
      <c r="AI35" s="6"/>
      <c r="AJ35" s="6">
        <f t="shared" si="6"/>
        <v>0.20639958934169958</v>
      </c>
      <c r="AK35" s="6">
        <f t="shared" si="6"/>
        <v>8.1356101347769619E-2</v>
      </c>
      <c r="AL35" s="6"/>
      <c r="AM35" s="57">
        <f t="shared" si="6"/>
        <v>0.25752040503785895</v>
      </c>
      <c r="AN35" s="6">
        <f t="shared" si="36"/>
        <v>0.26447730119468932</v>
      </c>
      <c r="AO35" s="6">
        <f t="shared" si="37"/>
        <v>1</v>
      </c>
      <c r="AP35" s="7">
        <f t="shared" si="38"/>
        <v>0.73552269880531074</v>
      </c>
      <c r="AQ35" s="7">
        <f t="shared" si="39"/>
        <v>0</v>
      </c>
      <c r="AR35" s="22"/>
      <c r="AS35">
        <f t="shared" si="40"/>
        <v>2007</v>
      </c>
      <c r="AT35" s="1" t="b">
        <f t="shared" si="41"/>
        <v>1</v>
      </c>
      <c r="AU35" s="1"/>
      <c r="AV35" s="1" t="b">
        <f t="shared" si="42"/>
        <v>1</v>
      </c>
      <c r="AW35" s="1" t="b">
        <f t="shared" si="43"/>
        <v>1</v>
      </c>
      <c r="AX35" s="1"/>
      <c r="AY35" s="35" t="b">
        <f t="shared" si="13"/>
        <v>0</v>
      </c>
      <c r="AZ35" s="1" t="b">
        <f t="shared" si="44"/>
        <v>1</v>
      </c>
      <c r="BA35" s="1" t="b">
        <f t="shared" si="45"/>
        <v>1</v>
      </c>
      <c r="BC35">
        <f t="shared" si="46"/>
        <v>2007</v>
      </c>
      <c r="BD35" s="36">
        <f>BD$27*$Z35</f>
        <v>24460.259331355592</v>
      </c>
      <c r="BE35" s="2"/>
      <c r="BF35" s="36">
        <f t="shared" ref="BF35:BG36" si="60">BF$27*$Z35</f>
        <v>24460.259331355592</v>
      </c>
      <c r="BG35" s="36">
        <f t="shared" si="60"/>
        <v>12230.129665677796</v>
      </c>
      <c r="BH35" s="2"/>
      <c r="BI35" s="36">
        <f t="shared" ref="BI35:BJ36" si="61">BI$27*$Z35</f>
        <v>24460.259331355592</v>
      </c>
      <c r="BJ35" s="36">
        <f t="shared" si="61"/>
        <v>36690.388997033384</v>
      </c>
      <c r="BK35" s="2">
        <f t="shared" si="47"/>
        <v>122301.29665677795</v>
      </c>
      <c r="BL35" s="2">
        <f t="shared" si="48"/>
        <v>0</v>
      </c>
      <c r="BM35" s="2"/>
    </row>
    <row r="36" spans="1:65" x14ac:dyDescent="0.25">
      <c r="A36">
        <f t="shared" si="7"/>
        <v>2008</v>
      </c>
      <c r="B36" s="2">
        <f t="shared" si="14"/>
        <v>15405.07132688775</v>
      </c>
      <c r="C36" s="2"/>
      <c r="D36" s="2">
        <f t="shared" si="15"/>
        <v>14230.000468609431</v>
      </c>
      <c r="E36" s="2">
        <f t="shared" si="16"/>
        <v>7818.7218952678149</v>
      </c>
      <c r="F36" s="2"/>
      <c r="G36" s="2">
        <f t="shared" si="17"/>
        <v>13673.040363634462</v>
      </c>
      <c r="H36" s="2">
        <f t="shared" si="18"/>
        <v>38543.25364138357</v>
      </c>
      <c r="I36" s="2">
        <f t="shared" si="49"/>
        <v>89670.087695783033</v>
      </c>
      <c r="J36" s="2">
        <f t="shared" si="19"/>
        <v>-37557.854552314675</v>
      </c>
      <c r="K36" s="6">
        <f t="shared" si="20"/>
        <v>-0.29520130475014605</v>
      </c>
      <c r="L36" s="7">
        <f t="shared" si="21"/>
        <v>0.70479869524985395</v>
      </c>
      <c r="N36">
        <f t="shared" si="22"/>
        <v>2008</v>
      </c>
      <c r="O36" s="2">
        <f t="shared" si="23"/>
        <v>4926.6455913197597</v>
      </c>
      <c r="P36" s="2"/>
      <c r="Q36" s="2"/>
      <c r="R36">
        <f t="shared" si="24"/>
        <v>2008</v>
      </c>
      <c r="S36" s="2">
        <f t="shared" si="25"/>
        <v>14419.742208623798</v>
      </c>
      <c r="T36" s="2"/>
      <c r="U36" s="2">
        <f t="shared" si="26"/>
        <v>13244.671350345479</v>
      </c>
      <c r="V36" s="2">
        <f t="shared" si="27"/>
        <v>6833.3927770038626</v>
      </c>
      <c r="W36" s="2"/>
      <c r="X36" s="2">
        <f t="shared" si="28"/>
        <v>12687.71124537051</v>
      </c>
      <c r="Y36" s="2">
        <f t="shared" si="29"/>
        <v>37557.924523119618</v>
      </c>
      <c r="Z36" s="2">
        <f t="shared" si="30"/>
        <v>84743.442104463262</v>
      </c>
      <c r="AA36" s="2">
        <f t="shared" si="31"/>
        <v>-37557.854552314689</v>
      </c>
      <c r="AB36" s="6">
        <f t="shared" si="32"/>
        <v>-0.30709285656811741</v>
      </c>
      <c r="AC36" s="7">
        <f t="shared" si="33"/>
        <v>0.69290714343188253</v>
      </c>
      <c r="AD36" s="2">
        <f t="shared" si="34"/>
        <v>0</v>
      </c>
      <c r="AE36" s="2"/>
      <c r="AG36">
        <f t="shared" si="35"/>
        <v>2008</v>
      </c>
      <c r="AH36" s="6">
        <f t="shared" si="6"/>
        <v>0.17015761751627434</v>
      </c>
      <c r="AI36" s="6"/>
      <c r="AJ36" s="6">
        <f t="shared" si="6"/>
        <v>0.15629140168768185</v>
      </c>
      <c r="AK36" s="6">
        <f t="shared" si="6"/>
        <v>8.0636242844376538E-2</v>
      </c>
      <c r="AL36" s="6"/>
      <c r="AM36" s="57">
        <f t="shared" si="6"/>
        <v>0.14971909247833437</v>
      </c>
      <c r="AN36" s="57">
        <f t="shared" si="36"/>
        <v>0.44319564547333296</v>
      </c>
      <c r="AO36" s="6">
        <f t="shared" si="37"/>
        <v>1</v>
      </c>
      <c r="AP36" s="7">
        <f t="shared" si="38"/>
        <v>0.5568043545266671</v>
      </c>
      <c r="AQ36" s="7">
        <f t="shared" si="39"/>
        <v>0</v>
      </c>
      <c r="AR36" s="22"/>
      <c r="AS36">
        <f t="shared" si="40"/>
        <v>2008</v>
      </c>
      <c r="AT36" s="1" t="b">
        <f t="shared" si="41"/>
        <v>1</v>
      </c>
      <c r="AU36" s="1"/>
      <c r="AV36" s="1" t="b">
        <f t="shared" si="42"/>
        <v>1</v>
      </c>
      <c r="AW36" s="1" t="b">
        <f t="shared" si="43"/>
        <v>1</v>
      </c>
      <c r="AX36" s="1"/>
      <c r="AY36" s="35" t="b">
        <f t="shared" si="13"/>
        <v>0</v>
      </c>
      <c r="AZ36" s="35" t="b">
        <f t="shared" si="44"/>
        <v>0</v>
      </c>
      <c r="BA36" s="1" t="b">
        <f t="shared" si="45"/>
        <v>1</v>
      </c>
      <c r="BC36">
        <f t="shared" si="46"/>
        <v>2008</v>
      </c>
      <c r="BD36" s="36">
        <f>BD$27*$Z36</f>
        <v>16948.688420892653</v>
      </c>
      <c r="BE36" s="2"/>
      <c r="BF36" s="36">
        <f t="shared" si="60"/>
        <v>16948.688420892653</v>
      </c>
      <c r="BG36" s="36">
        <f t="shared" si="60"/>
        <v>8474.3442104463265</v>
      </c>
      <c r="BH36" s="2"/>
      <c r="BI36" s="36">
        <f t="shared" si="61"/>
        <v>16948.688420892653</v>
      </c>
      <c r="BJ36" s="36">
        <f t="shared" si="61"/>
        <v>25423.032631338978</v>
      </c>
      <c r="BK36" s="2">
        <f t="shared" si="47"/>
        <v>84743.442104463262</v>
      </c>
      <c r="BL36" s="2">
        <f t="shared" si="48"/>
        <v>0</v>
      </c>
      <c r="BM36" s="2"/>
    </row>
    <row r="37" spans="1:65" x14ac:dyDescent="0.25">
      <c r="A37">
        <f t="shared" si="7"/>
        <v>2009</v>
      </c>
      <c r="B37" s="2">
        <f t="shared" si="14"/>
        <v>21438.395983587114</v>
      </c>
      <c r="C37" s="2"/>
      <c r="D37" s="2">
        <f t="shared" si="15"/>
        <v>23765.111930007261</v>
      </c>
      <c r="E37" s="2">
        <f t="shared" si="16"/>
        <v>11535.107852375331</v>
      </c>
      <c r="F37" s="2"/>
      <c r="G37" s="2">
        <f t="shared" si="17"/>
        <v>23173.433217233898</v>
      </c>
      <c r="H37" s="2">
        <f t="shared" si="18"/>
        <v>26930.618466377378</v>
      </c>
      <c r="I37" s="2">
        <f t="shared" si="49"/>
        <v>106842.66744958097</v>
      </c>
      <c r="J37" s="2">
        <f t="shared" si="19"/>
        <v>17172.579753797938</v>
      </c>
      <c r="K37" s="6">
        <f t="shared" si="20"/>
        <v>0.19150845276362458</v>
      </c>
      <c r="L37" s="7">
        <f t="shared" si="21"/>
        <v>1.1915084527636246</v>
      </c>
      <c r="N37">
        <f t="shared" si="22"/>
        <v>2009</v>
      </c>
      <c r="O37" s="2">
        <f t="shared" si="23"/>
        <v>5064.5916678767135</v>
      </c>
      <c r="P37" s="2"/>
      <c r="Q37" s="2"/>
      <c r="R37">
        <f t="shared" si="24"/>
        <v>2009</v>
      </c>
      <c r="S37" s="2">
        <f t="shared" si="25"/>
        <v>20425.47765001177</v>
      </c>
      <c r="T37" s="2"/>
      <c r="U37" s="2">
        <f t="shared" si="26"/>
        <v>22752.193596431916</v>
      </c>
      <c r="V37" s="2">
        <f t="shared" si="27"/>
        <v>10522.189518799989</v>
      </c>
      <c r="W37" s="2"/>
      <c r="X37" s="2">
        <f t="shared" si="28"/>
        <v>22160.514883658554</v>
      </c>
      <c r="Y37" s="2">
        <f t="shared" si="29"/>
        <v>25917.700132802034</v>
      </c>
      <c r="Z37" s="2">
        <f t="shared" si="30"/>
        <v>101778.07578170428</v>
      </c>
      <c r="AA37" s="2">
        <f t="shared" si="31"/>
        <v>17034.633677241014</v>
      </c>
      <c r="AB37" s="6">
        <f t="shared" si="32"/>
        <v>0.2010141817964205</v>
      </c>
      <c r="AC37" s="7">
        <f t="shared" si="33"/>
        <v>1.2010141817964204</v>
      </c>
      <c r="AD37" s="2">
        <f t="shared" si="34"/>
        <v>0</v>
      </c>
      <c r="AE37" s="2"/>
      <c r="AG37">
        <f t="shared" si="35"/>
        <v>2009</v>
      </c>
      <c r="AH37" s="6">
        <f t="shared" si="6"/>
        <v>0.20068641987121821</v>
      </c>
      <c r="AI37" s="6"/>
      <c r="AJ37" s="6">
        <f t="shared" si="6"/>
        <v>0.22354709913391654</v>
      </c>
      <c r="AK37" s="6">
        <f t="shared" si="6"/>
        <v>0.10338365544823425</v>
      </c>
      <c r="AL37" s="6"/>
      <c r="AM37" s="6">
        <f t="shared" si="6"/>
        <v>0.21773367902129417</v>
      </c>
      <c r="AN37" s="6">
        <f t="shared" si="36"/>
        <v>0.25464914652533671</v>
      </c>
      <c r="AO37" s="6">
        <f t="shared" si="37"/>
        <v>0.99999999999999978</v>
      </c>
      <c r="AP37" s="7">
        <f t="shared" si="38"/>
        <v>0.74535085347466312</v>
      </c>
      <c r="AQ37" s="7">
        <f t="shared" si="39"/>
        <v>0</v>
      </c>
      <c r="AR37" s="22"/>
      <c r="AS37">
        <f t="shared" si="40"/>
        <v>2009</v>
      </c>
      <c r="AT37" s="1" t="b">
        <f t="shared" si="41"/>
        <v>1</v>
      </c>
      <c r="AU37" s="1"/>
      <c r="AV37" s="1" t="b">
        <f t="shared" si="42"/>
        <v>1</v>
      </c>
      <c r="AW37" s="1" t="b">
        <f t="shared" si="43"/>
        <v>1</v>
      </c>
      <c r="AX37" s="1"/>
      <c r="AY37" s="1" t="b">
        <f t="shared" si="13"/>
        <v>1</v>
      </c>
      <c r="AZ37" s="1" t="b">
        <f t="shared" si="44"/>
        <v>1</v>
      </c>
      <c r="BA37" s="1" t="b">
        <f t="shared" si="45"/>
        <v>1</v>
      </c>
      <c r="BC37">
        <f t="shared" si="46"/>
        <v>2009</v>
      </c>
      <c r="BD37" s="2">
        <f t="shared" si="50"/>
        <v>20425.47765001177</v>
      </c>
      <c r="BE37" s="2"/>
      <c r="BF37" s="2">
        <f t="shared" si="51"/>
        <v>22752.193596431916</v>
      </c>
      <c r="BG37" s="2">
        <f t="shared" si="52"/>
        <v>10522.189518799989</v>
      </c>
      <c r="BH37" s="2"/>
      <c r="BI37" s="2">
        <f t="shared" si="53"/>
        <v>22160.514883658554</v>
      </c>
      <c r="BJ37" s="2">
        <f t="shared" si="54"/>
        <v>25917.700132802034</v>
      </c>
      <c r="BK37" s="2">
        <f t="shared" si="47"/>
        <v>101778.07578170428</v>
      </c>
      <c r="BL37" s="2">
        <f t="shared" si="48"/>
        <v>0</v>
      </c>
      <c r="BM37" s="2"/>
    </row>
    <row r="38" spans="1:65" x14ac:dyDescent="0.25">
      <c r="A38">
        <f t="shared" si="7"/>
        <v>2010</v>
      </c>
      <c r="B38" s="2">
        <f t="shared" si="14"/>
        <v>23470.916367628524</v>
      </c>
      <c r="C38" s="2"/>
      <c r="D38" s="2">
        <f t="shared" si="15"/>
        <v>28544.902086083483</v>
      </c>
      <c r="E38" s="2">
        <f t="shared" si="16"/>
        <v>13438.940453411347</v>
      </c>
      <c r="F38" s="2"/>
      <c r="G38" s="2">
        <f t="shared" si="17"/>
        <v>24624.764138721384</v>
      </c>
      <c r="H38" s="2">
        <f t="shared" si="18"/>
        <v>27581.616481327925</v>
      </c>
      <c r="I38" s="2">
        <f t="shared" si="49"/>
        <v>117661.13952717267</v>
      </c>
      <c r="J38" s="2">
        <f t="shared" si="19"/>
        <v>10818.472077591694</v>
      </c>
      <c r="K38" s="6">
        <f t="shared" si="20"/>
        <v>0.10125610241523526</v>
      </c>
      <c r="L38" s="7">
        <f t="shared" si="21"/>
        <v>1.1012561024152352</v>
      </c>
      <c r="N38">
        <f t="shared" si="22"/>
        <v>2010</v>
      </c>
      <c r="O38" s="2">
        <f t="shared" si="23"/>
        <v>5135.4959512269879</v>
      </c>
      <c r="P38" s="2"/>
      <c r="Q38" s="2"/>
      <c r="R38">
        <f t="shared" si="24"/>
        <v>2010</v>
      </c>
      <c r="S38" s="2">
        <f t="shared" si="25"/>
        <v>22443.817177383127</v>
      </c>
      <c r="T38" s="2"/>
      <c r="U38" s="2">
        <f t="shared" si="26"/>
        <v>27517.802895838086</v>
      </c>
      <c r="V38" s="2">
        <f t="shared" si="27"/>
        <v>12411.84126316595</v>
      </c>
      <c r="W38" s="2"/>
      <c r="X38" s="2">
        <f t="shared" si="28"/>
        <v>23597.664948475987</v>
      </c>
      <c r="Y38" s="2">
        <f t="shared" si="29"/>
        <v>26554.517291082528</v>
      </c>
      <c r="Z38" s="2">
        <f t="shared" si="30"/>
        <v>112525.64357594569</v>
      </c>
      <c r="AA38" s="2">
        <f t="shared" si="31"/>
        <v>10747.567794241419</v>
      </c>
      <c r="AB38" s="6">
        <f t="shared" si="32"/>
        <v>0.10559806433453335</v>
      </c>
      <c r="AC38" s="7">
        <f t="shared" si="33"/>
        <v>1.1055980643345333</v>
      </c>
      <c r="AD38" s="2">
        <f t="shared" si="34"/>
        <v>0</v>
      </c>
      <c r="AE38" s="2"/>
      <c r="AG38">
        <f t="shared" si="35"/>
        <v>2010</v>
      </c>
      <c r="AH38" s="6">
        <f t="shared" si="6"/>
        <v>0.19945513275145474</v>
      </c>
      <c r="AI38" s="6"/>
      <c r="AJ38" s="6">
        <f t="shared" si="6"/>
        <v>0.24454694966721782</v>
      </c>
      <c r="AK38" s="6">
        <f t="shared" si="6"/>
        <v>0.11030233526093065</v>
      </c>
      <c r="AL38" s="7"/>
      <c r="AM38" s="6">
        <f t="shared" si="6"/>
        <v>0.20970922003702627</v>
      </c>
      <c r="AN38" s="57">
        <f t="shared" si="36"/>
        <v>0.23598636228337036</v>
      </c>
      <c r="AO38" s="6">
        <f t="shared" si="37"/>
        <v>0.99999999999999989</v>
      </c>
      <c r="AP38" s="7">
        <f t="shared" si="38"/>
        <v>0.76401363771662956</v>
      </c>
      <c r="AQ38" s="7">
        <f t="shared" si="39"/>
        <v>0</v>
      </c>
      <c r="AR38" s="22"/>
      <c r="AS38">
        <f t="shared" si="40"/>
        <v>2010</v>
      </c>
      <c r="AT38" s="1" t="b">
        <f t="shared" si="41"/>
        <v>1</v>
      </c>
      <c r="AU38" s="1"/>
      <c r="AV38" s="1" t="b">
        <f t="shared" si="42"/>
        <v>1</v>
      </c>
      <c r="AW38" s="1" t="b">
        <f t="shared" si="43"/>
        <v>1</v>
      </c>
      <c r="AY38" s="1" t="b">
        <f t="shared" ref="AY38:AY39" si="62">AND((X38/$Z38)&gt;0.15,(X38/$Z38)&lt;0.25)</f>
        <v>1</v>
      </c>
      <c r="AZ38" s="35" t="b">
        <f t="shared" si="44"/>
        <v>0</v>
      </c>
      <c r="BA38" s="1" t="b">
        <f t="shared" si="45"/>
        <v>1</v>
      </c>
      <c r="BC38">
        <f t="shared" si="46"/>
        <v>2010</v>
      </c>
      <c r="BD38" s="36">
        <f>BD$27*$Z38</f>
        <v>22505.128715189141</v>
      </c>
      <c r="BE38" s="2"/>
      <c r="BF38" s="36">
        <f>BF$27*$Z38</f>
        <v>22505.128715189141</v>
      </c>
      <c r="BG38" s="36">
        <f>BG$27*$Z38</f>
        <v>11252.564357594571</v>
      </c>
      <c r="BH38" s="2"/>
      <c r="BI38" s="36">
        <f>BI$27*$Z38</f>
        <v>22505.128715189141</v>
      </c>
      <c r="BJ38" s="36">
        <f>BJ$27*$Z38</f>
        <v>33757.69307278371</v>
      </c>
      <c r="BK38" s="2">
        <f t="shared" si="47"/>
        <v>112525.64357594569</v>
      </c>
      <c r="BL38" s="2">
        <f t="shared" si="48"/>
        <v>0</v>
      </c>
      <c r="BM38" s="2"/>
    </row>
    <row r="39" spans="1:65" x14ac:dyDescent="0.25">
      <c r="A39">
        <f t="shared" si="7"/>
        <v>2011</v>
      </c>
      <c r="B39" s="2">
        <f t="shared" si="14"/>
        <v>22948.479750878367</v>
      </c>
      <c r="C39" s="2"/>
      <c r="D39" s="2">
        <f t="shared" si="15"/>
        <v>22030.270499298651</v>
      </c>
      <c r="E39" s="2">
        <f t="shared" si="16"/>
        <v>10937.492555581923</v>
      </c>
      <c r="F39" s="2"/>
      <c r="G39" s="2">
        <f t="shared" si="17"/>
        <v>19228.381974257602</v>
      </c>
      <c r="H39" s="2">
        <f t="shared" si="18"/>
        <v>36309.77466908616</v>
      </c>
      <c r="I39" s="2">
        <f t="shared" si="49"/>
        <v>111454.3994491027</v>
      </c>
      <c r="J39" s="2">
        <f t="shared" si="19"/>
        <v>-6206.7400780699681</v>
      </c>
      <c r="K39" s="6">
        <f t="shared" si="20"/>
        <v>-5.2750977111152182E-2</v>
      </c>
      <c r="L39" s="7">
        <f t="shared" si="21"/>
        <v>0.94724902288884782</v>
      </c>
      <c r="N39">
        <f t="shared" si="22"/>
        <v>2011</v>
      </c>
      <c r="O39" s="2">
        <f t="shared" si="23"/>
        <v>5289.5608297637973</v>
      </c>
      <c r="P39" s="2"/>
      <c r="Q39" s="2"/>
      <c r="R39">
        <f t="shared" si="24"/>
        <v>2011</v>
      </c>
      <c r="S39" s="2">
        <f t="shared" si="25"/>
        <v>21890.567584925608</v>
      </c>
      <c r="T39" s="2"/>
      <c r="U39" s="2">
        <f t="shared" si="26"/>
        <v>20972.358333345892</v>
      </c>
      <c r="V39" s="2">
        <f t="shared" si="27"/>
        <v>9879.5803896291636</v>
      </c>
      <c r="W39" s="2"/>
      <c r="X39" s="2">
        <f t="shared" si="28"/>
        <v>18170.469808304842</v>
      </c>
      <c r="Y39" s="2">
        <f t="shared" si="29"/>
        <v>35251.862503133401</v>
      </c>
      <c r="Z39" s="2">
        <f t="shared" si="30"/>
        <v>106164.8386193389</v>
      </c>
      <c r="AA39" s="2">
        <f t="shared" si="31"/>
        <v>-6360.804956606793</v>
      </c>
      <c r="AB39" s="6">
        <f t="shared" si="32"/>
        <v>-5.6527603437466808E-2</v>
      </c>
      <c r="AC39" s="7">
        <f t="shared" si="33"/>
        <v>0.94347239656253323</v>
      </c>
      <c r="AD39" s="2">
        <f t="shared" si="34"/>
        <v>0</v>
      </c>
      <c r="AE39" s="2"/>
      <c r="AG39">
        <f t="shared" si="35"/>
        <v>2011</v>
      </c>
      <c r="AH39" s="6">
        <f t="shared" ref="AH39:AM39" si="63">S39/$Z39</f>
        <v>0.20619413988293897</v>
      </c>
      <c r="AI39" s="7"/>
      <c r="AJ39" s="6">
        <f t="shared" si="63"/>
        <v>0.19754523819834247</v>
      </c>
      <c r="AK39" s="6">
        <f t="shared" si="63"/>
        <v>9.3058874464577265E-2</v>
      </c>
      <c r="AL39" s="7"/>
      <c r="AM39" s="6">
        <f t="shared" si="63"/>
        <v>0.17115336908725753</v>
      </c>
      <c r="AN39" s="6">
        <f t="shared" si="36"/>
        <v>0.33204837836688378</v>
      </c>
      <c r="AO39" s="6">
        <f t="shared" si="37"/>
        <v>1</v>
      </c>
      <c r="AP39" s="7">
        <f t="shared" si="38"/>
        <v>0.66795162163311628</v>
      </c>
      <c r="AQ39" s="7">
        <f t="shared" si="39"/>
        <v>0</v>
      </c>
      <c r="AR39" s="22"/>
      <c r="AS39">
        <f t="shared" si="40"/>
        <v>2011</v>
      </c>
      <c r="AT39" s="1" t="b">
        <f t="shared" si="41"/>
        <v>1</v>
      </c>
      <c r="AV39" s="1" t="b">
        <f t="shared" si="42"/>
        <v>1</v>
      </c>
      <c r="AW39" s="1" t="b">
        <f t="shared" si="43"/>
        <v>1</v>
      </c>
      <c r="AY39" s="1" t="b">
        <f t="shared" si="62"/>
        <v>1</v>
      </c>
      <c r="AZ39" s="1" t="b">
        <f t="shared" si="44"/>
        <v>1</v>
      </c>
      <c r="BA39" s="1" t="b">
        <f t="shared" si="45"/>
        <v>1</v>
      </c>
      <c r="BC39">
        <f t="shared" si="46"/>
        <v>2011</v>
      </c>
      <c r="BD39" s="2">
        <f t="shared" si="50"/>
        <v>21890.567584925608</v>
      </c>
      <c r="BE39" s="2"/>
      <c r="BF39" s="2">
        <f t="shared" si="51"/>
        <v>20972.358333345892</v>
      </c>
      <c r="BG39" s="2">
        <f t="shared" si="52"/>
        <v>9879.5803896291636</v>
      </c>
      <c r="BH39" s="2"/>
      <c r="BI39" s="2">
        <f t="shared" si="53"/>
        <v>18170.469808304842</v>
      </c>
      <c r="BJ39" s="2">
        <f t="shared" si="54"/>
        <v>35251.862503133401</v>
      </c>
      <c r="BK39" s="2">
        <f t="shared" si="47"/>
        <v>106164.8386193389</v>
      </c>
      <c r="BL39" s="2">
        <f t="shared" si="48"/>
        <v>0</v>
      </c>
      <c r="BM39" s="2"/>
    </row>
    <row r="40" spans="1:65" x14ac:dyDescent="0.25">
      <c r="A40">
        <f t="shared" si="7"/>
        <v>2012</v>
      </c>
      <c r="B40" s="2">
        <f t="shared" si="14"/>
        <v>25353.655376860836</v>
      </c>
      <c r="C40" s="2"/>
      <c r="D40" s="2">
        <f t="shared" si="15"/>
        <v>24285.99095001454</v>
      </c>
      <c r="E40" s="2">
        <f t="shared" si="16"/>
        <v>11661.856691918267</v>
      </c>
      <c r="F40" s="2"/>
      <c r="G40" s="2">
        <f t="shared" si="17"/>
        <v>21466.593031531342</v>
      </c>
      <c r="H40" s="2">
        <f t="shared" si="18"/>
        <v>36679.562934510301</v>
      </c>
      <c r="I40" s="2">
        <f t="shared" ref="I40:I42" si="64">SUM(B40:H40)</f>
        <v>119447.65898483529</v>
      </c>
      <c r="J40" s="2">
        <f t="shared" ref="J40:J42" si="65">I40-I39</f>
        <v>7993.2595357325918</v>
      </c>
      <c r="K40" s="6">
        <f t="shared" ref="K40:K42" si="66">(J40/I39)</f>
        <v>7.171775699516314E-2</v>
      </c>
      <c r="L40" s="7">
        <f t="shared" ref="L40:L42" si="67">K40+1</f>
        <v>1.071717756995163</v>
      </c>
      <c r="N40">
        <f t="shared" ref="N40:N42" si="68">A40</f>
        <v>2012</v>
      </c>
      <c r="O40" s="2">
        <f t="shared" si="23"/>
        <v>5384.7729246995459</v>
      </c>
      <c r="P40" s="2"/>
      <c r="Q40" s="2"/>
      <c r="R40">
        <f t="shared" ref="R40:R42" si="69">A40</f>
        <v>2012</v>
      </c>
      <c r="S40" s="2">
        <f t="shared" ref="S40:S42" si="70">B40-($O40/5)</f>
        <v>24276.700791920928</v>
      </c>
      <c r="T40" s="2"/>
      <c r="U40" s="2">
        <f t="shared" ref="U40:U42" si="71">D40-($O40/5)</f>
        <v>23209.036365074629</v>
      </c>
      <c r="V40" s="2">
        <f t="shared" ref="V40:V42" si="72">E40-($O40/5)</f>
        <v>10584.902106978358</v>
      </c>
      <c r="W40" s="2"/>
      <c r="X40" s="2">
        <f t="shared" ref="X40:X42" si="73">G40-($O40/5)</f>
        <v>20389.638446591431</v>
      </c>
      <c r="Y40" s="2">
        <f t="shared" ref="Y40:Y42" si="74">H40-($O40/5)</f>
        <v>35602.608349570393</v>
      </c>
      <c r="Z40" s="2">
        <f t="shared" ref="Z40:Z42" si="75">SUM(S40:Y40)</f>
        <v>114062.88606013573</v>
      </c>
      <c r="AA40" s="2">
        <f t="shared" ref="AA40:AA42" si="76">Z40-Z39</f>
        <v>7898.0474407968286</v>
      </c>
      <c r="AB40" s="6">
        <f t="shared" ref="AB40:AB42" si="77">(AA40/Z39)</f>
        <v>7.4394192498288478E-2</v>
      </c>
      <c r="AC40" s="7">
        <f t="shared" ref="AC40:AC42" si="78">AB40+1</f>
        <v>1.0743941924982885</v>
      </c>
      <c r="AD40" s="2">
        <f t="shared" ref="AD40:AD42" si="79">Z40-(I40-O40)</f>
        <v>0</v>
      </c>
      <c r="AE40" s="2"/>
      <c r="AG40">
        <f t="shared" ref="AG40:AG42" si="80">A40</f>
        <v>2012</v>
      </c>
      <c r="AH40" s="6">
        <f t="shared" ref="AH40:AH42" si="81">S40/$Z40</f>
        <v>0.21283610848775011</v>
      </c>
      <c r="AI40" s="7"/>
      <c r="AJ40" s="6">
        <f t="shared" ref="AJ40:AJ42" si="82">U40/$Z40</f>
        <v>0.20347579450899098</v>
      </c>
      <c r="AK40" s="6">
        <f t="shared" ref="AK40:AK42" si="83">V40/$Z40</f>
        <v>9.2798827669482539E-2</v>
      </c>
      <c r="AL40" s="7"/>
      <c r="AM40" s="6">
        <f t="shared" ref="AM40:AM42" si="84">X40/$Z40</f>
        <v>0.17875786902184551</v>
      </c>
      <c r="AN40" s="6">
        <f t="shared" ref="AN40:AN42" si="85">Y40/$Z40</f>
        <v>0.31213140031193093</v>
      </c>
      <c r="AO40" s="6">
        <f t="shared" ref="AO40:AO42" si="86">SUM(AH40:AN40)</f>
        <v>1</v>
      </c>
      <c r="AP40" s="7">
        <f t="shared" ref="AP40:AP42" si="87">SUM(AH40:AM40)</f>
        <v>0.68786859968806913</v>
      </c>
      <c r="AQ40" s="7">
        <f t="shared" ref="AQ40:AQ42" si="88">AO40-(AP40+AN40)</f>
        <v>0</v>
      </c>
      <c r="AR40" s="22"/>
      <c r="AS40">
        <f t="shared" ref="AS40:AS42" si="89">AG40</f>
        <v>2012</v>
      </c>
      <c r="AT40" s="1" t="b">
        <f t="shared" ref="AT40:AT42" si="90">AND((S40/$Z40)&gt;0.15,(S40/$Z40)&lt;0.25)</f>
        <v>1</v>
      </c>
      <c r="AV40" s="1" t="b">
        <f t="shared" ref="AV40:AV42" si="91">AND((U40/$Z40)&gt;0.15,(U40/$Z40)&lt;0.25)</f>
        <v>1</v>
      </c>
      <c r="AW40" s="1" t="b">
        <f t="shared" ref="AW40:AW42" si="92">AND((V40/$Z40)&gt;0.05,(V40/$Z40)&lt;0.15)</f>
        <v>1</v>
      </c>
      <c r="AY40" s="1" t="b">
        <f t="shared" ref="AY40:AY42" si="93">AND((X40/$Z40)&gt;0.15,(X40/$Z40)&lt;0.25)</f>
        <v>1</v>
      </c>
      <c r="AZ40" s="1" t="b">
        <f t="shared" ref="AZ40:AZ42" si="94">AND((Y40/$Z40)&gt;0.25,(Y40/$Z40)&lt;0.35)</f>
        <v>1</v>
      </c>
      <c r="BA40" s="1" t="b">
        <f t="shared" ref="BA40:BA42" si="95">AND((Z40/$Z40)&gt;0.999,(Z40/$Z40)&lt;1.01)</f>
        <v>1</v>
      </c>
      <c r="BC40">
        <f t="shared" ref="BC40:BC42" si="96">AS40</f>
        <v>2012</v>
      </c>
      <c r="BD40" s="2">
        <f t="shared" ref="BD40:BD41" si="97">S40</f>
        <v>24276.700791920928</v>
      </c>
      <c r="BE40" s="2"/>
      <c r="BF40" s="2">
        <f t="shared" ref="BF40:BF41" si="98">U40</f>
        <v>23209.036365074629</v>
      </c>
      <c r="BG40" s="2">
        <f t="shared" ref="BG40:BG41" si="99">V40</f>
        <v>10584.902106978358</v>
      </c>
      <c r="BH40" s="2"/>
      <c r="BI40" s="2">
        <f t="shared" ref="BI40:BI41" si="100">X40</f>
        <v>20389.638446591431</v>
      </c>
      <c r="BJ40" s="2">
        <f t="shared" ref="BJ40:BJ41" si="101">Y40</f>
        <v>35602.608349570393</v>
      </c>
      <c r="BK40" s="2">
        <f t="shared" ref="BK40:BK42" si="102">Z40</f>
        <v>114062.88606013573</v>
      </c>
      <c r="BL40" s="2">
        <f t="shared" ref="BL40:BL42" si="103">SUM(BD40:BJ40)-Z40</f>
        <v>0</v>
      </c>
      <c r="BM40" s="2"/>
    </row>
    <row r="41" spans="1:65" x14ac:dyDescent="0.25">
      <c r="A41">
        <f t="shared" si="7"/>
        <v>2013</v>
      </c>
      <c r="B41" s="2">
        <f t="shared" si="14"/>
        <v>32088.943106761086</v>
      </c>
      <c r="C41" s="2"/>
      <c r="D41" s="2">
        <f t="shared" si="15"/>
        <v>31332.199092850751</v>
      </c>
      <c r="E41" s="2">
        <f t="shared" si="16"/>
        <v>14566.942279623614</v>
      </c>
      <c r="F41" s="2"/>
      <c r="G41" s="2">
        <f t="shared" si="17"/>
        <v>23456.240068958778</v>
      </c>
      <c r="H41" s="2">
        <f t="shared" si="18"/>
        <v>34797.989400870101</v>
      </c>
      <c r="I41" s="2">
        <f t="shared" si="64"/>
        <v>136242.31394906432</v>
      </c>
      <c r="J41" s="2">
        <f t="shared" si="65"/>
        <v>16794.654964229034</v>
      </c>
      <c r="K41" s="6">
        <f t="shared" si="66"/>
        <v>0.14060262969541523</v>
      </c>
      <c r="L41" s="7">
        <f t="shared" si="67"/>
        <v>1.1406026296954153</v>
      </c>
      <c r="N41">
        <f t="shared" si="68"/>
        <v>2013</v>
      </c>
      <c r="O41" s="2">
        <f t="shared" si="23"/>
        <v>5446.9989139694262</v>
      </c>
      <c r="P41" s="2"/>
      <c r="Q41" s="2"/>
      <c r="R41">
        <f t="shared" si="69"/>
        <v>2013</v>
      </c>
      <c r="S41" s="2">
        <f t="shared" si="70"/>
        <v>30999.543323967202</v>
      </c>
      <c r="T41" s="2"/>
      <c r="U41" s="2">
        <f t="shared" si="71"/>
        <v>30242.799310056867</v>
      </c>
      <c r="V41" s="2">
        <f t="shared" si="72"/>
        <v>13477.542496829728</v>
      </c>
      <c r="W41" s="2"/>
      <c r="X41" s="2">
        <f t="shared" si="73"/>
        <v>22366.840286164894</v>
      </c>
      <c r="Y41" s="2">
        <f t="shared" si="74"/>
        <v>33708.589618076214</v>
      </c>
      <c r="Z41" s="2">
        <f t="shared" si="75"/>
        <v>130795.31503509491</v>
      </c>
      <c r="AA41" s="2">
        <f t="shared" si="76"/>
        <v>16732.428974959184</v>
      </c>
      <c r="AB41" s="6">
        <f t="shared" si="77"/>
        <v>0.14669477121714761</v>
      </c>
      <c r="AC41" s="7">
        <f t="shared" si="78"/>
        <v>1.1466947712171476</v>
      </c>
      <c r="AD41" s="2">
        <f t="shared" si="79"/>
        <v>0</v>
      </c>
      <c r="AE41" s="2"/>
      <c r="AG41">
        <f t="shared" si="80"/>
        <v>2013</v>
      </c>
      <c r="AH41" s="6">
        <f t="shared" si="81"/>
        <v>0.23700805579809509</v>
      </c>
      <c r="AI41" s="7"/>
      <c r="AJ41" s="6">
        <f t="shared" si="82"/>
        <v>0.23122234387326593</v>
      </c>
      <c r="AK41" s="6">
        <f t="shared" si="83"/>
        <v>0.10304300649616879</v>
      </c>
      <c r="AL41" s="7"/>
      <c r="AM41" s="6">
        <f t="shared" si="84"/>
        <v>0.17100643306806088</v>
      </c>
      <c r="AN41" s="6">
        <f t="shared" si="85"/>
        <v>0.25772016076440923</v>
      </c>
      <c r="AO41" s="6">
        <f t="shared" si="86"/>
        <v>1</v>
      </c>
      <c r="AP41" s="7">
        <f t="shared" si="87"/>
        <v>0.74227983923559071</v>
      </c>
      <c r="AQ41" s="7">
        <f t="shared" si="88"/>
        <v>0</v>
      </c>
      <c r="AR41" s="22"/>
      <c r="AS41">
        <f t="shared" si="89"/>
        <v>2013</v>
      </c>
      <c r="AT41" s="1" t="b">
        <f t="shared" si="90"/>
        <v>1</v>
      </c>
      <c r="AV41" s="1" t="b">
        <f t="shared" si="91"/>
        <v>1</v>
      </c>
      <c r="AW41" s="1" t="b">
        <f t="shared" si="92"/>
        <v>1</v>
      </c>
      <c r="AY41" s="1" t="b">
        <f t="shared" si="93"/>
        <v>1</v>
      </c>
      <c r="AZ41" s="1" t="b">
        <f t="shared" si="94"/>
        <v>1</v>
      </c>
      <c r="BA41" s="1" t="b">
        <f t="shared" si="95"/>
        <v>1</v>
      </c>
      <c r="BC41">
        <f t="shared" si="96"/>
        <v>2013</v>
      </c>
      <c r="BD41" s="2">
        <f t="shared" si="97"/>
        <v>30999.543323967202</v>
      </c>
      <c r="BE41" s="2"/>
      <c r="BF41" s="2">
        <f t="shared" si="98"/>
        <v>30242.799310056867</v>
      </c>
      <c r="BG41" s="2">
        <f t="shared" si="99"/>
        <v>13477.542496829728</v>
      </c>
      <c r="BH41" s="2"/>
      <c r="BI41" s="2">
        <f t="shared" si="100"/>
        <v>22366.840286164894</v>
      </c>
      <c r="BJ41" s="2">
        <f t="shared" si="101"/>
        <v>33708.589618076214</v>
      </c>
      <c r="BK41" s="2">
        <f t="shared" si="102"/>
        <v>130795.31503509491</v>
      </c>
      <c r="BL41" s="2">
        <f t="shared" si="103"/>
        <v>0</v>
      </c>
      <c r="BM41" s="2"/>
    </row>
    <row r="42" spans="1:65" x14ac:dyDescent="0.25">
      <c r="A42">
        <f t="shared" si="7"/>
        <v>2014</v>
      </c>
      <c r="B42" s="2">
        <f t="shared" si="14"/>
        <v>35187.581627035172</v>
      </c>
      <c r="C42" s="2"/>
      <c r="D42" s="2">
        <f t="shared" si="15"/>
        <v>34355.820016224607</v>
      </c>
      <c r="E42" s="2">
        <f t="shared" si="16"/>
        <v>14470.837378846081</v>
      </c>
      <c r="F42" s="2"/>
      <c r="G42" s="2">
        <f t="shared" si="17"/>
        <v>21418.486258031502</v>
      </c>
      <c r="H42" s="2">
        <f t="shared" si="18"/>
        <v>35650.204380077404</v>
      </c>
      <c r="I42" s="2">
        <f t="shared" si="64"/>
        <v>141082.92966021475</v>
      </c>
      <c r="J42" s="2">
        <f t="shared" si="65"/>
        <v>4840.615711150429</v>
      </c>
      <c r="K42" s="6">
        <f t="shared" si="66"/>
        <v>3.5529459026658529E-2</v>
      </c>
      <c r="L42" s="7">
        <f t="shared" si="67"/>
        <v>1.0355294590266586</v>
      </c>
      <c r="N42">
        <f t="shared" si="68"/>
        <v>2014</v>
      </c>
      <c r="O42" s="2">
        <f t="shared" si="23"/>
        <v>5517.265199959631</v>
      </c>
      <c r="P42" s="2"/>
      <c r="Q42" s="2"/>
      <c r="R42">
        <f t="shared" si="69"/>
        <v>2014</v>
      </c>
      <c r="S42" s="2">
        <f t="shared" si="70"/>
        <v>34084.128587043248</v>
      </c>
      <c r="T42" s="2"/>
      <c r="U42" s="2">
        <f t="shared" si="71"/>
        <v>33252.366976232683</v>
      </c>
      <c r="V42" s="2">
        <f t="shared" si="72"/>
        <v>13367.384338854155</v>
      </c>
      <c r="W42" s="2"/>
      <c r="X42" s="2">
        <f t="shared" si="73"/>
        <v>20315.033218039574</v>
      </c>
      <c r="Y42" s="2">
        <f t="shared" si="74"/>
        <v>34546.75134008548</v>
      </c>
      <c r="Z42" s="2">
        <f t="shared" si="75"/>
        <v>135565.66446025515</v>
      </c>
      <c r="AA42" s="2">
        <f t="shared" si="76"/>
        <v>4770.3494251602388</v>
      </c>
      <c r="AB42" s="6">
        <f t="shared" si="77"/>
        <v>3.6471867695568927E-2</v>
      </c>
      <c r="AC42" s="7">
        <f t="shared" si="78"/>
        <v>1.0364718676955689</v>
      </c>
      <c r="AD42" s="2">
        <f t="shared" si="79"/>
        <v>0</v>
      </c>
      <c r="AE42" s="2"/>
      <c r="AG42">
        <f t="shared" si="80"/>
        <v>2014</v>
      </c>
      <c r="AH42" s="6">
        <f t="shared" si="81"/>
        <v>0.25142154337343997</v>
      </c>
      <c r="AI42" s="7"/>
      <c r="AJ42" s="6">
        <f t="shared" si="82"/>
        <v>0.24528605461142811</v>
      </c>
      <c r="AK42" s="6">
        <f t="shared" si="83"/>
        <v>9.8604498359340653E-2</v>
      </c>
      <c r="AL42" s="7"/>
      <c r="AM42" s="6">
        <f t="shared" si="84"/>
        <v>0.149853823967318</v>
      </c>
      <c r="AN42" s="6">
        <f t="shared" si="85"/>
        <v>0.25483407968847321</v>
      </c>
      <c r="AO42" s="6">
        <f t="shared" si="86"/>
        <v>0.99999999999999978</v>
      </c>
      <c r="AP42" s="7">
        <f t="shared" si="87"/>
        <v>0.74516592031152662</v>
      </c>
      <c r="AQ42" s="7">
        <f t="shared" si="88"/>
        <v>0</v>
      </c>
      <c r="AR42" s="22"/>
      <c r="AS42">
        <f t="shared" si="89"/>
        <v>2014</v>
      </c>
      <c r="AT42" s="35" t="b">
        <f t="shared" si="90"/>
        <v>0</v>
      </c>
      <c r="AV42" s="1" t="b">
        <f t="shared" si="91"/>
        <v>1</v>
      </c>
      <c r="AW42" s="1" t="b">
        <f t="shared" si="92"/>
        <v>1</v>
      </c>
      <c r="AY42" s="35" t="b">
        <f t="shared" si="93"/>
        <v>0</v>
      </c>
      <c r="AZ42" s="1" t="b">
        <f t="shared" si="94"/>
        <v>1</v>
      </c>
      <c r="BA42" s="1" t="b">
        <f t="shared" si="95"/>
        <v>1</v>
      </c>
      <c r="BC42">
        <f t="shared" si="96"/>
        <v>2014</v>
      </c>
      <c r="BD42" s="36">
        <f>BD$27*$Z42</f>
        <v>27113.132892051031</v>
      </c>
      <c r="BE42" s="2"/>
      <c r="BF42" s="36">
        <f>BF$27*$Z42</f>
        <v>27113.132892051031</v>
      </c>
      <c r="BG42" s="36">
        <f>BG$27*$Z42</f>
        <v>13556.566446025516</v>
      </c>
      <c r="BH42" s="2"/>
      <c r="BI42" s="36">
        <f>BI$27*$Z42</f>
        <v>27113.132892051031</v>
      </c>
      <c r="BJ42" s="36">
        <f>BJ$27*$Z42</f>
        <v>40669.699338076542</v>
      </c>
      <c r="BK42" s="2">
        <f t="shared" si="102"/>
        <v>135565.66446025515</v>
      </c>
      <c r="BL42" s="2">
        <f t="shared" si="103"/>
        <v>0</v>
      </c>
      <c r="BM42" s="2"/>
    </row>
    <row r="43" spans="1:65" x14ac:dyDescent="0.25">
      <c r="A43">
        <f t="shared" si="7"/>
        <v>2015</v>
      </c>
      <c r="B43" s="2">
        <f t="shared" si="14"/>
        <v>27452.04705320167</v>
      </c>
      <c r="C43" s="2"/>
      <c r="D43" s="2">
        <f t="shared" ref="D43:E43" si="104">BF42*(1+(D19/100))</f>
        <v>26717.281151827086</v>
      </c>
      <c r="E43" s="2">
        <f t="shared" si="104"/>
        <v>13044.128234365751</v>
      </c>
      <c r="F43" s="2"/>
      <c r="G43" s="2">
        <f t="shared" ref="G43:H43" si="105">BI42*(1+(G19/100))</f>
        <v>25928.288984668401</v>
      </c>
      <c r="H43" s="2">
        <f t="shared" si="105"/>
        <v>40791.708436090768</v>
      </c>
      <c r="I43" s="2">
        <f t="shared" ref="I43" si="106">SUM(B43:H43)</f>
        <v>133933.45386015368</v>
      </c>
      <c r="J43" s="2">
        <f t="shared" ref="J43" si="107">I43-I42</f>
        <v>-7149.4758000610746</v>
      </c>
      <c r="K43" s="6">
        <f t="shared" ref="K43" si="108">(J43/I42)</f>
        <v>-5.0675697033510214E-2</v>
      </c>
      <c r="L43" s="7">
        <f t="shared" ref="L43" si="109">K43+1</f>
        <v>0.94932430296648973</v>
      </c>
      <c r="N43">
        <f t="shared" ref="N43" si="110">A43</f>
        <v>2015</v>
      </c>
      <c r="O43" s="2">
        <f t="shared" si="23"/>
        <v>5541.5411668394536</v>
      </c>
      <c r="P43" s="2"/>
      <c r="Q43" s="2"/>
      <c r="R43">
        <f t="shared" ref="R43" si="111">A43</f>
        <v>2015</v>
      </c>
      <c r="S43" s="2">
        <f t="shared" ref="S43" si="112">B43-($O43/5)</f>
        <v>26343.738819833779</v>
      </c>
      <c r="T43" s="2"/>
      <c r="U43" s="2">
        <f t="shared" ref="U43" si="113">D43-($O43/5)</f>
        <v>25608.972918459196</v>
      </c>
      <c r="V43" s="2">
        <f t="shared" ref="V43" si="114">E43-($O43/5)</f>
        <v>11935.820000997861</v>
      </c>
      <c r="W43" s="2"/>
      <c r="X43" s="2">
        <f t="shared" ref="X43" si="115">G43-($O43/5)</f>
        <v>24819.980751300511</v>
      </c>
      <c r="Y43" s="2">
        <f t="shared" ref="Y43" si="116">H43-($O43/5)</f>
        <v>39683.400202722878</v>
      </c>
      <c r="Z43" s="2">
        <f t="shared" ref="Z43" si="117">SUM(S43:Y43)</f>
        <v>128391.91269331423</v>
      </c>
      <c r="AA43" s="2">
        <f t="shared" ref="AA43" si="118">Z43-Z42</f>
        <v>-7173.7517669409281</v>
      </c>
      <c r="AB43" s="6">
        <f t="shared" ref="AB43" si="119">(AA43/Z42)</f>
        <v>-5.2917173352874415E-2</v>
      </c>
      <c r="AC43" s="7">
        <f t="shared" ref="AC43" si="120">AB43+1</f>
        <v>0.94708282664712562</v>
      </c>
      <c r="AD43" s="2">
        <f t="shared" ref="AD43" si="121">Z43-(I43-O43)</f>
        <v>0</v>
      </c>
      <c r="AE43" s="2"/>
      <c r="AG43">
        <f t="shared" ref="AG43" si="122">A43</f>
        <v>2015</v>
      </c>
      <c r="AH43" s="6">
        <f t="shared" ref="AH43" si="123">S43/$Z43</f>
        <v>0.20518222890533808</v>
      </c>
      <c r="AI43" s="7"/>
      <c r="AJ43" s="6">
        <f t="shared" ref="AJ43" si="124">U43/$Z43</f>
        <v>0.19945939258363224</v>
      </c>
      <c r="AK43" s="6">
        <f t="shared" ref="AK43" si="125">V43/$Z43</f>
        <v>9.2963955054619241E-2</v>
      </c>
      <c r="AL43" s="7"/>
      <c r="AM43" s="6">
        <f t="shared" ref="AM43" si="126">X43/$Z43</f>
        <v>0.19331420671788907</v>
      </c>
      <c r="AN43" s="6">
        <f t="shared" ref="AN43" si="127">Y43/$Z43</f>
        <v>0.30908021673852143</v>
      </c>
      <c r="AO43" s="6">
        <f t="shared" ref="AO43" si="128">SUM(AH43:AN43)</f>
        <v>1</v>
      </c>
      <c r="AP43" s="7">
        <f t="shared" ref="AP43" si="129">SUM(AH43:AM43)</f>
        <v>0.69091978326147863</v>
      </c>
      <c r="AQ43" s="7">
        <f t="shared" ref="AQ43" si="130">AO43-(AP43+AN43)</f>
        <v>0</v>
      </c>
      <c r="AR43" s="22"/>
      <c r="AS43">
        <f t="shared" ref="AS43" si="131">AG43</f>
        <v>2015</v>
      </c>
      <c r="AT43" s="1" t="b">
        <f t="shared" ref="AT43" si="132">AND((S43/$Z43)&gt;0.15,(S43/$Z43)&lt;0.25)</f>
        <v>1</v>
      </c>
      <c r="AV43" s="1" t="b">
        <f t="shared" ref="AV43" si="133">AND((U43/$Z43)&gt;0.15,(U43/$Z43)&lt;0.25)</f>
        <v>1</v>
      </c>
      <c r="AW43" s="1" t="b">
        <f t="shared" ref="AW43" si="134">AND((V43/$Z43)&gt;0.05,(V43/$Z43)&lt;0.15)</f>
        <v>1</v>
      </c>
      <c r="AY43" s="1" t="b">
        <f t="shared" ref="AY43" si="135">AND((X43/$Z43)&gt;0.15,(X43/$Z43)&lt;0.25)</f>
        <v>1</v>
      </c>
      <c r="AZ43" s="1" t="b">
        <f t="shared" ref="AZ43" si="136">AND((Y43/$Z43)&gt;0.25,(Y43/$Z43)&lt;0.35)</f>
        <v>1</v>
      </c>
      <c r="BA43" s="1" t="b">
        <f t="shared" ref="BA43" si="137">AND((Z43/$Z43)&gt;0.999,(Z43/$Z43)&lt;1.01)</f>
        <v>1</v>
      </c>
      <c r="BC43">
        <f t="shared" ref="BC43" si="138">AS43</f>
        <v>2015</v>
      </c>
      <c r="BD43" s="2">
        <f t="shared" ref="BD43" si="139">S43</f>
        <v>26343.738819833779</v>
      </c>
      <c r="BE43" s="2"/>
      <c r="BF43" s="2">
        <f t="shared" ref="BF43" si="140">U43</f>
        <v>25608.972918459196</v>
      </c>
      <c r="BG43" s="2">
        <f t="shared" ref="BG43" si="141">V43</f>
        <v>11935.820000997861</v>
      </c>
      <c r="BH43" s="2"/>
      <c r="BI43" s="2">
        <f t="shared" ref="BI43" si="142">X43</f>
        <v>24819.980751300511</v>
      </c>
      <c r="BJ43" s="2">
        <f t="shared" ref="BJ43" si="143">Y43</f>
        <v>39683.400202722878</v>
      </c>
      <c r="BK43" s="2">
        <f t="shared" ref="BK43" si="144">Z43</f>
        <v>128391.91269331423</v>
      </c>
      <c r="BL43" s="2">
        <f t="shared" ref="BL43" si="145">SUM(BD43:BJ43)-Z43</f>
        <v>0</v>
      </c>
      <c r="BM43" s="2"/>
    </row>
    <row r="44" spans="1:65" x14ac:dyDescent="0.25">
      <c r="A44">
        <f t="shared" ref="A44:A45" si="146">A20</f>
        <v>2016</v>
      </c>
      <c r="B44" s="2">
        <f t="shared" ref="B44:B45" si="147">BD43*(1+(B20/100))</f>
        <v>29457.568748338133</v>
      </c>
      <c r="C44" s="2"/>
      <c r="D44" s="2">
        <f t="shared" ref="D44:D45" si="148">BF43*(1+(D20/100))</f>
        <v>28443.88622053263</v>
      </c>
      <c r="E44" s="2">
        <f t="shared" ref="E44:E45" si="149">BG43*(1+(E20/100))</f>
        <v>14104.558495179172</v>
      </c>
      <c r="F44" s="2"/>
      <c r="G44" s="2">
        <f t="shared" ref="G44:G45" si="150">BI43*(1+(G20/100))</f>
        <v>25974.109856235984</v>
      </c>
      <c r="H44" s="2">
        <f t="shared" ref="H44:H45" si="151">BJ43*(1+(H20/100))</f>
        <v>40675.485207790945</v>
      </c>
      <c r="I44" s="2">
        <f t="shared" ref="I44:I45" si="152">SUM(B44:H44)</f>
        <v>138655.60852807685</v>
      </c>
      <c r="J44" s="2">
        <f t="shared" ref="J44:J45" si="153">I44-I43</f>
        <v>4722.1546679231687</v>
      </c>
      <c r="K44" s="6">
        <f t="shared" ref="K44:K45" si="154">(J44/I43)</f>
        <v>3.5257469525528669E-2</v>
      </c>
      <c r="L44" s="7">
        <f t="shared" ref="L44:L45" si="155">K44+1</f>
        <v>1.0352574695255288</v>
      </c>
      <c r="N44">
        <f t="shared" ref="N44:N45" si="156">A44</f>
        <v>2016</v>
      </c>
      <c r="O44" s="2">
        <f t="shared" ref="O44:O45" si="157">O43*(1+O20)</f>
        <v>5635.7473666757242</v>
      </c>
      <c r="P44" s="2"/>
      <c r="Q44" s="2"/>
      <c r="R44">
        <f t="shared" ref="R44:R45" si="158">A44</f>
        <v>2016</v>
      </c>
      <c r="S44" s="2">
        <f t="shared" ref="S44:S45" si="159">B44-($O44/5)</f>
        <v>28330.419275002987</v>
      </c>
      <c r="T44" s="2"/>
      <c r="U44" s="2">
        <f t="shared" ref="U44:U45" si="160">D44-($O44/5)</f>
        <v>27316.736747197483</v>
      </c>
      <c r="V44" s="2">
        <f t="shared" ref="V44:V45" si="161">E44-($O44/5)</f>
        <v>12977.409021844027</v>
      </c>
      <c r="W44" s="2"/>
      <c r="X44" s="2">
        <f t="shared" ref="X44:X45" si="162">G44-($O44/5)</f>
        <v>24846.960382900837</v>
      </c>
      <c r="Y44" s="2">
        <f t="shared" ref="Y44:Y45" si="163">H44-($O44/5)</f>
        <v>39548.335734455803</v>
      </c>
      <c r="Z44" s="2">
        <f t="shared" ref="Z44:Z45" si="164">SUM(S44:Y44)</f>
        <v>133019.86116140115</v>
      </c>
      <c r="AA44" s="2">
        <f t="shared" ref="AA44:AA45" si="165">Z44-Z43</f>
        <v>4627.9484680869209</v>
      </c>
      <c r="AB44" s="6">
        <f t="shared" ref="AB44:AB45" si="166">(AA44/Z43)</f>
        <v>3.6045482702182011E-2</v>
      </c>
      <c r="AC44" s="7">
        <f t="shared" ref="AC44:AC45" si="167">AB44+1</f>
        <v>1.0360454827021821</v>
      </c>
      <c r="AD44" s="2">
        <f t="shared" ref="AD44:AD45" si="168">Z44-(I44-O44)</f>
        <v>0</v>
      </c>
      <c r="AE44" s="2"/>
      <c r="AG44">
        <f t="shared" ref="AG44:AG45" si="169">A44</f>
        <v>2016</v>
      </c>
      <c r="AH44" s="6">
        <f t="shared" ref="AH44:AH45" si="170">S44/$Z44</f>
        <v>0.21297886667185703</v>
      </c>
      <c r="AI44" s="7"/>
      <c r="AJ44" s="6">
        <f t="shared" ref="AJ44:AJ45" si="171">U44/$Z44</f>
        <v>0.20535833152052693</v>
      </c>
      <c r="AK44" s="6">
        <f t="shared" ref="AK44:AK45" si="172">V44/$Z44</f>
        <v>9.7559935099449102E-2</v>
      </c>
      <c r="AL44" s="7"/>
      <c r="AM44" s="6">
        <f t="shared" ref="AM44:AM45" si="173">X44/$Z44</f>
        <v>0.1867913570647356</v>
      </c>
      <c r="AN44" s="6">
        <f t="shared" ref="AN44:AN45" si="174">Y44/$Z44</f>
        <v>0.29731150964343123</v>
      </c>
      <c r="AO44" s="6">
        <f t="shared" ref="AO44:AO45" si="175">SUM(AH44:AN44)</f>
        <v>0.99999999999999989</v>
      </c>
      <c r="AP44" s="7">
        <f t="shared" ref="AP44:AP45" si="176">SUM(AH44:AM44)</f>
        <v>0.70268849035656866</v>
      </c>
      <c r="AQ44" s="7">
        <f t="shared" ref="AQ44:AQ45" si="177">AO44-(AP44+AN44)</f>
        <v>0</v>
      </c>
      <c r="AR44" s="22"/>
      <c r="AS44">
        <f t="shared" ref="AS44:AS45" si="178">AG44</f>
        <v>2016</v>
      </c>
      <c r="AT44" s="1" t="b">
        <f t="shared" ref="AT44:AT45" si="179">AND((S44/$Z44)&gt;0.15,(S44/$Z44)&lt;0.25)</f>
        <v>1</v>
      </c>
      <c r="AV44" s="1" t="b">
        <f t="shared" ref="AV44:AV45" si="180">AND((U44/$Z44)&gt;0.15,(U44/$Z44)&lt;0.25)</f>
        <v>1</v>
      </c>
      <c r="AW44" s="1" t="b">
        <f t="shared" ref="AW44:AW45" si="181">AND((V44/$Z44)&gt;0.05,(V44/$Z44)&lt;0.15)</f>
        <v>1</v>
      </c>
      <c r="AY44" s="1" t="b">
        <f t="shared" ref="AY44:AY45" si="182">AND((X44/$Z44)&gt;0.15,(X44/$Z44)&lt;0.25)</f>
        <v>1</v>
      </c>
      <c r="AZ44" s="1" t="b">
        <f t="shared" ref="AZ44:AZ45" si="183">AND((Y44/$Z44)&gt;0.25,(Y44/$Z44)&lt;0.35)</f>
        <v>1</v>
      </c>
      <c r="BA44" s="1" t="b">
        <f t="shared" ref="BA44:BA45" si="184">AND((Z44/$Z44)&gt;0.999,(Z44/$Z44)&lt;1.01)</f>
        <v>1</v>
      </c>
      <c r="BC44">
        <f t="shared" ref="BC44:BC45" si="185">AS44</f>
        <v>2016</v>
      </c>
      <c r="BD44" s="2">
        <f t="shared" ref="BD44:BD45" si="186">S44</f>
        <v>28330.419275002987</v>
      </c>
      <c r="BE44" s="2"/>
      <c r="BF44" s="2">
        <f t="shared" ref="BF44:BF45" si="187">U44</f>
        <v>27316.736747197483</v>
      </c>
      <c r="BG44" s="2">
        <f t="shared" ref="BG44:BG45" si="188">V44</f>
        <v>12977.409021844027</v>
      </c>
      <c r="BH44" s="2"/>
      <c r="BI44" s="2">
        <f t="shared" ref="BI44:BI45" si="189">X44</f>
        <v>24846.960382900837</v>
      </c>
      <c r="BJ44" s="2">
        <f t="shared" ref="BJ44:BJ45" si="190">Y44</f>
        <v>39548.335734455803</v>
      </c>
      <c r="BK44" s="2">
        <f t="shared" ref="BK44:BK45" si="191">Z44</f>
        <v>133019.86116140115</v>
      </c>
      <c r="BL44" s="2">
        <f t="shared" ref="BL44:BL45" si="192">SUM(BD44:BJ44)-Z44</f>
        <v>0</v>
      </c>
      <c r="BM44" s="2"/>
    </row>
    <row r="45" spans="1:65" x14ac:dyDescent="0.25">
      <c r="A45">
        <f t="shared" si="146"/>
        <v>2017</v>
      </c>
      <c r="B45" s="2">
        <f t="shared" si="147"/>
        <v>34469.621131896129</v>
      </c>
      <c r="C45" s="2"/>
      <c r="D45" s="2">
        <f t="shared" si="148"/>
        <v>32670.817149648188</v>
      </c>
      <c r="E45" s="2">
        <f t="shared" si="149"/>
        <v>15066.771874360915</v>
      </c>
      <c r="F45" s="2"/>
      <c r="G45" s="2">
        <f t="shared" si="150"/>
        <v>31655.027527815666</v>
      </c>
      <c r="H45" s="2">
        <f t="shared" si="151"/>
        <v>40916.708150867969</v>
      </c>
      <c r="I45" s="2">
        <f t="shared" si="152"/>
        <v>154778.94583458884</v>
      </c>
      <c r="J45" s="2">
        <f t="shared" si="153"/>
        <v>16123.337306511996</v>
      </c>
      <c r="K45" s="6">
        <f t="shared" si="154"/>
        <v>0.11628334026781993</v>
      </c>
      <c r="L45" s="7">
        <f t="shared" si="155"/>
        <v>1.1162833402678198</v>
      </c>
      <c r="N45">
        <f t="shared" si="156"/>
        <v>2017</v>
      </c>
      <c r="O45" s="2">
        <f t="shared" si="157"/>
        <v>5761.4245329525929</v>
      </c>
      <c r="P45" s="2"/>
      <c r="Q45" s="2"/>
      <c r="R45">
        <f t="shared" si="158"/>
        <v>2017</v>
      </c>
      <c r="S45" s="2">
        <f t="shared" si="159"/>
        <v>33317.336225305611</v>
      </c>
      <c r="T45" s="2"/>
      <c r="U45" s="2">
        <f t="shared" si="160"/>
        <v>31518.532243057671</v>
      </c>
      <c r="V45" s="2">
        <f t="shared" si="161"/>
        <v>13914.486967770395</v>
      </c>
      <c r="W45" s="2"/>
      <c r="X45" s="2">
        <f t="shared" si="162"/>
        <v>30502.742621225148</v>
      </c>
      <c r="Y45" s="2">
        <f t="shared" si="163"/>
        <v>39764.423244277452</v>
      </c>
      <c r="Z45" s="2">
        <f t="shared" si="164"/>
        <v>149017.52130163627</v>
      </c>
      <c r="AA45" s="2">
        <f t="shared" si="165"/>
        <v>15997.660140235123</v>
      </c>
      <c r="AB45" s="6">
        <f t="shared" si="166"/>
        <v>0.12026519950148032</v>
      </c>
      <c r="AC45" s="7">
        <f t="shared" si="167"/>
        <v>1.1202651995014803</v>
      </c>
      <c r="AD45" s="2">
        <f t="shared" si="168"/>
        <v>0</v>
      </c>
      <c r="AE45" s="2"/>
      <c r="AG45">
        <f t="shared" si="169"/>
        <v>2017</v>
      </c>
      <c r="AH45" s="6">
        <f t="shared" si="170"/>
        <v>0.22357999203238507</v>
      </c>
      <c r="AI45" s="7"/>
      <c r="AJ45" s="6">
        <f t="shared" si="171"/>
        <v>0.21150890155566951</v>
      </c>
      <c r="AK45" s="6">
        <f t="shared" si="172"/>
        <v>9.3374838382965439E-2</v>
      </c>
      <c r="AL45" s="7"/>
      <c r="AM45" s="6">
        <f t="shared" si="173"/>
        <v>0.20469232312274555</v>
      </c>
      <c r="AN45" s="6">
        <f t="shared" si="174"/>
        <v>0.26684394490623448</v>
      </c>
      <c r="AO45" s="6">
        <f t="shared" si="175"/>
        <v>1</v>
      </c>
      <c r="AP45" s="7">
        <f t="shared" si="176"/>
        <v>0.73315605509376558</v>
      </c>
      <c r="AQ45" s="7">
        <f t="shared" si="177"/>
        <v>0</v>
      </c>
      <c r="AR45" s="22"/>
      <c r="AS45">
        <f t="shared" si="178"/>
        <v>2017</v>
      </c>
      <c r="AT45" s="1" t="b">
        <f t="shared" si="179"/>
        <v>1</v>
      </c>
      <c r="AV45" s="1" t="b">
        <f t="shared" si="180"/>
        <v>1</v>
      </c>
      <c r="AW45" s="1" t="b">
        <f t="shared" si="181"/>
        <v>1</v>
      </c>
      <c r="AY45" s="1" t="b">
        <f t="shared" si="182"/>
        <v>1</v>
      </c>
      <c r="AZ45" s="1" t="b">
        <f t="shared" si="183"/>
        <v>1</v>
      </c>
      <c r="BA45" s="1" t="b">
        <f t="shared" si="184"/>
        <v>1</v>
      </c>
      <c r="BC45">
        <f t="shared" si="185"/>
        <v>2017</v>
      </c>
      <c r="BD45" s="2">
        <f t="shared" si="186"/>
        <v>33317.336225305611</v>
      </c>
      <c r="BE45" s="2"/>
      <c r="BF45" s="2">
        <f t="shared" si="187"/>
        <v>31518.532243057671</v>
      </c>
      <c r="BG45" s="2">
        <f t="shared" si="188"/>
        <v>13914.486967770395</v>
      </c>
      <c r="BH45" s="2"/>
      <c r="BI45" s="2">
        <f t="shared" si="189"/>
        <v>30502.742621225148</v>
      </c>
      <c r="BJ45" s="2">
        <f t="shared" si="190"/>
        <v>39764.423244277452</v>
      </c>
      <c r="BK45" s="2">
        <f t="shared" si="191"/>
        <v>149017.52130163627</v>
      </c>
      <c r="BL45" s="2">
        <f t="shared" si="192"/>
        <v>0</v>
      </c>
      <c r="BM45" s="2"/>
    </row>
    <row r="46" spans="1:65" x14ac:dyDescent="0.25">
      <c r="A46" s="9" t="s">
        <v>41</v>
      </c>
      <c r="B46" s="10">
        <f>BD45</f>
        <v>33317.336225305611</v>
      </c>
      <c r="C46" s="10"/>
      <c r="D46" s="10">
        <f>BF45</f>
        <v>31518.532243057671</v>
      </c>
      <c r="E46" s="10">
        <f>BG45</f>
        <v>13914.486967770395</v>
      </c>
      <c r="F46" s="10"/>
      <c r="G46" s="10">
        <f>BI45</f>
        <v>30502.742621225148</v>
      </c>
      <c r="H46" s="10">
        <f>BJ45</f>
        <v>39764.423244277452</v>
      </c>
      <c r="I46" s="10">
        <f>SUM(B46:H46)</f>
        <v>149017.52130163627</v>
      </c>
      <c r="J46" s="10"/>
      <c r="K46" s="10"/>
      <c r="N46" t="s">
        <v>68</v>
      </c>
      <c r="O46" s="2">
        <f>O42</f>
        <v>5517.265199959631</v>
      </c>
      <c r="P46" s="2"/>
      <c r="R46" s="9" t="s">
        <v>41</v>
      </c>
      <c r="S46" s="10">
        <f>S45</f>
        <v>33317.336225305611</v>
      </c>
      <c r="T46" s="10"/>
      <c r="U46" s="10">
        <f>U45</f>
        <v>31518.532243057671</v>
      </c>
      <c r="V46" s="10">
        <f>V45</f>
        <v>13914.486967770395</v>
      </c>
      <c r="W46" s="10"/>
      <c r="X46" s="10">
        <f>X45</f>
        <v>30502.742621225148</v>
      </c>
      <c r="Y46" s="10">
        <f>Y45</f>
        <v>39764.423244277452</v>
      </c>
      <c r="Z46" s="10">
        <f>SUM(S46:Y46)</f>
        <v>149017.52130163627</v>
      </c>
      <c r="AA46" s="10"/>
      <c r="AB46" s="10"/>
      <c r="AD46" s="40"/>
      <c r="AE46" s="40"/>
      <c r="AK46" s="7"/>
    </row>
    <row r="47" spans="1:65" x14ac:dyDescent="0.25">
      <c r="A47" s="11" t="s">
        <v>28</v>
      </c>
      <c r="I47" s="6">
        <f>(Z46-Z27)/Z27</f>
        <v>0.49017521301636269</v>
      </c>
      <c r="K47" s="6"/>
      <c r="N47" t="s">
        <v>114</v>
      </c>
      <c r="O47" s="2">
        <f>SUM(O28:O45)</f>
        <v>89231.099390012838</v>
      </c>
      <c r="P47" s="2"/>
      <c r="AB47" s="6"/>
    </row>
    <row r="48" spans="1:65" x14ac:dyDescent="0.25">
      <c r="A48" s="1" t="s">
        <v>29</v>
      </c>
      <c r="I48" s="12">
        <f>STDEV(AC28:AC45)</f>
        <v>0.12619615641442664</v>
      </c>
    </row>
    <row r="49" spans="1:16" x14ac:dyDescent="0.25">
      <c r="A49" s="1" t="s">
        <v>30</v>
      </c>
      <c r="I49" s="13">
        <f>((1+I47)^(1/16))-1</f>
        <v>2.5244229206420776E-2</v>
      </c>
    </row>
    <row r="50" spans="1:16" x14ac:dyDescent="0.25">
      <c r="A50" s="1" t="s">
        <v>45</v>
      </c>
      <c r="I50" s="28">
        <f>AA36</f>
        <v>-37557.854552314689</v>
      </c>
      <c r="O50" s="2"/>
      <c r="P50" s="2"/>
    </row>
    <row r="51" spans="1:16" x14ac:dyDescent="0.25">
      <c r="A51" s="1" t="s">
        <v>46</v>
      </c>
      <c r="I51" s="29">
        <f>AB36</f>
        <v>-0.30709285656811741</v>
      </c>
    </row>
    <row r="52" spans="1:16" x14ac:dyDescent="0.25">
      <c r="A52" s="1" t="s">
        <v>22</v>
      </c>
      <c r="I52" s="2">
        <f>O47</f>
        <v>89231.099390012838</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56"/>
  <sheetViews>
    <sheetView workbookViewId="0">
      <selection activeCell="C40" sqref="C40"/>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95</v>
      </c>
      <c r="N1" s="18" t="s">
        <v>67</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86"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1" spans="1:86"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 Withdrawals-No Rebalancing'!N21</f>
        <v>2017</v>
      </c>
      <c r="O21" s="47">
        <f>'4% Withdrawals-No Rebalancing'!O21</f>
        <v>2.23E-2</v>
      </c>
      <c r="P21" s="41"/>
    </row>
    <row r="24" spans="1:86" x14ac:dyDescent="0.25">
      <c r="A24" s="18" t="s">
        <v>14</v>
      </c>
      <c r="N24" s="18" t="s">
        <v>119</v>
      </c>
      <c r="R24" s="18" t="s">
        <v>20</v>
      </c>
      <c r="AG24" s="18" t="s">
        <v>21</v>
      </c>
      <c r="AT24" s="18" t="s">
        <v>25</v>
      </c>
      <c r="BN24" s="18" t="s">
        <v>121</v>
      </c>
    </row>
    <row r="25" spans="1:86"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S25" s="4" t="str">
        <f t="shared" ref="S25:Z27"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5" t="s">
        <v>7</v>
      </c>
      <c r="AT25" s="4" t="str">
        <f>AH25</f>
        <v>LC Stocks</v>
      </c>
      <c r="AU25" s="4" t="str">
        <f t="shared" ref="AU25:BA26" si="3">AI25</f>
        <v>Ext Mkt</v>
      </c>
      <c r="AV25" s="4" t="str">
        <f t="shared" si="3"/>
        <v>Mcap Stk</v>
      </c>
      <c r="AW25" s="4" t="str">
        <f t="shared" si="3"/>
        <v>Small Cap</v>
      </c>
      <c r="AX25" s="4" t="str">
        <f t="shared" si="3"/>
        <v>Intl Val</v>
      </c>
      <c r="AY25" s="4" t="str">
        <f t="shared" si="3"/>
        <v>Tot Int Stk</v>
      </c>
      <c r="AZ25" s="4" t="str">
        <f t="shared" si="3"/>
        <v>Bonds</v>
      </c>
      <c r="BA25" s="4">
        <f t="shared" si="3"/>
        <v>0</v>
      </c>
      <c r="BB25" t="s">
        <v>51</v>
      </c>
      <c r="BO25" s="4" t="str">
        <f t="shared" ref="BO25:BU27" si="4">AH25</f>
        <v>LC Stocks</v>
      </c>
      <c r="BP25" s="4" t="str">
        <f t="shared" si="4"/>
        <v>Ext Mkt</v>
      </c>
      <c r="BQ25" s="4" t="str">
        <f t="shared" si="4"/>
        <v>Mcap Stk</v>
      </c>
      <c r="BR25" s="4" t="str">
        <f t="shared" si="4"/>
        <v>Small Cap</v>
      </c>
      <c r="BS25" s="4" t="str">
        <f t="shared" si="4"/>
        <v>Intl Val</v>
      </c>
      <c r="BT25" s="4" t="str">
        <f t="shared" si="4"/>
        <v>Tot Int Stk</v>
      </c>
      <c r="BU25" s="4" t="str">
        <f t="shared" si="4"/>
        <v>Bonds</v>
      </c>
      <c r="BV25" s="5"/>
    </row>
    <row r="26" spans="1:86"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5" t="s">
        <v>50</v>
      </c>
      <c r="AS26" t="s">
        <v>116</v>
      </c>
      <c r="AT26" s="4" t="str">
        <f>AH26</f>
        <v>VFINX</v>
      </c>
      <c r="AU26" s="4" t="str">
        <f t="shared" si="3"/>
        <v>VEXMX</v>
      </c>
      <c r="AV26" s="4" t="str">
        <f t="shared" si="3"/>
        <v>VIMSX</v>
      </c>
      <c r="AW26" s="4" t="str">
        <f t="shared" si="3"/>
        <v>NAESX</v>
      </c>
      <c r="AX26" s="4" t="str">
        <f t="shared" si="3"/>
        <v>VTRIX</v>
      </c>
      <c r="AY26" s="4" t="str">
        <f t="shared" si="3"/>
        <v>VGTSX</v>
      </c>
      <c r="AZ26" s="4" t="str">
        <f t="shared" si="3"/>
        <v>VBMFX</v>
      </c>
      <c r="BA26" s="4" t="str">
        <f t="shared" si="3"/>
        <v>Total</v>
      </c>
      <c r="BB26" t="s">
        <v>50</v>
      </c>
      <c r="BN26" t="str">
        <f t="shared" ref="BN26:BN42" si="5">AG26</f>
        <v>Fund</v>
      </c>
      <c r="BO26" s="4" t="str">
        <f t="shared" si="4"/>
        <v>VFINX</v>
      </c>
      <c r="BP26" s="4" t="str">
        <f t="shared" si="4"/>
        <v>VEXMX</v>
      </c>
      <c r="BQ26" s="4" t="str">
        <f t="shared" si="4"/>
        <v>VIMSX</v>
      </c>
      <c r="BR26" s="4" t="str">
        <f t="shared" si="4"/>
        <v>NAESX</v>
      </c>
      <c r="BS26" s="4" t="str">
        <f t="shared" si="4"/>
        <v>VTRIX</v>
      </c>
      <c r="BT26" s="4" t="str">
        <f t="shared" si="4"/>
        <v>VGTSX</v>
      </c>
      <c r="BU26" s="4" t="str">
        <f t="shared" si="4"/>
        <v>VBMFX</v>
      </c>
      <c r="BV26" s="4" t="str">
        <f>AO26</f>
        <v>Total</v>
      </c>
    </row>
    <row r="27" spans="1:86"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N27" s="19"/>
      <c r="R27" t="str">
        <f>A27</f>
        <v>Stating Balance</v>
      </c>
      <c r="S27" s="2">
        <f>B27</f>
        <v>20000</v>
      </c>
      <c r="T27" s="2">
        <f t="shared" si="1"/>
        <v>0</v>
      </c>
      <c r="U27" s="2">
        <f t="shared" si="1"/>
        <v>20000</v>
      </c>
      <c r="V27" s="2">
        <f t="shared" si="1"/>
        <v>10000</v>
      </c>
      <c r="W27" s="2">
        <f t="shared" si="1"/>
        <v>0</v>
      </c>
      <c r="X27" s="2">
        <f t="shared" si="1"/>
        <v>20000</v>
      </c>
      <c r="Y27" s="2">
        <f t="shared" si="1"/>
        <v>30000</v>
      </c>
      <c r="Z27" s="2">
        <f t="shared" si="1"/>
        <v>100000</v>
      </c>
      <c r="AD27" s="2"/>
      <c r="AE27" s="2"/>
      <c r="AG27" s="19" t="s">
        <v>49</v>
      </c>
      <c r="AH27" s="6">
        <f t="shared" ref="AH27:AM38" si="6">S27/$Z27</f>
        <v>0.2</v>
      </c>
      <c r="AI27" s="6"/>
      <c r="AJ27" s="6">
        <f t="shared" si="6"/>
        <v>0.2</v>
      </c>
      <c r="AK27" s="6">
        <f t="shared" si="6"/>
        <v>0.1</v>
      </c>
      <c r="AL27" s="6"/>
      <c r="AM27" s="6">
        <f t="shared" si="6"/>
        <v>0.2</v>
      </c>
      <c r="AN27" s="6">
        <f>Y27/$Z27</f>
        <v>0.3</v>
      </c>
      <c r="AO27" s="55">
        <f>SUM(AH27:AN27)</f>
        <v>1</v>
      </c>
      <c r="AP27" s="22"/>
      <c r="AS27" s="19" t="str">
        <f t="shared" ref="AS27" si="7">BN27</f>
        <v>Target Allocation</v>
      </c>
      <c r="AT27" s="22">
        <f>AH27</f>
        <v>0.2</v>
      </c>
      <c r="AU27" s="22"/>
      <c r="AV27" s="22">
        <f>AJ27</f>
        <v>0.2</v>
      </c>
      <c r="AW27" s="22">
        <f>AK27</f>
        <v>0.1</v>
      </c>
      <c r="AX27" s="22"/>
      <c r="AY27" s="22">
        <f>AM27</f>
        <v>0.2</v>
      </c>
      <c r="AZ27" s="22">
        <f>AN27</f>
        <v>0.3</v>
      </c>
      <c r="BA27" s="22">
        <f>AO27</f>
        <v>1</v>
      </c>
      <c r="BB27" s="2"/>
      <c r="BC27" s="2"/>
      <c r="BM27" s="22"/>
      <c r="BN27" s="19" t="str">
        <f t="shared" si="5"/>
        <v>Target Allocation</v>
      </c>
      <c r="BO27" s="22">
        <f t="shared" si="4"/>
        <v>0.2</v>
      </c>
      <c r="BP27" s="22">
        <f t="shared" si="4"/>
        <v>0</v>
      </c>
      <c r="BQ27" s="23">
        <f t="shared" si="4"/>
        <v>0.2</v>
      </c>
      <c r="BR27" s="23">
        <f t="shared" si="4"/>
        <v>0.1</v>
      </c>
      <c r="BS27" s="22">
        <f t="shared" si="4"/>
        <v>0</v>
      </c>
      <c r="BT27" s="23">
        <f t="shared" si="4"/>
        <v>0.2</v>
      </c>
      <c r="BU27" s="22">
        <f t="shared" si="4"/>
        <v>0.3</v>
      </c>
      <c r="BV27" s="22">
        <f>AO27</f>
        <v>1</v>
      </c>
    </row>
    <row r="28" spans="1:86" x14ac:dyDescent="0.25">
      <c r="A28">
        <f t="shared" ref="A28:A43" si="8">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N28">
        <f>A28</f>
        <v>2000</v>
      </c>
      <c r="O28" s="2">
        <f>I28*0.04</f>
        <v>4073.4120000000003</v>
      </c>
      <c r="P28" s="2"/>
      <c r="Q28" s="2"/>
      <c r="R28">
        <f>A28</f>
        <v>2000</v>
      </c>
      <c r="S28" s="2">
        <f t="shared" ref="S28:S39" si="9">B28-($O28/5)</f>
        <v>17373.317599999998</v>
      </c>
      <c r="T28" s="2"/>
      <c r="U28" s="2">
        <f t="shared" ref="U28:U39" si="10">D28-($O28/5)</f>
        <v>22804.917599999997</v>
      </c>
      <c r="V28" s="2">
        <f t="shared" ref="V28:V39" si="11">E28-($O28/5)</f>
        <v>8918.8176000000003</v>
      </c>
      <c r="W28" s="2"/>
      <c r="X28" s="2">
        <f t="shared" ref="X28:X39" si="12">G28-($O28/5)</f>
        <v>16062.517600000001</v>
      </c>
      <c r="Y28" s="2">
        <f t="shared" ref="Y28:Y39" si="13">H28-($O28/5)</f>
        <v>32602.317599999998</v>
      </c>
      <c r="Z28" s="2">
        <f>SUM(S28:Y28)</f>
        <v>97761.887999999992</v>
      </c>
      <c r="AA28" s="2">
        <f>Z28-Z27</f>
        <v>-2238.1120000000083</v>
      </c>
      <c r="AB28" s="6">
        <f>(AA28/Z27)</f>
        <v>-2.2381120000000084E-2</v>
      </c>
      <c r="AC28" s="7">
        <f>AB28+1</f>
        <v>0.97761887999999997</v>
      </c>
      <c r="AD28" s="2">
        <f>Z28-(I28-O28)</f>
        <v>0</v>
      </c>
      <c r="AE28" s="2"/>
      <c r="AG28">
        <f t="shared" ref="AG28:AG40" si="14">A28</f>
        <v>2000</v>
      </c>
      <c r="AH28" s="6">
        <f t="shared" si="6"/>
        <v>0.17771053685051583</v>
      </c>
      <c r="AI28" s="6"/>
      <c r="AJ28" s="6">
        <f t="shared" si="6"/>
        <v>0.23327002031711988</v>
      </c>
      <c r="AK28" s="6">
        <f t="shared" si="6"/>
        <v>9.1230005705290815E-2</v>
      </c>
      <c r="AL28" s="6"/>
      <c r="AM28" s="6">
        <f t="shared" si="6"/>
        <v>0.16430244882341064</v>
      </c>
      <c r="AN28" s="6">
        <f t="shared" ref="AN28:AN40" si="15">Y28/$Z28</f>
        <v>0.33348698830366291</v>
      </c>
      <c r="AO28" s="55">
        <f t="shared" ref="AO28:AO40" si="16">SUM(AH28:AN28)</f>
        <v>1</v>
      </c>
      <c r="AP28" s="7">
        <f>SUM(AH28:AM28)</f>
        <v>0.66651301169633714</v>
      </c>
      <c r="AQ28" s="7">
        <f>AO28-(AP28+AN28)</f>
        <v>0</v>
      </c>
      <c r="AS28">
        <f>A28</f>
        <v>2000</v>
      </c>
      <c r="AT28" s="2">
        <f>S28</f>
        <v>17373.317599999998</v>
      </c>
      <c r="AU28" s="2"/>
      <c r="AV28" s="2">
        <f>U28</f>
        <v>22804.917599999997</v>
      </c>
      <c r="AW28" s="2">
        <f>V28</f>
        <v>8918.8176000000003</v>
      </c>
      <c r="AX28" s="2"/>
      <c r="AY28" s="2">
        <f>X28</f>
        <v>16062.517600000001</v>
      </c>
      <c r="AZ28" s="2">
        <f>Y28</f>
        <v>32602.317599999998</v>
      </c>
      <c r="BA28" s="2">
        <f t="shared" ref="BA28:BA40" si="17">Z28</f>
        <v>97761.887999999992</v>
      </c>
      <c r="BB28" s="2">
        <f t="shared" ref="BB28:BB40" si="18">SUM(AT28:AZ28)-Z28</f>
        <v>0</v>
      </c>
      <c r="BC28" s="2"/>
      <c r="BM28" s="22"/>
      <c r="BN28">
        <f t="shared" si="5"/>
        <v>2000</v>
      </c>
      <c r="BO28" s="1" t="b">
        <f>AND((S28/$Z28)&gt;0.15,(S28/$Z28)&lt;0.25)</f>
        <v>1</v>
      </c>
      <c r="BP28" s="1" t="b">
        <f>AND((T28/$Z28)&gt;0.25,(T28/$Z28)&lt;0.35)</f>
        <v>0</v>
      </c>
      <c r="BS28" s="1" t="b">
        <f t="shared" ref="BS28:BS36" si="19">AND((W28/$Z28)&gt;0.15,(W28/$Z28)&lt;0.25)</f>
        <v>0</v>
      </c>
      <c r="BU28" s="1" t="b">
        <f>AND((Y28/$Z28)&gt;0.25,(Y28/$Z28)&lt;0.35)</f>
        <v>1</v>
      </c>
      <c r="BV28" s="1" t="b">
        <f>AND((Z28/$Z28)&gt;0.999,(Z28/$Z28)&lt;1.01)</f>
        <v>1</v>
      </c>
      <c r="CH28" s="2"/>
    </row>
    <row r="29" spans="1:86" x14ac:dyDescent="0.25">
      <c r="A29">
        <f t="shared" si="8"/>
        <v>2001</v>
      </c>
      <c r="B29" s="2">
        <f>AT28*(1+(B5/100))</f>
        <v>15285.044824479999</v>
      </c>
      <c r="C29" s="2"/>
      <c r="D29" s="2">
        <f t="shared" ref="D29:E32" si="20">AV28*(1+(D5/100))</f>
        <v>22691.121061175996</v>
      </c>
      <c r="E29" s="2">
        <f t="shared" si="20"/>
        <v>9195.3009456</v>
      </c>
      <c r="F29" s="2"/>
      <c r="G29" s="2">
        <f t="shared" ref="G29:H32" si="21">AY28*(1+(G5/100))</f>
        <v>12825.438428072001</v>
      </c>
      <c r="H29" s="2">
        <f t="shared" si="21"/>
        <v>35350.692973680001</v>
      </c>
      <c r="I29" s="2">
        <f>SUM(B29:H29)</f>
        <v>95347.598233008001</v>
      </c>
      <c r="J29" s="2">
        <f t="shared" ref="J29:J40" si="22">I29-I28</f>
        <v>-6487.7017669920024</v>
      </c>
      <c r="K29" s="6">
        <f t="shared" ref="K29:K40" si="23">(J29/I28)</f>
        <v>-6.3707788625280259E-2</v>
      </c>
      <c r="L29" s="7">
        <f t="shared" ref="L29:L40" si="24">K29+1</f>
        <v>0.93629221137471974</v>
      </c>
      <c r="N29">
        <f t="shared" ref="N29:N40" si="25">A29</f>
        <v>2001</v>
      </c>
      <c r="O29" s="2">
        <f t="shared" ref="O29:O43" si="26">O28*(1+O5)</f>
        <v>4138.5865920000006</v>
      </c>
      <c r="P29" s="2"/>
      <c r="Q29" s="2"/>
      <c r="R29">
        <f t="shared" ref="R29:R40" si="27">A29</f>
        <v>2001</v>
      </c>
      <c r="S29" s="2">
        <f t="shared" si="9"/>
        <v>14457.327506079999</v>
      </c>
      <c r="T29" s="2"/>
      <c r="U29" s="2">
        <f t="shared" si="10"/>
        <v>21863.403742775998</v>
      </c>
      <c r="V29" s="2">
        <f t="shared" si="11"/>
        <v>8367.5836271999997</v>
      </c>
      <c r="W29" s="2"/>
      <c r="X29" s="2">
        <f t="shared" si="12"/>
        <v>11997.721109672</v>
      </c>
      <c r="Y29" s="2">
        <f t="shared" si="13"/>
        <v>34522.975655280003</v>
      </c>
      <c r="Z29" s="2">
        <f>SUM(S29:Y29)</f>
        <v>91209.011641007994</v>
      </c>
      <c r="AA29" s="2">
        <f t="shared" ref="AA29:AA40" si="28">Z29-Z28</f>
        <v>-6552.8763589919981</v>
      </c>
      <c r="AB29" s="6">
        <f t="shared" ref="AB29:AB40" si="29">(AA29/Z28)</f>
        <v>-6.7028946484666896E-2</v>
      </c>
      <c r="AC29" s="7">
        <f t="shared" ref="AC29:AC40" si="30">AB29+1</f>
        <v>0.93297105351533305</v>
      </c>
      <c r="AD29" s="2">
        <f>Z29-(I29-O29)</f>
        <v>0</v>
      </c>
      <c r="AE29" s="2"/>
      <c r="AG29">
        <f t="shared" si="14"/>
        <v>2001</v>
      </c>
      <c r="AH29" s="6">
        <f t="shared" si="6"/>
        <v>0.1585076654813779</v>
      </c>
      <c r="AI29" s="6"/>
      <c r="AJ29" s="6">
        <f t="shared" si="6"/>
        <v>0.23970661834193269</v>
      </c>
      <c r="AK29" s="6">
        <f t="shared" si="6"/>
        <v>9.174075539963307E-2</v>
      </c>
      <c r="AL29" s="6"/>
      <c r="AM29" s="6">
        <f t="shared" si="6"/>
        <v>0.13154096172968252</v>
      </c>
      <c r="AN29" s="6">
        <f t="shared" si="15"/>
        <v>0.37850399904737386</v>
      </c>
      <c r="AO29" s="55">
        <f t="shared" si="16"/>
        <v>1</v>
      </c>
      <c r="AP29" s="7">
        <f t="shared" ref="AP29:AP40" si="31">SUM(AH29:AM29)</f>
        <v>0.62149600095262614</v>
      </c>
      <c r="AQ29" s="7">
        <f t="shared" ref="AQ29:AQ40" si="32">AO29-(AP29+AN29)</f>
        <v>0</v>
      </c>
      <c r="AS29">
        <f t="shared" ref="AS29:AS42" si="33">A29</f>
        <v>2001</v>
      </c>
      <c r="AT29" s="2">
        <f>S29</f>
        <v>14457.327506079999</v>
      </c>
      <c r="AU29" s="2"/>
      <c r="AV29" s="2">
        <f>U29</f>
        <v>21863.403742775998</v>
      </c>
      <c r="AW29" s="2">
        <f>V29</f>
        <v>8367.5836271999997</v>
      </c>
      <c r="AX29" s="2"/>
      <c r="AY29" s="2">
        <f>X29</f>
        <v>11997.721109672</v>
      </c>
      <c r="AZ29" s="2">
        <f>Y29</f>
        <v>34522.975655280003</v>
      </c>
      <c r="BA29" s="2">
        <f t="shared" si="17"/>
        <v>91209.011641007994</v>
      </c>
      <c r="BB29" s="2">
        <f t="shared" si="18"/>
        <v>0</v>
      </c>
      <c r="BC29" s="2"/>
      <c r="BM29" s="22"/>
      <c r="BN29">
        <f t="shared" si="5"/>
        <v>2001</v>
      </c>
      <c r="BO29" s="1" t="b">
        <f t="shared" ref="BO29:BO42" si="34">AND((S29/$Z29)&gt;0.15,(S29/$Z29)&lt;0.25)</f>
        <v>1</v>
      </c>
      <c r="BP29" s="1" t="b">
        <f t="shared" ref="BP29:BP38" si="35">AND((T29/$Z29)&gt;0.25,(T29/$Z29)&lt;0.35)</f>
        <v>0</v>
      </c>
      <c r="BS29" s="1" t="b">
        <f t="shared" si="19"/>
        <v>0</v>
      </c>
      <c r="BU29" s="1" t="b">
        <f t="shared" ref="BU29:BU42" si="36">AND((Y29/$Z29)&gt;0.25,(Y29/$Z29)&lt;0.35)</f>
        <v>0</v>
      </c>
      <c r="BV29" s="1" t="b">
        <f t="shared" ref="BV29:BV42" si="37">AND((Z29/$Z29)&gt;0.999,(Z29/$Z29)&lt;1.01)</f>
        <v>1</v>
      </c>
      <c r="CH29" s="2"/>
    </row>
    <row r="30" spans="1:86" x14ac:dyDescent="0.25">
      <c r="A30">
        <f t="shared" si="8"/>
        <v>2002</v>
      </c>
      <c r="B30" s="2">
        <f>AT29*(1+(B6/100))</f>
        <v>11255.029463483279</v>
      </c>
      <c r="C30" s="2"/>
      <c r="D30" s="2">
        <f t="shared" si="20"/>
        <v>18669.597724031279</v>
      </c>
      <c r="E30" s="2">
        <f t="shared" si="20"/>
        <v>6692.2260333620161</v>
      </c>
      <c r="F30" s="2"/>
      <c r="G30" s="2">
        <f t="shared" si="21"/>
        <v>10188.104834700172</v>
      </c>
      <c r="H30" s="2">
        <f t="shared" si="21"/>
        <v>37374.573444406131</v>
      </c>
      <c r="I30" s="2">
        <f t="shared" ref="I30:I40" si="38">SUM(B30:H30)</f>
        <v>84179.53149998287</v>
      </c>
      <c r="J30" s="2">
        <f t="shared" si="22"/>
        <v>-11168.066733025131</v>
      </c>
      <c r="K30" s="6">
        <f t="shared" si="23"/>
        <v>-0.11713002676515141</v>
      </c>
      <c r="L30" s="7">
        <f t="shared" si="24"/>
        <v>0.88286997323484862</v>
      </c>
      <c r="N30">
        <f t="shared" si="25"/>
        <v>2002</v>
      </c>
      <c r="O30" s="2">
        <f t="shared" si="26"/>
        <v>4242.0512568000004</v>
      </c>
      <c r="P30" s="2"/>
      <c r="Q30" s="2"/>
      <c r="R30">
        <f t="shared" si="27"/>
        <v>2002</v>
      </c>
      <c r="S30" s="2">
        <f t="shared" si="9"/>
        <v>10406.619212123278</v>
      </c>
      <c r="T30" s="2"/>
      <c r="U30" s="2">
        <f t="shared" si="10"/>
        <v>17821.187472671278</v>
      </c>
      <c r="V30" s="2">
        <f t="shared" si="11"/>
        <v>5843.815782002016</v>
      </c>
      <c r="W30" s="2"/>
      <c r="X30" s="2">
        <f t="shared" si="12"/>
        <v>9339.6945833401733</v>
      </c>
      <c r="Y30" s="2">
        <f t="shared" si="13"/>
        <v>36526.16319304613</v>
      </c>
      <c r="Z30" s="2">
        <f t="shared" ref="Z30:Z40" si="39">SUM(S30:Y30)</f>
        <v>79937.480243182872</v>
      </c>
      <c r="AA30" s="2">
        <f t="shared" si="28"/>
        <v>-11271.531397825122</v>
      </c>
      <c r="AB30" s="6">
        <f t="shared" si="29"/>
        <v>-0.12357914196229913</v>
      </c>
      <c r="AC30" s="7">
        <f t="shared" si="30"/>
        <v>0.87642085803770087</v>
      </c>
      <c r="AD30" s="2">
        <f t="shared" ref="AD30:AD40" si="40">Z30-(I30-O30)</f>
        <v>0</v>
      </c>
      <c r="AE30" s="2"/>
      <c r="AG30">
        <f t="shared" si="14"/>
        <v>2002</v>
      </c>
      <c r="AH30" s="6">
        <f t="shared" si="6"/>
        <v>0.13018447892608878</v>
      </c>
      <c r="AI30" s="6"/>
      <c r="AJ30" s="6">
        <f t="shared" si="6"/>
        <v>0.22293906961360696</v>
      </c>
      <c r="AK30" s="6">
        <f t="shared" si="6"/>
        <v>7.3104828476256364E-2</v>
      </c>
      <c r="AL30" s="6"/>
      <c r="AM30" s="6">
        <f t="shared" si="6"/>
        <v>0.11683749043536645</v>
      </c>
      <c r="AN30" s="6">
        <f t="shared" si="15"/>
        <v>0.45693413254868148</v>
      </c>
      <c r="AO30" s="55">
        <f t="shared" si="16"/>
        <v>1</v>
      </c>
      <c r="AP30" s="7">
        <f t="shared" si="31"/>
        <v>0.54306586745131857</v>
      </c>
      <c r="AQ30" s="7">
        <f t="shared" si="32"/>
        <v>0</v>
      </c>
      <c r="AS30">
        <f t="shared" si="33"/>
        <v>2002</v>
      </c>
      <c r="AT30" s="36">
        <v>0</v>
      </c>
      <c r="AU30" s="36"/>
      <c r="AV30" s="36">
        <v>0</v>
      </c>
      <c r="AW30" s="36">
        <v>0</v>
      </c>
      <c r="AX30" s="36"/>
      <c r="AY30" s="36">
        <v>0</v>
      </c>
      <c r="AZ30" s="36">
        <f>Z30</f>
        <v>79937.480243182872</v>
      </c>
      <c r="BA30" s="2">
        <f t="shared" si="17"/>
        <v>79937.480243182872</v>
      </c>
      <c r="BB30" s="2">
        <f t="shared" si="18"/>
        <v>0</v>
      </c>
      <c r="BC30" s="2"/>
      <c r="BM30" s="22"/>
      <c r="BN30">
        <f t="shared" si="5"/>
        <v>2002</v>
      </c>
      <c r="BO30" s="1" t="b">
        <f t="shared" si="34"/>
        <v>0</v>
      </c>
      <c r="BP30" s="1" t="b">
        <f t="shared" si="35"/>
        <v>0</v>
      </c>
      <c r="BS30" s="1" t="b">
        <f t="shared" si="19"/>
        <v>0</v>
      </c>
      <c r="BU30" s="1" t="b">
        <f t="shared" si="36"/>
        <v>0</v>
      </c>
      <c r="BV30" s="1" t="b">
        <f t="shared" si="37"/>
        <v>1</v>
      </c>
      <c r="CH30" s="2"/>
    </row>
    <row r="31" spans="1:86" x14ac:dyDescent="0.25">
      <c r="A31">
        <f t="shared" si="8"/>
        <v>2003</v>
      </c>
      <c r="B31" s="2">
        <f>AT30*(1+(B7/100))</f>
        <v>0</v>
      </c>
      <c r="C31" s="2"/>
      <c r="D31" s="2">
        <f t="shared" si="20"/>
        <v>0</v>
      </c>
      <c r="E31" s="2">
        <f t="shared" si="20"/>
        <v>0</v>
      </c>
      <c r="F31" s="2"/>
      <c r="G31" s="2">
        <f t="shared" si="21"/>
        <v>0</v>
      </c>
      <c r="H31" s="2">
        <f t="shared" si="21"/>
        <v>83110.998208837234</v>
      </c>
      <c r="I31" s="2">
        <f t="shared" si="38"/>
        <v>83110.998208837234</v>
      </c>
      <c r="J31" s="2">
        <f t="shared" si="22"/>
        <v>-1068.5332911456353</v>
      </c>
      <c r="K31" s="6">
        <f t="shared" si="23"/>
        <v>-1.2693504847385052E-2</v>
      </c>
      <c r="L31" s="7">
        <f t="shared" si="24"/>
        <v>0.98730649515261493</v>
      </c>
      <c r="N31">
        <f t="shared" si="25"/>
        <v>2003</v>
      </c>
      <c r="O31" s="2">
        <f t="shared" si="26"/>
        <v>4326.8922819360005</v>
      </c>
      <c r="P31" s="2"/>
      <c r="Q31" s="2"/>
      <c r="R31">
        <f t="shared" si="27"/>
        <v>2003</v>
      </c>
      <c r="S31" s="36">
        <v>0</v>
      </c>
      <c r="T31" s="36"/>
      <c r="U31" s="36">
        <v>0</v>
      </c>
      <c r="V31" s="36">
        <v>0</v>
      </c>
      <c r="W31" s="36"/>
      <c r="X31" s="36">
        <v>0</v>
      </c>
      <c r="Y31" s="36">
        <f>H31-($O31/1)</f>
        <v>78784.105926901233</v>
      </c>
      <c r="Z31" s="2">
        <f t="shared" si="39"/>
        <v>78784.105926901233</v>
      </c>
      <c r="AA31" s="2">
        <f t="shared" si="28"/>
        <v>-1153.374316281639</v>
      </c>
      <c r="AB31" s="6">
        <f t="shared" si="29"/>
        <v>-1.4428454747045891E-2</v>
      </c>
      <c r="AC31" s="7">
        <f t="shared" si="30"/>
        <v>0.9855715452529541</v>
      </c>
      <c r="AD31" s="2">
        <f t="shared" si="40"/>
        <v>0</v>
      </c>
      <c r="AE31" s="2"/>
      <c r="AG31">
        <f t="shared" si="14"/>
        <v>2003</v>
      </c>
      <c r="AH31" s="6">
        <f t="shared" si="6"/>
        <v>0</v>
      </c>
      <c r="AI31" s="6"/>
      <c r="AJ31" s="6">
        <f t="shared" si="6"/>
        <v>0</v>
      </c>
      <c r="AK31" s="6">
        <f t="shared" si="6"/>
        <v>0</v>
      </c>
      <c r="AL31" s="6"/>
      <c r="AM31" s="6">
        <f t="shared" si="6"/>
        <v>0</v>
      </c>
      <c r="AN31" s="6">
        <f t="shared" si="15"/>
        <v>1</v>
      </c>
      <c r="AO31" s="55">
        <f t="shared" si="16"/>
        <v>1</v>
      </c>
      <c r="AP31" s="7">
        <f t="shared" si="31"/>
        <v>0</v>
      </c>
      <c r="AQ31" s="7">
        <f t="shared" si="32"/>
        <v>0</v>
      </c>
      <c r="AS31">
        <f t="shared" si="33"/>
        <v>2003</v>
      </c>
      <c r="AT31" s="24">
        <f>$Z31*AT$27</f>
        <v>15756.821185380248</v>
      </c>
      <c r="AU31" s="24"/>
      <c r="AV31" s="24">
        <f>$Z31*AV$27</f>
        <v>15756.821185380248</v>
      </c>
      <c r="AW31" s="24">
        <f>$Z31*AW$27</f>
        <v>7878.4105926901238</v>
      </c>
      <c r="AX31" s="24"/>
      <c r="AY31" s="24">
        <f>$Z31*AY$27</f>
        <v>15756.821185380248</v>
      </c>
      <c r="AZ31" s="24">
        <f>$Z31*AZ$27</f>
        <v>23635.231778070371</v>
      </c>
      <c r="BA31" s="2">
        <f t="shared" si="17"/>
        <v>78784.105926901233</v>
      </c>
      <c r="BB31" s="2">
        <f t="shared" si="18"/>
        <v>0</v>
      </c>
      <c r="BC31" s="2"/>
      <c r="BM31" s="22"/>
      <c r="BN31">
        <f t="shared" si="5"/>
        <v>2003</v>
      </c>
      <c r="BO31" s="1" t="b">
        <f t="shared" si="34"/>
        <v>0</v>
      </c>
      <c r="BP31" s="1" t="b">
        <f t="shared" si="35"/>
        <v>0</v>
      </c>
      <c r="BS31" s="1" t="b">
        <f t="shared" si="19"/>
        <v>0</v>
      </c>
      <c r="BU31" s="1" t="b">
        <f t="shared" si="36"/>
        <v>0</v>
      </c>
      <c r="BV31" s="1" t="b">
        <f t="shared" si="37"/>
        <v>1</v>
      </c>
      <c r="CH31" s="2"/>
    </row>
    <row r="32" spans="1:86" x14ac:dyDescent="0.25">
      <c r="A32">
        <f t="shared" si="8"/>
        <v>2004</v>
      </c>
      <c r="B32" s="2">
        <f>AT31*(1+(B8/100))</f>
        <v>17449.103780690086</v>
      </c>
      <c r="C32" s="2"/>
      <c r="D32" s="2">
        <f t="shared" si="20"/>
        <v>18963.80700124069</v>
      </c>
      <c r="E32" s="2">
        <f t="shared" si="20"/>
        <v>9445.977948317679</v>
      </c>
      <c r="F32" s="2"/>
      <c r="G32" s="2">
        <f t="shared" si="21"/>
        <v>19040.070015777928</v>
      </c>
      <c r="H32" s="2">
        <f t="shared" si="21"/>
        <v>24637.365605460553</v>
      </c>
      <c r="I32" s="2">
        <f t="shared" si="38"/>
        <v>89536.324351486925</v>
      </c>
      <c r="J32" s="2">
        <f t="shared" si="22"/>
        <v>6425.3261426496902</v>
      </c>
      <c r="K32" s="6">
        <f t="shared" si="23"/>
        <v>7.7310178930885251E-2</v>
      </c>
      <c r="L32" s="7">
        <f t="shared" si="24"/>
        <v>1.0773101789308852</v>
      </c>
      <c r="N32">
        <f t="shared" si="25"/>
        <v>2004</v>
      </c>
      <c r="O32" s="2">
        <f t="shared" si="26"/>
        <v>4469.6797272398881</v>
      </c>
      <c r="P32" s="2"/>
      <c r="Q32" s="2"/>
      <c r="R32">
        <f t="shared" si="27"/>
        <v>2004</v>
      </c>
      <c r="S32" s="2">
        <f t="shared" ref="S32" si="41">B32-($O32/5)</f>
        <v>16555.167835242108</v>
      </c>
      <c r="T32" s="2"/>
      <c r="U32" s="2">
        <f t="shared" ref="U32" si="42">D32-($O32/5)</f>
        <v>18069.871055792712</v>
      </c>
      <c r="V32" s="2">
        <f t="shared" ref="V32" si="43">E32-($O32/5)</f>
        <v>8552.0420028697008</v>
      </c>
      <c r="W32" s="2"/>
      <c r="X32" s="2">
        <f t="shared" ref="X32" si="44">G32-($O32/5)</f>
        <v>18146.13407032995</v>
      </c>
      <c r="Y32" s="2">
        <f t="shared" si="13"/>
        <v>23743.429660012574</v>
      </c>
      <c r="Z32" s="2">
        <f t="shared" si="39"/>
        <v>85066.644624247041</v>
      </c>
      <c r="AA32" s="2">
        <f t="shared" si="28"/>
        <v>6282.538697345808</v>
      </c>
      <c r="AB32" s="6">
        <f t="shared" si="29"/>
        <v>7.9743732868847644E-2</v>
      </c>
      <c r="AC32" s="7">
        <f t="shared" si="30"/>
        <v>1.0797437328688477</v>
      </c>
      <c r="AD32" s="2">
        <f t="shared" si="40"/>
        <v>0</v>
      </c>
      <c r="AE32" s="2"/>
      <c r="AG32">
        <f t="shared" si="14"/>
        <v>2004</v>
      </c>
      <c r="AH32" s="6">
        <f t="shared" si="6"/>
        <v>0.19461409237861596</v>
      </c>
      <c r="AI32" s="56"/>
      <c r="AJ32" s="6">
        <f t="shared" si="6"/>
        <v>0.21242016933441091</v>
      </c>
      <c r="AK32" s="6">
        <f t="shared" si="6"/>
        <v>0.1005334351748025</v>
      </c>
      <c r="AL32" s="56"/>
      <c r="AM32" s="6">
        <f t="shared" si="6"/>
        <v>0.21331667835829571</v>
      </c>
      <c r="AN32" s="6">
        <f t="shared" si="15"/>
        <v>0.27911562475387497</v>
      </c>
      <c r="AO32" s="55">
        <f t="shared" si="16"/>
        <v>1</v>
      </c>
      <c r="AP32" s="7">
        <f t="shared" si="31"/>
        <v>0.72088437524612503</v>
      </c>
      <c r="AQ32" s="7">
        <f t="shared" si="32"/>
        <v>0</v>
      </c>
      <c r="AS32">
        <f t="shared" si="33"/>
        <v>2004</v>
      </c>
      <c r="AT32" s="2">
        <f t="shared" ref="AT32" si="45">S32</f>
        <v>16555.167835242108</v>
      </c>
      <c r="AU32" s="2"/>
      <c r="AV32" s="2">
        <f t="shared" ref="AV32" si="46">U32</f>
        <v>18069.871055792712</v>
      </c>
      <c r="AW32" s="2">
        <f t="shared" ref="AW32" si="47">V32</f>
        <v>8552.0420028697008</v>
      </c>
      <c r="AX32" s="2"/>
      <c r="AY32" s="2">
        <f t="shared" ref="AY32" si="48">X32</f>
        <v>18146.13407032995</v>
      </c>
      <c r="AZ32" s="2">
        <f t="shared" ref="AZ32" si="49">Y32</f>
        <v>23743.429660012574</v>
      </c>
      <c r="BA32" s="2">
        <f t="shared" si="17"/>
        <v>85066.644624247041</v>
      </c>
      <c r="BB32" s="2">
        <f t="shared" si="18"/>
        <v>0</v>
      </c>
      <c r="BC32" s="2"/>
      <c r="BM32" s="22"/>
      <c r="BN32">
        <f t="shared" si="5"/>
        <v>2004</v>
      </c>
      <c r="BO32" s="1" t="b">
        <f t="shared" si="34"/>
        <v>1</v>
      </c>
      <c r="BP32" s="25" t="b">
        <f t="shared" si="35"/>
        <v>0</v>
      </c>
      <c r="BS32" s="25" t="b">
        <f t="shared" si="19"/>
        <v>0</v>
      </c>
      <c r="BU32" s="1" t="b">
        <f t="shared" si="36"/>
        <v>1</v>
      </c>
      <c r="BV32" s="1" t="b">
        <f t="shared" si="37"/>
        <v>1</v>
      </c>
      <c r="CH32" s="2"/>
    </row>
    <row r="33" spans="1:86" x14ac:dyDescent="0.25">
      <c r="A33">
        <f t="shared" si="8"/>
        <v>2005</v>
      </c>
      <c r="B33" s="2">
        <f t="shared" ref="B33" si="50">AT32*(1+(B9/100))</f>
        <v>17344.849340983157</v>
      </c>
      <c r="C33" s="2"/>
      <c r="D33" s="2">
        <f t="shared" ref="D33" si="51">AV32*(1+(D9/100))</f>
        <v>20587.184792575194</v>
      </c>
      <c r="E33" s="2">
        <f t="shared" ref="E33" si="52">AW32*(1+(E9/100))</f>
        <v>9181.7288555409978</v>
      </c>
      <c r="F33" s="2"/>
      <c r="G33" s="2">
        <f t="shared" ref="G33" si="53">AY32*(1+(G9/100))</f>
        <v>20971.668606421026</v>
      </c>
      <c r="H33" s="2">
        <f t="shared" ref="H33" si="54">AZ32*(1+(H9/100))</f>
        <v>24313.271971852875</v>
      </c>
      <c r="I33" s="2">
        <f t="shared" si="38"/>
        <v>92398.703567373246</v>
      </c>
      <c r="J33" s="2">
        <f t="shared" si="22"/>
        <v>2862.3792158863216</v>
      </c>
      <c r="K33" s="6">
        <f t="shared" si="23"/>
        <v>3.1968915818452251E-2</v>
      </c>
      <c r="L33" s="7">
        <f t="shared" si="24"/>
        <v>1.0319689158184522</v>
      </c>
      <c r="N33">
        <f t="shared" si="25"/>
        <v>2005</v>
      </c>
      <c r="O33" s="2">
        <f t="shared" si="26"/>
        <v>4617.1791582388041</v>
      </c>
      <c r="P33" s="2"/>
      <c r="Q33" s="2"/>
      <c r="R33">
        <f t="shared" si="27"/>
        <v>2005</v>
      </c>
      <c r="S33" s="2">
        <f t="shared" si="9"/>
        <v>16421.413509335398</v>
      </c>
      <c r="T33" s="2"/>
      <c r="U33" s="2">
        <f t="shared" si="10"/>
        <v>19663.748960927434</v>
      </c>
      <c r="V33" s="2">
        <f t="shared" si="11"/>
        <v>8258.2930238932368</v>
      </c>
      <c r="W33" s="2"/>
      <c r="X33" s="2">
        <f t="shared" si="12"/>
        <v>20048.232774773267</v>
      </c>
      <c r="Y33" s="2">
        <f t="shared" si="13"/>
        <v>23389.836140205116</v>
      </c>
      <c r="Z33" s="2">
        <f t="shared" si="39"/>
        <v>87781.524409134465</v>
      </c>
      <c r="AA33" s="2">
        <f t="shared" si="28"/>
        <v>2714.8797848874237</v>
      </c>
      <c r="AB33" s="6">
        <f t="shared" si="29"/>
        <v>3.1914739283293483E-2</v>
      </c>
      <c r="AC33" s="7">
        <f t="shared" si="30"/>
        <v>1.0319147392832935</v>
      </c>
      <c r="AD33" s="2">
        <f t="shared" si="40"/>
        <v>0</v>
      </c>
      <c r="AE33" s="2"/>
      <c r="AG33">
        <f t="shared" si="14"/>
        <v>2005</v>
      </c>
      <c r="AH33" s="6">
        <f t="shared" si="6"/>
        <v>0.18707140961460222</v>
      </c>
      <c r="AI33" s="6"/>
      <c r="AJ33" s="6">
        <f t="shared" si="6"/>
        <v>0.2240078318676503</v>
      </c>
      <c r="AK33" s="6">
        <f t="shared" si="6"/>
        <v>9.407780372328424E-2</v>
      </c>
      <c r="AL33" s="6"/>
      <c r="AM33" s="6">
        <f t="shared" si="6"/>
        <v>0.22838784026274059</v>
      </c>
      <c r="AN33" s="6">
        <f t="shared" si="15"/>
        <v>0.26645511453172249</v>
      </c>
      <c r="AO33" s="55">
        <f t="shared" si="16"/>
        <v>0.99999999999999978</v>
      </c>
      <c r="AP33" s="7">
        <f t="shared" si="31"/>
        <v>0.73354488546827734</v>
      </c>
      <c r="AQ33" s="7">
        <f t="shared" si="32"/>
        <v>0</v>
      </c>
      <c r="AS33">
        <f t="shared" si="33"/>
        <v>2005</v>
      </c>
      <c r="AT33" s="2">
        <f>S33</f>
        <v>16421.413509335398</v>
      </c>
      <c r="AU33" s="2"/>
      <c r="AV33" s="2">
        <f t="shared" ref="AV33:AW35" si="55">U33</f>
        <v>19663.748960927434</v>
      </c>
      <c r="AW33" s="2">
        <f t="shared" si="55"/>
        <v>8258.2930238932368</v>
      </c>
      <c r="AX33" s="2"/>
      <c r="AY33" s="2">
        <f t="shared" ref="AY33:AZ35" si="56">X33</f>
        <v>20048.232774773267</v>
      </c>
      <c r="AZ33" s="2">
        <f t="shared" si="56"/>
        <v>23389.836140205116</v>
      </c>
      <c r="BA33" s="2">
        <f t="shared" si="17"/>
        <v>87781.524409134465</v>
      </c>
      <c r="BB33" s="2">
        <f t="shared" si="18"/>
        <v>0</v>
      </c>
      <c r="BC33" s="2"/>
      <c r="BM33" s="22"/>
      <c r="BN33">
        <f t="shared" si="5"/>
        <v>2005</v>
      </c>
      <c r="BO33" s="1" t="b">
        <f t="shared" si="34"/>
        <v>1</v>
      </c>
      <c r="BP33" s="1" t="b">
        <f t="shared" si="35"/>
        <v>0</v>
      </c>
      <c r="BS33" s="1" t="b">
        <f t="shared" si="19"/>
        <v>0</v>
      </c>
      <c r="BU33" s="1" t="b">
        <f t="shared" si="36"/>
        <v>1</v>
      </c>
      <c r="BV33" s="1" t="b">
        <f t="shared" si="37"/>
        <v>1</v>
      </c>
      <c r="CH33" s="2"/>
    </row>
    <row r="34" spans="1:86" x14ac:dyDescent="0.25">
      <c r="A34">
        <f t="shared" si="8"/>
        <v>2006</v>
      </c>
      <c r="B34" s="2">
        <f t="shared" ref="B34:B43" si="57">AT33*(1+(B10/100))</f>
        <v>18989.722582195456</v>
      </c>
      <c r="C34" s="2"/>
      <c r="D34" s="2">
        <f t="shared" ref="D34:E40" si="58">AV33*(1+(D10/100))</f>
        <v>22337.428907144735</v>
      </c>
      <c r="E34" s="2">
        <f t="shared" si="58"/>
        <v>9551.2113797139627</v>
      </c>
      <c r="F34" s="2"/>
      <c r="G34" s="2">
        <f t="shared" ref="G34:H40" si="59">AY33*(1+(G10/100))</f>
        <v>25388.480538989621</v>
      </c>
      <c r="H34" s="2">
        <f t="shared" si="59"/>
        <v>24388.582143391872</v>
      </c>
      <c r="I34" s="2">
        <f t="shared" si="38"/>
        <v>100655.42555143565</v>
      </c>
      <c r="J34" s="2">
        <f t="shared" si="22"/>
        <v>8256.721984062402</v>
      </c>
      <c r="K34" s="6">
        <f t="shared" si="23"/>
        <v>8.9359716806437089E-2</v>
      </c>
      <c r="L34" s="7">
        <f t="shared" si="24"/>
        <v>1.0893597168064371</v>
      </c>
      <c r="N34">
        <f t="shared" si="25"/>
        <v>2006</v>
      </c>
      <c r="O34" s="2">
        <f t="shared" si="26"/>
        <v>4732.608637194774</v>
      </c>
      <c r="P34" s="2"/>
      <c r="Q34" s="2"/>
      <c r="R34">
        <f t="shared" si="27"/>
        <v>2006</v>
      </c>
      <c r="S34" s="2">
        <f t="shared" si="9"/>
        <v>18043.200854756502</v>
      </c>
      <c r="T34" s="2"/>
      <c r="U34" s="2">
        <f t="shared" si="10"/>
        <v>21390.90717970578</v>
      </c>
      <c r="V34" s="2">
        <f t="shared" si="11"/>
        <v>8604.6896522750085</v>
      </c>
      <c r="W34" s="2"/>
      <c r="X34" s="2">
        <f t="shared" si="12"/>
        <v>24441.958811550667</v>
      </c>
      <c r="Y34" s="2">
        <f t="shared" si="13"/>
        <v>23442.060415952918</v>
      </c>
      <c r="Z34" s="2">
        <f t="shared" si="39"/>
        <v>95922.816914240873</v>
      </c>
      <c r="AA34" s="2">
        <f t="shared" si="28"/>
        <v>8141.2925051064085</v>
      </c>
      <c r="AB34" s="6">
        <f t="shared" si="29"/>
        <v>9.2744943311319772E-2</v>
      </c>
      <c r="AC34" s="7">
        <f t="shared" si="30"/>
        <v>1.0927449433113199</v>
      </c>
      <c r="AD34" s="2">
        <f t="shared" si="40"/>
        <v>0</v>
      </c>
      <c r="AE34" s="2"/>
      <c r="AG34">
        <f t="shared" si="14"/>
        <v>2006</v>
      </c>
      <c r="AH34" s="6">
        <f t="shared" si="6"/>
        <v>0.18810124050973087</v>
      </c>
      <c r="AI34" s="6"/>
      <c r="AJ34" s="6">
        <f t="shared" si="6"/>
        <v>0.22300124066237725</v>
      </c>
      <c r="AK34" s="6">
        <f t="shared" si="6"/>
        <v>8.9704305285029012E-2</v>
      </c>
      <c r="AL34" s="6"/>
      <c r="AM34" s="6">
        <f t="shared" si="6"/>
        <v>0.25480860130914246</v>
      </c>
      <c r="AN34" s="6">
        <f t="shared" si="15"/>
        <v>0.24438461223372046</v>
      </c>
      <c r="AO34" s="55">
        <f t="shared" si="16"/>
        <v>1.0000000000000002</v>
      </c>
      <c r="AP34" s="7">
        <f t="shared" si="31"/>
        <v>0.75561538776627968</v>
      </c>
      <c r="AQ34" s="7">
        <f t="shared" si="32"/>
        <v>0</v>
      </c>
      <c r="AS34">
        <f t="shared" si="33"/>
        <v>2006</v>
      </c>
      <c r="AT34" s="2">
        <f>S34</f>
        <v>18043.200854756502</v>
      </c>
      <c r="AU34" s="2"/>
      <c r="AV34" s="2">
        <f t="shared" si="55"/>
        <v>21390.90717970578</v>
      </c>
      <c r="AW34" s="2">
        <f t="shared" si="55"/>
        <v>8604.6896522750085</v>
      </c>
      <c r="AX34" s="2"/>
      <c r="AY34" s="2">
        <f t="shared" si="56"/>
        <v>24441.958811550667</v>
      </c>
      <c r="AZ34" s="2">
        <f t="shared" si="56"/>
        <v>23442.060415952918</v>
      </c>
      <c r="BA34" s="2">
        <f t="shared" si="17"/>
        <v>95922.816914240873</v>
      </c>
      <c r="BB34" s="2">
        <f t="shared" si="18"/>
        <v>0</v>
      </c>
      <c r="BC34" s="2"/>
      <c r="BM34" s="22"/>
      <c r="BN34">
        <f t="shared" si="5"/>
        <v>2006</v>
      </c>
      <c r="BO34" s="1" t="b">
        <f t="shared" si="34"/>
        <v>1</v>
      </c>
      <c r="BP34" s="1" t="b">
        <f t="shared" si="35"/>
        <v>0</v>
      </c>
      <c r="BS34" s="1" t="b">
        <f t="shared" si="19"/>
        <v>0</v>
      </c>
      <c r="BU34" s="1" t="b">
        <f t="shared" si="36"/>
        <v>0</v>
      </c>
      <c r="BV34" s="1" t="b">
        <f t="shared" si="37"/>
        <v>1</v>
      </c>
      <c r="CH34" s="2"/>
    </row>
    <row r="35" spans="1:86" x14ac:dyDescent="0.25">
      <c r="A35">
        <f t="shared" si="8"/>
        <v>2007</v>
      </c>
      <c r="B35" s="2">
        <f t="shared" si="57"/>
        <v>19015.729380827877</v>
      </c>
      <c r="C35" s="2"/>
      <c r="D35" s="2">
        <f t="shared" si="58"/>
        <v>22678.853700995867</v>
      </c>
      <c r="E35" s="2">
        <f t="shared" si="58"/>
        <v>8704.1598646553084</v>
      </c>
      <c r="F35" s="2"/>
      <c r="G35" s="2">
        <f t="shared" si="59"/>
        <v>28235.839658279558</v>
      </c>
      <c r="H35" s="2">
        <f t="shared" si="59"/>
        <v>25064.250996736857</v>
      </c>
      <c r="I35" s="2">
        <f t="shared" si="38"/>
        <v>103698.83360149547</v>
      </c>
      <c r="J35" s="2">
        <f t="shared" si="22"/>
        <v>3043.4080500598211</v>
      </c>
      <c r="K35" s="6">
        <f t="shared" si="23"/>
        <v>3.0235906642753378E-2</v>
      </c>
      <c r="L35" s="7">
        <f t="shared" si="24"/>
        <v>1.0302359066427533</v>
      </c>
      <c r="N35">
        <f t="shared" si="25"/>
        <v>2007</v>
      </c>
      <c r="O35" s="2">
        <f t="shared" si="26"/>
        <v>4926.6455913197597</v>
      </c>
      <c r="P35" s="2"/>
      <c r="Q35" s="2"/>
      <c r="R35">
        <f t="shared" si="27"/>
        <v>2007</v>
      </c>
      <c r="S35" s="2">
        <f t="shared" si="9"/>
        <v>18030.400262563926</v>
      </c>
      <c r="T35" s="2"/>
      <c r="U35" s="2">
        <f t="shared" si="10"/>
        <v>21693.524582731916</v>
      </c>
      <c r="V35" s="2">
        <f t="shared" si="11"/>
        <v>7718.8307463913561</v>
      </c>
      <c r="W35" s="2"/>
      <c r="X35" s="2">
        <f t="shared" si="12"/>
        <v>27250.510540015606</v>
      </c>
      <c r="Y35" s="2">
        <f t="shared" si="13"/>
        <v>24078.921878472906</v>
      </c>
      <c r="Z35" s="2">
        <f t="shared" si="39"/>
        <v>98772.188010175712</v>
      </c>
      <c r="AA35" s="2">
        <f t="shared" si="28"/>
        <v>2849.3710959348391</v>
      </c>
      <c r="AB35" s="6">
        <f t="shared" si="29"/>
        <v>2.9704831317477878E-2</v>
      </c>
      <c r="AC35" s="7">
        <f t="shared" si="30"/>
        <v>1.0297048313174779</v>
      </c>
      <c r="AD35" s="2">
        <f t="shared" si="40"/>
        <v>0</v>
      </c>
      <c r="AE35" s="2"/>
      <c r="AG35">
        <f t="shared" si="14"/>
        <v>2007</v>
      </c>
      <c r="AH35" s="6">
        <f t="shared" si="6"/>
        <v>0.18254531590113604</v>
      </c>
      <c r="AI35" s="6"/>
      <c r="AJ35" s="6">
        <f t="shared" si="6"/>
        <v>0.21963191278598593</v>
      </c>
      <c r="AK35" s="6">
        <f t="shared" si="6"/>
        <v>7.8147815715048724E-2</v>
      </c>
      <c r="AL35" s="6"/>
      <c r="AM35" s="6">
        <f t="shared" si="6"/>
        <v>0.27589254717338246</v>
      </c>
      <c r="AN35" s="6">
        <f t="shared" si="15"/>
        <v>0.24378240842444682</v>
      </c>
      <c r="AO35" s="55">
        <f t="shared" si="16"/>
        <v>1</v>
      </c>
      <c r="AP35" s="7">
        <f t="shared" si="31"/>
        <v>0.75621759157555313</v>
      </c>
      <c r="AQ35" s="7">
        <f t="shared" si="32"/>
        <v>0</v>
      </c>
      <c r="AS35">
        <f t="shared" si="33"/>
        <v>2007</v>
      </c>
      <c r="AT35" s="2">
        <f>S35</f>
        <v>18030.400262563926</v>
      </c>
      <c r="AU35" s="2"/>
      <c r="AV35" s="2">
        <f t="shared" si="55"/>
        <v>21693.524582731916</v>
      </c>
      <c r="AW35" s="2">
        <f t="shared" si="55"/>
        <v>7718.8307463913561</v>
      </c>
      <c r="AX35" s="2"/>
      <c r="AY35" s="2">
        <f t="shared" si="56"/>
        <v>27250.510540015606</v>
      </c>
      <c r="AZ35" s="2">
        <f t="shared" si="56"/>
        <v>24078.921878472906</v>
      </c>
      <c r="BA35" s="2">
        <f t="shared" si="17"/>
        <v>98772.188010175712</v>
      </c>
      <c r="BB35" s="2">
        <f t="shared" si="18"/>
        <v>0</v>
      </c>
      <c r="BC35" s="2"/>
      <c r="BM35" s="22"/>
      <c r="BN35">
        <f t="shared" si="5"/>
        <v>2007</v>
      </c>
      <c r="BO35" s="1" t="b">
        <f t="shared" si="34"/>
        <v>1</v>
      </c>
      <c r="BP35" s="1" t="b">
        <f t="shared" si="35"/>
        <v>0</v>
      </c>
      <c r="BS35" s="1" t="b">
        <f t="shared" si="19"/>
        <v>0</v>
      </c>
      <c r="BU35" s="1" t="b">
        <f t="shared" si="36"/>
        <v>0</v>
      </c>
      <c r="BV35" s="1" t="b">
        <f t="shared" si="37"/>
        <v>1</v>
      </c>
      <c r="CH35" s="2"/>
    </row>
    <row r="36" spans="1:86" x14ac:dyDescent="0.25">
      <c r="A36">
        <f t="shared" si="8"/>
        <v>2008</v>
      </c>
      <c r="B36" s="2">
        <f t="shared" si="57"/>
        <v>11355.546085362759</v>
      </c>
      <c r="C36" s="2"/>
      <c r="D36" s="2">
        <f t="shared" si="58"/>
        <v>12620.424861250121</v>
      </c>
      <c r="E36" s="2">
        <f t="shared" si="58"/>
        <v>4934.6484961679935</v>
      </c>
      <c r="F36" s="2"/>
      <c r="G36" s="2">
        <f t="shared" si="59"/>
        <v>15232.762886763323</v>
      </c>
      <c r="H36" s="2">
        <f t="shared" si="59"/>
        <v>25294.907433335786</v>
      </c>
      <c r="I36" s="2">
        <f t="shared" si="38"/>
        <v>69438.289762879984</v>
      </c>
      <c r="J36" s="2">
        <f t="shared" si="22"/>
        <v>-34260.543838615486</v>
      </c>
      <c r="K36" s="6">
        <f t="shared" si="23"/>
        <v>-0.33038504531570168</v>
      </c>
      <c r="L36" s="7">
        <f t="shared" si="24"/>
        <v>0.66961495468429832</v>
      </c>
      <c r="N36">
        <f t="shared" si="25"/>
        <v>2008</v>
      </c>
      <c r="O36" s="2">
        <f t="shared" si="26"/>
        <v>4926.6455913197597</v>
      </c>
      <c r="P36" s="2"/>
      <c r="Q36" s="2"/>
      <c r="R36">
        <f t="shared" si="27"/>
        <v>2008</v>
      </c>
      <c r="S36" s="2">
        <f t="shared" si="9"/>
        <v>10370.216967098808</v>
      </c>
      <c r="T36" s="2"/>
      <c r="U36" s="2">
        <f t="shared" si="10"/>
        <v>11635.09574298617</v>
      </c>
      <c r="V36" s="2">
        <f t="shared" si="11"/>
        <v>3949.3193779040416</v>
      </c>
      <c r="W36" s="2"/>
      <c r="X36" s="2">
        <f t="shared" si="12"/>
        <v>14247.433768499372</v>
      </c>
      <c r="Y36" s="2">
        <f t="shared" si="13"/>
        <v>24309.578315071834</v>
      </c>
      <c r="Z36" s="2">
        <f t="shared" si="39"/>
        <v>64511.644171560227</v>
      </c>
      <c r="AA36" s="2">
        <f t="shared" si="28"/>
        <v>-34260.543838615486</v>
      </c>
      <c r="AB36" s="6">
        <f t="shared" si="29"/>
        <v>-0.34686427959949512</v>
      </c>
      <c r="AC36" s="7">
        <f t="shared" si="30"/>
        <v>0.65313572040050483</v>
      </c>
      <c r="AD36" s="2">
        <f t="shared" si="40"/>
        <v>0</v>
      </c>
      <c r="AE36" s="2"/>
      <c r="AG36">
        <f t="shared" si="14"/>
        <v>2008</v>
      </c>
      <c r="AH36" s="6">
        <f t="shared" si="6"/>
        <v>0.16074953754892032</v>
      </c>
      <c r="AI36" s="6"/>
      <c r="AJ36" s="6">
        <f t="shared" si="6"/>
        <v>0.18035652156135046</v>
      </c>
      <c r="AK36" s="6">
        <f t="shared" si="6"/>
        <v>6.1218705996724354E-2</v>
      </c>
      <c r="AL36" s="6"/>
      <c r="AM36" s="6">
        <f t="shared" si="6"/>
        <v>0.22085057591479448</v>
      </c>
      <c r="AN36" s="6">
        <f t="shared" si="15"/>
        <v>0.37682465897821038</v>
      </c>
      <c r="AO36" s="55">
        <f t="shared" si="16"/>
        <v>1</v>
      </c>
      <c r="AP36" s="7">
        <f t="shared" si="31"/>
        <v>0.62317534102178962</v>
      </c>
      <c r="AQ36" s="7">
        <f t="shared" si="32"/>
        <v>0</v>
      </c>
      <c r="AS36">
        <f t="shared" si="33"/>
        <v>2008</v>
      </c>
      <c r="AT36" s="36">
        <v>0</v>
      </c>
      <c r="AU36" s="36"/>
      <c r="AV36" s="36">
        <v>0</v>
      </c>
      <c r="AW36" s="36">
        <v>0</v>
      </c>
      <c r="AX36" s="36"/>
      <c r="AY36" s="36">
        <v>0</v>
      </c>
      <c r="AZ36" s="36">
        <f>Z36</f>
        <v>64511.644171560227</v>
      </c>
      <c r="BA36" s="2">
        <f t="shared" si="17"/>
        <v>64511.644171560227</v>
      </c>
      <c r="BB36" s="2">
        <f t="shared" si="18"/>
        <v>0</v>
      </c>
      <c r="BC36" s="2"/>
      <c r="BM36" s="22"/>
      <c r="BN36">
        <f t="shared" si="5"/>
        <v>2008</v>
      </c>
      <c r="BO36" s="1" t="b">
        <f t="shared" si="34"/>
        <v>1</v>
      </c>
      <c r="BP36" s="1" t="b">
        <f t="shared" si="35"/>
        <v>0</v>
      </c>
      <c r="BS36" s="1" t="b">
        <f t="shared" si="19"/>
        <v>0</v>
      </c>
      <c r="BU36" s="25" t="b">
        <f t="shared" si="36"/>
        <v>0</v>
      </c>
      <c r="BV36" s="1" t="b">
        <f t="shared" si="37"/>
        <v>1</v>
      </c>
      <c r="CH36" s="2"/>
    </row>
    <row r="37" spans="1:86" x14ac:dyDescent="0.25">
      <c r="A37">
        <f t="shared" si="8"/>
        <v>2009</v>
      </c>
      <c r="B37" s="2">
        <f t="shared" si="57"/>
        <v>0</v>
      </c>
      <c r="C37" s="2"/>
      <c r="D37" s="2">
        <f t="shared" si="58"/>
        <v>0</v>
      </c>
      <c r="E37" s="2">
        <f t="shared" si="58"/>
        <v>0</v>
      </c>
      <c r="F37" s="2"/>
      <c r="G37" s="2">
        <f t="shared" si="59"/>
        <v>0</v>
      </c>
      <c r="H37" s="2">
        <f t="shared" si="59"/>
        <v>68337.184670933741</v>
      </c>
      <c r="I37" s="2">
        <f t="shared" si="38"/>
        <v>68337.184670933741</v>
      </c>
      <c r="J37" s="2">
        <f t="shared" si="22"/>
        <v>-1101.1050919462432</v>
      </c>
      <c r="K37" s="6">
        <f t="shared" si="23"/>
        <v>-1.5857318717185157E-2</v>
      </c>
      <c r="L37" s="7">
        <f t="shared" si="24"/>
        <v>0.98414268128281479</v>
      </c>
      <c r="N37">
        <f t="shared" si="25"/>
        <v>2009</v>
      </c>
      <c r="O37" s="2">
        <f t="shared" si="26"/>
        <v>5064.5916678767135</v>
      </c>
      <c r="P37" s="2"/>
      <c r="Q37" s="2"/>
      <c r="R37">
        <f t="shared" si="27"/>
        <v>2009</v>
      </c>
      <c r="S37" s="36">
        <v>0</v>
      </c>
      <c r="T37" s="36"/>
      <c r="U37" s="36">
        <v>0</v>
      </c>
      <c r="V37" s="36">
        <v>0</v>
      </c>
      <c r="W37" s="36"/>
      <c r="X37" s="36">
        <v>0</v>
      </c>
      <c r="Y37" s="36">
        <f>H37-($O37/1)</f>
        <v>63272.593003057031</v>
      </c>
      <c r="Z37" s="2">
        <f t="shared" si="39"/>
        <v>63272.593003057031</v>
      </c>
      <c r="AA37" s="2">
        <f t="shared" si="28"/>
        <v>-1239.0511685031961</v>
      </c>
      <c r="AB37" s="6">
        <f t="shared" si="29"/>
        <v>-1.9206628267109463E-2</v>
      </c>
      <c r="AC37" s="7">
        <f t="shared" si="30"/>
        <v>0.9807933717328905</v>
      </c>
      <c r="AD37" s="2">
        <f t="shared" si="40"/>
        <v>0</v>
      </c>
      <c r="AE37" s="2"/>
      <c r="AG37">
        <f t="shared" si="14"/>
        <v>2009</v>
      </c>
      <c r="AH37" s="6">
        <f t="shared" si="6"/>
        <v>0</v>
      </c>
      <c r="AI37" s="6"/>
      <c r="AJ37" s="6">
        <f t="shared" si="6"/>
        <v>0</v>
      </c>
      <c r="AK37" s="6">
        <f t="shared" si="6"/>
        <v>0</v>
      </c>
      <c r="AL37" s="6"/>
      <c r="AM37" s="6">
        <f t="shared" si="6"/>
        <v>0</v>
      </c>
      <c r="AN37" s="6">
        <f t="shared" si="15"/>
        <v>1</v>
      </c>
      <c r="AO37" s="55">
        <f t="shared" si="16"/>
        <v>1</v>
      </c>
      <c r="AP37" s="7">
        <f t="shared" si="31"/>
        <v>0</v>
      </c>
      <c r="AQ37" s="7">
        <f t="shared" si="32"/>
        <v>0</v>
      </c>
      <c r="AS37">
        <f t="shared" si="33"/>
        <v>2009</v>
      </c>
      <c r="AT37" s="24">
        <f>$Z37*AT$27</f>
        <v>12654.518600611407</v>
      </c>
      <c r="AU37" s="24"/>
      <c r="AV37" s="24">
        <f>$Z37*AV$27</f>
        <v>12654.518600611407</v>
      </c>
      <c r="AW37" s="24">
        <f>$Z37*AW$27</f>
        <v>6327.2593003057036</v>
      </c>
      <c r="AX37" s="24"/>
      <c r="AY37" s="24">
        <f>$Z37*AY$27</f>
        <v>12654.518600611407</v>
      </c>
      <c r="AZ37" s="24">
        <f>$Z37*AZ$27</f>
        <v>18981.77790091711</v>
      </c>
      <c r="BA37" s="2">
        <f t="shared" si="17"/>
        <v>63272.593003057031</v>
      </c>
      <c r="BB37" s="2">
        <f t="shared" si="18"/>
        <v>0</v>
      </c>
      <c r="BC37" s="2"/>
      <c r="BM37" s="22"/>
      <c r="BN37">
        <f t="shared" si="5"/>
        <v>2009</v>
      </c>
      <c r="BO37" s="1" t="b">
        <f t="shared" si="34"/>
        <v>0</v>
      </c>
      <c r="BP37" s="1" t="b">
        <f t="shared" si="35"/>
        <v>0</v>
      </c>
      <c r="BS37" s="1"/>
      <c r="BT37" s="1" t="b">
        <f t="shared" ref="BT37:BT42" si="60">AND((X37/$Z37)&gt;0.15,(X37/$Z37)&lt;0.25)</f>
        <v>0</v>
      </c>
      <c r="BU37" s="1" t="b">
        <f t="shared" si="36"/>
        <v>0</v>
      </c>
      <c r="BV37" s="1" t="b">
        <f t="shared" si="37"/>
        <v>1</v>
      </c>
      <c r="CH37" s="2"/>
    </row>
    <row r="38" spans="1:86" x14ac:dyDescent="0.25">
      <c r="A38">
        <f t="shared" si="8"/>
        <v>2010</v>
      </c>
      <c r="B38" s="2">
        <f t="shared" si="57"/>
        <v>14541.307323962568</v>
      </c>
      <c r="C38" s="2"/>
      <c r="D38" s="2">
        <f t="shared" si="58"/>
        <v>15876.35903632707</v>
      </c>
      <c r="E38" s="2">
        <f t="shared" si="58"/>
        <v>8081.175578350445</v>
      </c>
      <c r="F38" s="2"/>
      <c r="G38" s="2">
        <f t="shared" si="59"/>
        <v>14061.701068999395</v>
      </c>
      <c r="H38" s="2">
        <f t="shared" si="59"/>
        <v>20200.408042155988</v>
      </c>
      <c r="I38" s="2">
        <f t="shared" si="38"/>
        <v>72760.951049795462</v>
      </c>
      <c r="J38" s="2">
        <f t="shared" si="22"/>
        <v>4423.766378861721</v>
      </c>
      <c r="K38" s="6">
        <f t="shared" si="23"/>
        <v>6.4734396070947706E-2</v>
      </c>
      <c r="L38" s="7">
        <f t="shared" si="24"/>
        <v>1.0647343960709477</v>
      </c>
      <c r="N38">
        <f t="shared" si="25"/>
        <v>2010</v>
      </c>
      <c r="O38" s="2">
        <f t="shared" si="26"/>
        <v>5135.4959512269879</v>
      </c>
      <c r="P38" s="2"/>
      <c r="Q38" s="2"/>
      <c r="R38">
        <f t="shared" si="27"/>
        <v>2010</v>
      </c>
      <c r="S38" s="2">
        <f t="shared" ref="S38" si="61">B38-($O38/5)</f>
        <v>13514.208133717171</v>
      </c>
      <c r="T38" s="2"/>
      <c r="U38" s="2">
        <f t="shared" ref="U38" si="62">D38-($O38/5)</f>
        <v>14849.259846081673</v>
      </c>
      <c r="V38" s="2">
        <f t="shared" ref="V38" si="63">E38-($O38/5)</f>
        <v>7054.076388105048</v>
      </c>
      <c r="W38" s="2"/>
      <c r="X38" s="2">
        <f t="shared" ref="X38" si="64">G38-($O38/5)</f>
        <v>13034.601878753998</v>
      </c>
      <c r="Y38" s="2">
        <f t="shared" si="13"/>
        <v>19173.308851910591</v>
      </c>
      <c r="Z38" s="2">
        <f t="shared" si="39"/>
        <v>67625.455098568476</v>
      </c>
      <c r="AA38" s="2">
        <f t="shared" si="28"/>
        <v>4352.8620955114457</v>
      </c>
      <c r="AB38" s="6">
        <f t="shared" si="29"/>
        <v>6.879538025731198E-2</v>
      </c>
      <c r="AC38" s="7">
        <f t="shared" si="30"/>
        <v>1.068795380257312</v>
      </c>
      <c r="AD38" s="2">
        <f t="shared" si="40"/>
        <v>0</v>
      </c>
      <c r="AE38" s="2"/>
      <c r="AG38">
        <f t="shared" si="14"/>
        <v>2010</v>
      </c>
      <c r="AH38" s="6">
        <f t="shared" si="6"/>
        <v>0.19983907116069441</v>
      </c>
      <c r="AI38" s="6"/>
      <c r="AJ38" s="6">
        <f t="shared" si="6"/>
        <v>0.21958092295923062</v>
      </c>
      <c r="AK38" s="6">
        <f t="shared" si="6"/>
        <v>0.10431096364265904</v>
      </c>
      <c r="AL38" s="7"/>
      <c r="AM38" s="6">
        <f t="shared" si="6"/>
        <v>0.19274697463780793</v>
      </c>
      <c r="AN38" s="6">
        <f t="shared" si="15"/>
        <v>0.28352206759960807</v>
      </c>
      <c r="AO38" s="55">
        <f t="shared" si="16"/>
        <v>1</v>
      </c>
      <c r="AP38" s="7">
        <f t="shared" si="31"/>
        <v>0.71647793240039204</v>
      </c>
      <c r="AQ38" s="7">
        <f t="shared" si="32"/>
        <v>0</v>
      </c>
      <c r="AS38">
        <f t="shared" si="33"/>
        <v>2010</v>
      </c>
      <c r="AT38" s="2">
        <f>S38</f>
        <v>13514.208133717171</v>
      </c>
      <c r="AU38" s="2"/>
      <c r="AV38" s="2">
        <f t="shared" ref="AV38:AW40" si="65">U38</f>
        <v>14849.259846081673</v>
      </c>
      <c r="AW38" s="2">
        <f t="shared" si="65"/>
        <v>7054.076388105048</v>
      </c>
      <c r="AX38" s="2"/>
      <c r="AY38" s="2">
        <f t="shared" ref="AY38:AZ40" si="66">X38</f>
        <v>13034.601878753998</v>
      </c>
      <c r="AZ38" s="2">
        <f t="shared" si="66"/>
        <v>19173.308851910591</v>
      </c>
      <c r="BA38" s="2">
        <f t="shared" si="17"/>
        <v>67625.455098568476</v>
      </c>
      <c r="BB38" s="2">
        <f t="shared" si="18"/>
        <v>0</v>
      </c>
      <c r="BC38" s="2"/>
      <c r="BM38" s="22"/>
      <c r="BN38">
        <f t="shared" si="5"/>
        <v>2010</v>
      </c>
      <c r="BO38" s="25" t="b">
        <f t="shared" si="34"/>
        <v>1</v>
      </c>
      <c r="BP38" s="1" t="b">
        <f t="shared" si="35"/>
        <v>0</v>
      </c>
      <c r="BT38" s="1" t="b">
        <f t="shared" si="60"/>
        <v>1</v>
      </c>
      <c r="BU38" s="1" t="b">
        <f t="shared" si="36"/>
        <v>1</v>
      </c>
      <c r="BV38" s="1" t="b">
        <f t="shared" si="37"/>
        <v>1</v>
      </c>
      <c r="CH38" s="2"/>
    </row>
    <row r="39" spans="1:86" x14ac:dyDescent="0.25">
      <c r="A39">
        <f t="shared" si="8"/>
        <v>2011</v>
      </c>
      <c r="B39" s="2">
        <f t="shared" si="57"/>
        <v>13780.438033951401</v>
      </c>
      <c r="C39" s="2"/>
      <c r="D39" s="2">
        <f t="shared" si="58"/>
        <v>14535.940463329351</v>
      </c>
      <c r="E39" s="2">
        <f t="shared" si="58"/>
        <v>6856.5622492381062</v>
      </c>
      <c r="F39" s="2"/>
      <c r="G39" s="2">
        <f t="shared" si="59"/>
        <v>11136.763845207417</v>
      </c>
      <c r="H39" s="2">
        <f t="shared" si="59"/>
        <v>20622.811001115035</v>
      </c>
      <c r="I39" s="2">
        <f t="shared" si="38"/>
        <v>66932.515592841315</v>
      </c>
      <c r="J39" s="2">
        <f t="shared" si="22"/>
        <v>-5828.4354569541465</v>
      </c>
      <c r="K39" s="6">
        <f t="shared" si="23"/>
        <v>-8.0103893267768539E-2</v>
      </c>
      <c r="L39" s="7">
        <f t="shared" si="24"/>
        <v>0.91989610673223143</v>
      </c>
      <c r="N39">
        <f t="shared" si="25"/>
        <v>2011</v>
      </c>
      <c r="O39" s="2">
        <f t="shared" si="26"/>
        <v>5289.5608297637973</v>
      </c>
      <c r="P39" s="2"/>
      <c r="Q39" s="2"/>
      <c r="R39">
        <f t="shared" si="27"/>
        <v>2011</v>
      </c>
      <c r="S39" s="2">
        <f t="shared" si="9"/>
        <v>12722.525867998642</v>
      </c>
      <c r="T39" s="2"/>
      <c r="U39" s="2">
        <f t="shared" si="10"/>
        <v>13478.028297376592</v>
      </c>
      <c r="V39" s="2">
        <f t="shared" si="11"/>
        <v>5798.6500832853471</v>
      </c>
      <c r="W39" s="2"/>
      <c r="X39" s="2">
        <f t="shared" si="12"/>
        <v>10078.851679254658</v>
      </c>
      <c r="Y39" s="2">
        <f t="shared" si="13"/>
        <v>19564.898835162276</v>
      </c>
      <c r="Z39" s="2">
        <f t="shared" si="39"/>
        <v>61642.954763077512</v>
      </c>
      <c r="AA39" s="2">
        <f t="shared" si="28"/>
        <v>-5982.5003354909641</v>
      </c>
      <c r="AB39" s="6">
        <f t="shared" si="29"/>
        <v>-8.8465213679835245E-2</v>
      </c>
      <c r="AC39" s="7">
        <f t="shared" si="30"/>
        <v>0.91153478632016471</v>
      </c>
      <c r="AD39" s="2">
        <f t="shared" si="40"/>
        <v>0</v>
      </c>
      <c r="AE39" s="2"/>
      <c r="AG39">
        <f t="shared" si="14"/>
        <v>2011</v>
      </c>
      <c r="AH39" s="6">
        <f t="shared" ref="AH39:AM40" si="67">S39/$Z39</f>
        <v>0.20639059105614282</v>
      </c>
      <c r="AI39" s="7"/>
      <c r="AJ39" s="6">
        <f t="shared" si="67"/>
        <v>0.21864669448729235</v>
      </c>
      <c r="AK39" s="6">
        <f t="shared" si="67"/>
        <v>9.4068334419922781E-2</v>
      </c>
      <c r="AL39" s="7"/>
      <c r="AM39" s="6">
        <f t="shared" si="67"/>
        <v>0.16350370805540329</v>
      </c>
      <c r="AN39" s="6">
        <f t="shared" si="15"/>
        <v>0.31739067198123877</v>
      </c>
      <c r="AO39" s="55">
        <f t="shared" si="16"/>
        <v>1</v>
      </c>
      <c r="AP39" s="7">
        <f t="shared" si="31"/>
        <v>0.68260932801876117</v>
      </c>
      <c r="AQ39" s="7">
        <f t="shared" si="32"/>
        <v>0</v>
      </c>
      <c r="AS39">
        <f t="shared" si="33"/>
        <v>2011</v>
      </c>
      <c r="AT39" s="2">
        <f>S39</f>
        <v>12722.525867998642</v>
      </c>
      <c r="AU39" s="2"/>
      <c r="AV39" s="2">
        <f t="shared" si="65"/>
        <v>13478.028297376592</v>
      </c>
      <c r="AW39" s="2">
        <f t="shared" si="65"/>
        <v>5798.6500832853471</v>
      </c>
      <c r="AX39" s="2"/>
      <c r="AY39" s="2">
        <f t="shared" si="66"/>
        <v>10078.851679254658</v>
      </c>
      <c r="AZ39" s="2">
        <f t="shared" si="66"/>
        <v>19564.898835162276</v>
      </c>
      <c r="BA39" s="2">
        <f t="shared" si="17"/>
        <v>61642.954763077512</v>
      </c>
      <c r="BB39" s="2">
        <f t="shared" si="18"/>
        <v>0</v>
      </c>
      <c r="BC39" s="2"/>
      <c r="BM39" s="22"/>
      <c r="BN39">
        <f t="shared" si="5"/>
        <v>2011</v>
      </c>
      <c r="BO39" s="1" t="b">
        <f t="shared" si="34"/>
        <v>1</v>
      </c>
      <c r="BQ39" s="1" t="b">
        <f>AND((U39/$Z39)&gt;0.15,(U39/$Z39)&lt;0.25)</f>
        <v>1</v>
      </c>
      <c r="BR39" s="1" t="b">
        <f>AND((V39/$Z39)&gt;0.05,(V39/$Z39)&lt;0.15)</f>
        <v>1</v>
      </c>
      <c r="BT39" s="1" t="b">
        <f t="shared" si="60"/>
        <v>1</v>
      </c>
      <c r="BU39" s="1" t="b">
        <f t="shared" si="36"/>
        <v>1</v>
      </c>
      <c r="BV39" s="1" t="b">
        <f t="shared" si="37"/>
        <v>1</v>
      </c>
      <c r="CH39" s="2"/>
    </row>
    <row r="40" spans="1:86" x14ac:dyDescent="0.25">
      <c r="A40">
        <f t="shared" si="8"/>
        <v>2012</v>
      </c>
      <c r="B40" s="2">
        <f t="shared" si="57"/>
        <v>14735.229460316026</v>
      </c>
      <c r="C40" s="2"/>
      <c r="D40" s="2">
        <f t="shared" si="58"/>
        <v>15607.556768362092</v>
      </c>
      <c r="E40" s="2">
        <f t="shared" si="58"/>
        <v>6844.7265583100243</v>
      </c>
      <c r="F40" s="2"/>
      <c r="G40" s="2">
        <f t="shared" si="59"/>
        <v>11907.155373871454</v>
      </c>
      <c r="H40" s="2">
        <f t="shared" si="59"/>
        <v>20357.277237986349</v>
      </c>
      <c r="I40" s="2">
        <f t="shared" si="38"/>
        <v>69451.945398845943</v>
      </c>
      <c r="J40" s="2">
        <f t="shared" si="22"/>
        <v>2519.4298060046276</v>
      </c>
      <c r="K40" s="6">
        <f t="shared" si="23"/>
        <v>3.7641343429113398E-2</v>
      </c>
      <c r="L40" s="7">
        <f t="shared" si="24"/>
        <v>1.0376413434291134</v>
      </c>
      <c r="N40">
        <f t="shared" si="25"/>
        <v>2012</v>
      </c>
      <c r="O40" s="2">
        <f t="shared" si="26"/>
        <v>5384.7729246995459</v>
      </c>
      <c r="P40" s="2"/>
      <c r="Q40" s="2"/>
      <c r="R40">
        <f t="shared" si="27"/>
        <v>2012</v>
      </c>
      <c r="S40" s="2">
        <f t="shared" ref="S40" si="68">B40-($O40/5)</f>
        <v>13658.274875376117</v>
      </c>
      <c r="T40" s="2"/>
      <c r="U40" s="2">
        <f t="shared" ref="U40:V40" si="69">D40-($O40/5)</f>
        <v>14530.602183422183</v>
      </c>
      <c r="V40" s="2">
        <f t="shared" si="69"/>
        <v>5767.7719733701151</v>
      </c>
      <c r="W40" s="2"/>
      <c r="X40" s="2">
        <f t="shared" ref="X40:Y40" si="70">G40-($O40/5)</f>
        <v>10830.200788931545</v>
      </c>
      <c r="Y40" s="2">
        <f t="shared" si="70"/>
        <v>19280.322653046438</v>
      </c>
      <c r="Z40" s="2">
        <f t="shared" si="39"/>
        <v>64067.172474146399</v>
      </c>
      <c r="AA40" s="2">
        <f t="shared" si="28"/>
        <v>2424.2177110688863</v>
      </c>
      <c r="AB40" s="6">
        <f t="shared" si="29"/>
        <v>3.9326760379775436E-2</v>
      </c>
      <c r="AC40" s="7">
        <f t="shared" si="30"/>
        <v>1.0393267603797753</v>
      </c>
      <c r="AD40" s="2">
        <f t="shared" si="40"/>
        <v>0</v>
      </c>
      <c r="AE40" s="2"/>
      <c r="AG40">
        <f t="shared" si="14"/>
        <v>2012</v>
      </c>
      <c r="AH40" s="6">
        <f t="shared" si="67"/>
        <v>0.2131867904875584</v>
      </c>
      <c r="AI40" s="7"/>
      <c r="AJ40" s="6">
        <f t="shared" si="67"/>
        <v>0.22680261391722645</v>
      </c>
      <c r="AK40" s="6">
        <f t="shared" si="67"/>
        <v>9.0026947508845281E-2</v>
      </c>
      <c r="AL40" s="7"/>
      <c r="AM40" s="6">
        <f t="shared" si="67"/>
        <v>0.16904446334512346</v>
      </c>
      <c r="AN40" s="6">
        <f t="shared" si="15"/>
        <v>0.30093918474124637</v>
      </c>
      <c r="AO40" s="55">
        <f t="shared" si="16"/>
        <v>1</v>
      </c>
      <c r="AP40" s="7">
        <f t="shared" si="31"/>
        <v>0.69906081525875363</v>
      </c>
      <c r="AQ40" s="7">
        <f t="shared" si="32"/>
        <v>0</v>
      </c>
      <c r="AS40">
        <f t="shared" si="33"/>
        <v>2012</v>
      </c>
      <c r="AT40" s="2">
        <f>S40</f>
        <v>13658.274875376117</v>
      </c>
      <c r="AU40" s="2"/>
      <c r="AV40" s="2">
        <f t="shared" si="65"/>
        <v>14530.602183422183</v>
      </c>
      <c r="AW40" s="2">
        <f t="shared" si="65"/>
        <v>5767.7719733701151</v>
      </c>
      <c r="AX40" s="2"/>
      <c r="AY40" s="2">
        <f t="shared" si="66"/>
        <v>10830.200788931545</v>
      </c>
      <c r="AZ40" s="2">
        <f t="shared" si="66"/>
        <v>19280.322653046438</v>
      </c>
      <c r="BA40" s="2">
        <f t="shared" si="17"/>
        <v>64067.172474146399</v>
      </c>
      <c r="BB40" s="2">
        <f t="shared" si="18"/>
        <v>0</v>
      </c>
      <c r="BC40" s="2"/>
      <c r="BM40" s="22"/>
      <c r="BN40">
        <f t="shared" si="5"/>
        <v>2012</v>
      </c>
      <c r="BO40" s="1" t="b">
        <f t="shared" si="34"/>
        <v>1</v>
      </c>
      <c r="BQ40" s="1" t="b">
        <f t="shared" ref="BQ40:BQ42" si="71">AND((U40/$Z40)&gt;0.15,(U40/$Z40)&lt;0.25)</f>
        <v>1</v>
      </c>
      <c r="BR40" s="1" t="b">
        <f t="shared" ref="BR40:BR42" si="72">AND((V40/$Z40)&gt;0.05,(V40/$Z40)&lt;0.15)</f>
        <v>1</v>
      </c>
      <c r="BT40" s="1" t="b">
        <f t="shared" si="60"/>
        <v>1</v>
      </c>
      <c r="BU40" s="1" t="b">
        <f t="shared" si="36"/>
        <v>1</v>
      </c>
      <c r="BV40" s="1" t="b">
        <f t="shared" si="37"/>
        <v>1</v>
      </c>
      <c r="CH40" s="2"/>
    </row>
    <row r="41" spans="1:86" x14ac:dyDescent="0.25">
      <c r="A41">
        <f t="shared" si="8"/>
        <v>2013</v>
      </c>
      <c r="B41" s="2">
        <f t="shared" si="57"/>
        <v>18053.507730272151</v>
      </c>
      <c r="C41" s="2"/>
      <c r="D41" s="2">
        <f t="shared" ref="D41:E41" si="73">AV40*(1+(D17/100))</f>
        <v>19616.312947619946</v>
      </c>
      <c r="E41" s="2">
        <f t="shared" si="73"/>
        <v>7937.6077897519517</v>
      </c>
      <c r="F41" s="2"/>
      <c r="G41" s="2">
        <f t="shared" ref="G41:H41" si="74">AY40*(1+(G17/100))</f>
        <v>12459.062987586847</v>
      </c>
      <c r="H41" s="2">
        <f t="shared" si="74"/>
        <v>18844.58736108759</v>
      </c>
      <c r="I41" s="2">
        <f t="shared" ref="I41:I42" si="75">SUM(B41:H41)</f>
        <v>76911.078816318492</v>
      </c>
      <c r="J41" s="2">
        <f t="shared" ref="J41:J42" si="76">I41-I40</f>
        <v>7459.1334174725489</v>
      </c>
      <c r="K41" s="6">
        <f t="shared" ref="K41:K42" si="77">(J41/I40)</f>
        <v>0.10739992054414785</v>
      </c>
      <c r="L41" s="7">
        <f t="shared" ref="L41:L42" si="78">K41+1</f>
        <v>1.1073999205441478</v>
      </c>
      <c r="N41">
        <f t="shared" ref="N41:N42" si="79">A41</f>
        <v>2013</v>
      </c>
      <c r="O41" s="2">
        <f t="shared" si="26"/>
        <v>5446.9989139694262</v>
      </c>
      <c r="P41" s="2"/>
      <c r="Q41" s="2"/>
      <c r="R41">
        <f t="shared" ref="R41:R42" si="80">A41</f>
        <v>2013</v>
      </c>
      <c r="S41" s="2">
        <f t="shared" ref="S41:S42" si="81">B41-($O41/5)</f>
        <v>16964.107947478267</v>
      </c>
      <c r="T41" s="2"/>
      <c r="U41" s="2">
        <f t="shared" ref="U41:U42" si="82">D41-($O41/5)</f>
        <v>18526.913164826063</v>
      </c>
      <c r="V41" s="2">
        <f t="shared" ref="V41:V42" si="83">E41-($O41/5)</f>
        <v>6848.2080069580661</v>
      </c>
      <c r="W41" s="2"/>
      <c r="X41" s="2">
        <f t="shared" ref="X41:X42" si="84">G41-($O41/5)</f>
        <v>11369.663204792962</v>
      </c>
      <c r="Y41" s="2">
        <f t="shared" ref="Y41:Y42" si="85">H41-($O41/5)</f>
        <v>17755.187578293706</v>
      </c>
      <c r="Z41" s="2">
        <f t="shared" ref="Z41:Z42" si="86">SUM(S41:Y41)</f>
        <v>71464.079902349069</v>
      </c>
      <c r="AA41" s="2">
        <f t="shared" ref="AA41:AA42" si="87">Z41-Z40</f>
        <v>7396.9074282026704</v>
      </c>
      <c r="AB41" s="6">
        <f t="shared" ref="AB41:AB42" si="88">(AA41/Z40)</f>
        <v>0.11545549994714704</v>
      </c>
      <c r="AC41" s="7">
        <f t="shared" ref="AC41:AC42" si="89">AB41+1</f>
        <v>1.1154554999471471</v>
      </c>
      <c r="AD41" s="2">
        <f t="shared" ref="AD41:AD42" si="90">Z41-(I41-O41)</f>
        <v>0</v>
      </c>
      <c r="AE41" s="2"/>
      <c r="AG41">
        <f t="shared" ref="AG41:AG42" si="91">A41</f>
        <v>2013</v>
      </c>
      <c r="AH41" s="6">
        <f t="shared" ref="AH41:AH42" si="92">S41/$Z41</f>
        <v>0.23737950548945144</v>
      </c>
      <c r="AI41" s="7"/>
      <c r="AJ41" s="6">
        <f t="shared" ref="AJ41:AJ42" si="93">U41/$Z41</f>
        <v>0.25924790734228809</v>
      </c>
      <c r="AK41" s="6">
        <f t="shared" ref="AK41:AK42" si="94">V41/$Z41</f>
        <v>9.5827274573683577E-2</v>
      </c>
      <c r="AL41" s="7"/>
      <c r="AM41" s="6">
        <f t="shared" ref="AM41:AM42" si="95">X41/$Z41</f>
        <v>0.15909619518405405</v>
      </c>
      <c r="AN41" s="6">
        <f t="shared" ref="AN41:AN42" si="96">Y41/$Z41</f>
        <v>0.24844911741052278</v>
      </c>
      <c r="AO41" s="55">
        <f t="shared" ref="AO41:AO42" si="97">SUM(AH41:AN41)</f>
        <v>0.99999999999999989</v>
      </c>
      <c r="AP41" s="7">
        <f t="shared" ref="AP41:AP42" si="98">SUM(AH41:AM41)</f>
        <v>0.75155088258947711</v>
      </c>
      <c r="AQ41" s="7">
        <f t="shared" ref="AQ41:AQ42" si="99">AO41-(AP41+AN41)</f>
        <v>0</v>
      </c>
      <c r="AS41">
        <f t="shared" si="33"/>
        <v>2013</v>
      </c>
      <c r="AT41" s="2">
        <f t="shared" ref="AT41:AT42" si="100">S41</f>
        <v>16964.107947478267</v>
      </c>
      <c r="AU41" s="2"/>
      <c r="AV41" s="2">
        <f t="shared" ref="AV41:AV42" si="101">U41</f>
        <v>18526.913164826063</v>
      </c>
      <c r="AW41" s="2">
        <f t="shared" ref="AW41:AW42" si="102">V41</f>
        <v>6848.2080069580661</v>
      </c>
      <c r="AX41" s="2"/>
      <c r="AY41" s="2">
        <f t="shared" ref="AY41:AY42" si="103">X41</f>
        <v>11369.663204792962</v>
      </c>
      <c r="AZ41" s="2">
        <f t="shared" ref="AZ41:AZ42" si="104">Y41</f>
        <v>17755.187578293706</v>
      </c>
      <c r="BA41" s="2">
        <f t="shared" ref="BA41:BA42" si="105">Z41</f>
        <v>71464.079902349069</v>
      </c>
      <c r="BB41" s="2">
        <f t="shared" ref="BB41:BB42" si="106">SUM(AT41:AZ41)-Z41</f>
        <v>0</v>
      </c>
      <c r="BC41" s="2"/>
      <c r="BM41" s="22"/>
      <c r="BO41" s="1"/>
      <c r="BQ41" s="1"/>
      <c r="BR41" s="1"/>
      <c r="BT41" s="1"/>
      <c r="BU41" s="1"/>
      <c r="BV41" s="1"/>
      <c r="CH41" s="2"/>
    </row>
    <row r="42" spans="1:86" x14ac:dyDescent="0.25">
      <c r="A42">
        <f t="shared" si="8"/>
        <v>2014</v>
      </c>
      <c r="B42" s="2">
        <f t="shared" si="57"/>
        <v>19255.95893118258</v>
      </c>
      <c r="C42" s="2"/>
      <c r="D42" s="2">
        <f t="shared" ref="D42:E42" si="107">AV41*(1+(D18/100))</f>
        <v>21046.57335524241</v>
      </c>
      <c r="E42" s="2">
        <f t="shared" si="107"/>
        <v>7352.9209370708759</v>
      </c>
      <c r="F42" s="2"/>
      <c r="G42" s="2">
        <f t="shared" ref="G42:H42" si="108">AY41*(1+(G18/100))</f>
        <v>10887.58948490974</v>
      </c>
      <c r="H42" s="2">
        <f t="shared" si="108"/>
        <v>18777.886382803426</v>
      </c>
      <c r="I42" s="2">
        <f t="shared" si="75"/>
        <v>77320.929091209036</v>
      </c>
      <c r="J42" s="2">
        <f t="shared" si="76"/>
        <v>409.85027489054482</v>
      </c>
      <c r="K42" s="6">
        <f t="shared" si="77"/>
        <v>5.3288847484425804E-3</v>
      </c>
      <c r="L42" s="7">
        <f t="shared" si="78"/>
        <v>1.0053288847484425</v>
      </c>
      <c r="N42">
        <f t="shared" si="79"/>
        <v>2014</v>
      </c>
      <c r="O42" s="2">
        <f t="shared" si="26"/>
        <v>5517.265199959631</v>
      </c>
      <c r="P42" s="2"/>
      <c r="Q42" s="2"/>
      <c r="R42">
        <f t="shared" si="80"/>
        <v>2014</v>
      </c>
      <c r="S42" s="2">
        <f t="shared" si="81"/>
        <v>18152.505891190653</v>
      </c>
      <c r="T42" s="2"/>
      <c r="U42" s="2">
        <f t="shared" si="82"/>
        <v>19943.120315250482</v>
      </c>
      <c r="V42" s="2">
        <f t="shared" si="83"/>
        <v>6249.46789707895</v>
      </c>
      <c r="W42" s="2"/>
      <c r="X42" s="2">
        <f t="shared" si="84"/>
        <v>9784.1364449178145</v>
      </c>
      <c r="Y42" s="2">
        <f t="shared" si="85"/>
        <v>17674.433342811499</v>
      </c>
      <c r="Z42" s="2">
        <f t="shared" si="86"/>
        <v>71803.663891249395</v>
      </c>
      <c r="AA42" s="2">
        <f t="shared" si="87"/>
        <v>339.58398890032549</v>
      </c>
      <c r="AB42" s="6">
        <f t="shared" si="88"/>
        <v>4.751813629509322E-3</v>
      </c>
      <c r="AC42" s="7">
        <f t="shared" si="89"/>
        <v>1.0047518136295093</v>
      </c>
      <c r="AD42" s="2">
        <f t="shared" si="90"/>
        <v>0</v>
      </c>
      <c r="AE42" s="2"/>
      <c r="AG42">
        <f t="shared" si="91"/>
        <v>2014</v>
      </c>
      <c r="AH42" s="6">
        <f t="shared" si="92"/>
        <v>0.25280751576526267</v>
      </c>
      <c r="AI42" s="7"/>
      <c r="AJ42" s="6">
        <f t="shared" si="93"/>
        <v>0.27774516277408123</v>
      </c>
      <c r="AK42" s="6">
        <f t="shared" si="94"/>
        <v>8.7035501510676586E-2</v>
      </c>
      <c r="AL42" s="7"/>
      <c r="AM42" s="6">
        <f t="shared" si="95"/>
        <v>0.13626235646883464</v>
      </c>
      <c r="AN42" s="6">
        <f t="shared" si="96"/>
        <v>0.24614946348114494</v>
      </c>
      <c r="AO42" s="55">
        <f t="shared" si="97"/>
        <v>1.0000000000000002</v>
      </c>
      <c r="AP42" s="7">
        <f t="shared" si="98"/>
        <v>0.75385053651885525</v>
      </c>
      <c r="AQ42" s="7">
        <f t="shared" si="99"/>
        <v>0</v>
      </c>
      <c r="AS42">
        <f t="shared" si="33"/>
        <v>2014</v>
      </c>
      <c r="AT42" s="2">
        <f t="shared" si="100"/>
        <v>18152.505891190653</v>
      </c>
      <c r="AU42" s="2"/>
      <c r="AV42" s="2">
        <f t="shared" si="101"/>
        <v>19943.120315250482</v>
      </c>
      <c r="AW42" s="2">
        <f t="shared" si="102"/>
        <v>6249.46789707895</v>
      </c>
      <c r="AX42" s="2"/>
      <c r="AY42" s="2">
        <f t="shared" si="103"/>
        <v>9784.1364449178145</v>
      </c>
      <c r="AZ42" s="2">
        <f t="shared" si="104"/>
        <v>17674.433342811499</v>
      </c>
      <c r="BA42" s="2">
        <f t="shared" si="105"/>
        <v>71803.663891249395</v>
      </c>
      <c r="BB42" s="2">
        <f t="shared" si="106"/>
        <v>0</v>
      </c>
      <c r="BC42" s="2"/>
      <c r="BM42" s="22"/>
      <c r="BN42">
        <f t="shared" si="5"/>
        <v>2014</v>
      </c>
      <c r="BO42" s="1" t="b">
        <f t="shared" si="34"/>
        <v>0</v>
      </c>
      <c r="BQ42" s="1" t="b">
        <f t="shared" si="71"/>
        <v>0</v>
      </c>
      <c r="BR42" s="1" t="b">
        <f t="shared" si="72"/>
        <v>1</v>
      </c>
      <c r="BT42" s="1" t="b">
        <f t="shared" si="60"/>
        <v>0</v>
      </c>
      <c r="BU42" s="1" t="b">
        <f t="shared" si="36"/>
        <v>0</v>
      </c>
      <c r="BV42" s="1" t="b">
        <f t="shared" si="37"/>
        <v>1</v>
      </c>
      <c r="CH42" s="2"/>
    </row>
    <row r="43" spans="1:86" x14ac:dyDescent="0.25">
      <c r="A43">
        <f t="shared" si="8"/>
        <v>2015</v>
      </c>
      <c r="B43" s="2">
        <f t="shared" si="57"/>
        <v>18379.412214830536</v>
      </c>
      <c r="C43" s="2"/>
      <c r="D43" s="2">
        <f>AV42*(1+(D19/100))</f>
        <v>19651.950758647825</v>
      </c>
      <c r="E43" s="2">
        <f>AW42*(1+(E19/100))</f>
        <v>6013.2380105693655</v>
      </c>
      <c r="F43" s="2"/>
      <c r="G43" s="2">
        <f>AY42*(1+(G19/100))</f>
        <v>9356.5696822749069</v>
      </c>
      <c r="H43" s="2">
        <f>AZ42*(1+(H19/100))</f>
        <v>17727.45664283993</v>
      </c>
      <c r="I43" s="2">
        <f t="shared" ref="I43" si="109">SUM(B43:H43)</f>
        <v>71128.627309162563</v>
      </c>
      <c r="J43" s="2">
        <f t="shared" ref="J43" si="110">I43-I42</f>
        <v>-6192.3017820464738</v>
      </c>
      <c r="K43" s="6">
        <f t="shared" ref="K43" si="111">(J43/I42)</f>
        <v>-8.0085713594335278E-2</v>
      </c>
      <c r="L43" s="7">
        <f t="shared" ref="L43" si="112">K43+1</f>
        <v>0.91991428640566475</v>
      </c>
      <c r="N43">
        <f t="shared" ref="N43" si="113">A43</f>
        <v>2015</v>
      </c>
      <c r="O43" s="2">
        <f t="shared" si="26"/>
        <v>5541.5411668394536</v>
      </c>
      <c r="P43" s="2"/>
      <c r="Q43" s="2"/>
      <c r="R43">
        <f t="shared" ref="R43" si="114">A43</f>
        <v>2015</v>
      </c>
      <c r="S43" s="2">
        <f t="shared" ref="S43" si="115">B43-($O43/5)</f>
        <v>17271.103981462646</v>
      </c>
      <c r="T43" s="2"/>
      <c r="U43" s="2">
        <f t="shared" ref="U43" si="116">D43-($O43/5)</f>
        <v>18543.642525279934</v>
      </c>
      <c r="V43" s="2">
        <f t="shared" ref="V43" si="117">E43-($O43/5)</f>
        <v>4904.9297772014743</v>
      </c>
      <c r="W43" s="2"/>
      <c r="X43" s="2">
        <f t="shared" ref="X43" si="118">G43-($O43/5)</f>
        <v>8248.2614489070165</v>
      </c>
      <c r="Y43" s="2">
        <f t="shared" ref="Y43" si="119">H43-($O43/5)</f>
        <v>16619.14840947204</v>
      </c>
      <c r="Z43" s="2">
        <f t="shared" ref="Z43" si="120">SUM(S43:Y43)</f>
        <v>65587.086142323111</v>
      </c>
      <c r="AA43" s="2">
        <f t="shared" ref="AA43" si="121">Z43-Z42</f>
        <v>-6216.5777489262837</v>
      </c>
      <c r="AB43" s="6">
        <f t="shared" ref="AB43" si="122">(AA43/Z42)</f>
        <v>-8.6577444827072234E-2</v>
      </c>
      <c r="AC43" s="7">
        <f t="shared" ref="AC43" si="123">AB43+1</f>
        <v>0.91342255517292781</v>
      </c>
      <c r="AD43" s="2">
        <f t="shared" ref="AD43" si="124">Z43-(I43-O43)</f>
        <v>0</v>
      </c>
      <c r="AE43" s="2"/>
      <c r="AG43">
        <f t="shared" ref="AG43" si="125">A43</f>
        <v>2015</v>
      </c>
      <c r="AH43" s="6">
        <f t="shared" ref="AH43" si="126">S43/$Z43</f>
        <v>0.26333086278577122</v>
      </c>
      <c r="AI43" s="7"/>
      <c r="AJ43" s="6">
        <f t="shared" ref="AJ43" si="127">U43/$Z43</f>
        <v>0.2827331356822359</v>
      </c>
      <c r="AK43" s="6">
        <f t="shared" ref="AK43" si="128">V43/$Z43</f>
        <v>7.4784992987153617E-2</v>
      </c>
      <c r="AL43" s="7"/>
      <c r="AM43" s="6">
        <f t="shared" ref="AM43" si="129">X43/$Z43</f>
        <v>0.12576044971731778</v>
      </c>
      <c r="AN43" s="6">
        <f t="shared" ref="AN43" si="130">Y43/$Z43</f>
        <v>0.25339055882752143</v>
      </c>
      <c r="AO43" s="55">
        <f t="shared" ref="AO43" si="131">SUM(AH43:AN43)</f>
        <v>1</v>
      </c>
      <c r="AP43" s="7">
        <f t="shared" ref="AP43" si="132">SUM(AH43:AM43)</f>
        <v>0.74660944117247852</v>
      </c>
      <c r="AQ43" s="7">
        <f t="shared" ref="AQ43" si="133">AO43-(AP43+AN43)</f>
        <v>0</v>
      </c>
      <c r="AS43">
        <f t="shared" ref="AS43" si="134">A43</f>
        <v>2015</v>
      </c>
      <c r="AT43" s="2">
        <f t="shared" ref="AT43" si="135">S43</f>
        <v>17271.103981462646</v>
      </c>
      <c r="AU43" s="2"/>
      <c r="AV43" s="2">
        <f t="shared" ref="AV43" si="136">U43</f>
        <v>18543.642525279934</v>
      </c>
      <c r="AW43" s="2">
        <f t="shared" ref="AW43" si="137">V43</f>
        <v>4904.9297772014743</v>
      </c>
      <c r="AX43" s="2"/>
      <c r="AY43" s="2">
        <f t="shared" ref="AY43" si="138">X43</f>
        <v>8248.2614489070165</v>
      </c>
      <c r="AZ43" s="2">
        <f t="shared" ref="AZ43" si="139">Y43</f>
        <v>16619.14840947204</v>
      </c>
      <c r="BA43" s="2">
        <f t="shared" ref="BA43" si="140">Z43</f>
        <v>65587.086142323111</v>
      </c>
      <c r="BB43" s="2">
        <f t="shared" ref="BB43" si="141">SUM(AT43:AZ43)-Z43</f>
        <v>0</v>
      </c>
      <c r="BC43" s="2"/>
      <c r="BM43" s="22"/>
      <c r="BO43" s="1"/>
      <c r="BQ43" s="1"/>
      <c r="BR43" s="1"/>
      <c r="BT43" s="1"/>
      <c r="BU43" s="1"/>
      <c r="BV43" s="1"/>
      <c r="CH43" s="2"/>
    </row>
    <row r="44" spans="1:86" x14ac:dyDescent="0.25">
      <c r="A44">
        <f t="shared" ref="A44:A45" si="142">A20</f>
        <v>2016</v>
      </c>
      <c r="B44" s="2">
        <f t="shared" ref="B44:B45" si="143">AT43*(1+(B20/100))</f>
        <v>19312.548472071532</v>
      </c>
      <c r="C44" s="2"/>
      <c r="D44" s="2">
        <f t="shared" ref="D44:E44" si="144">AV43*(1+(D20/100))</f>
        <v>20596.423752828425</v>
      </c>
      <c r="E44" s="2">
        <f t="shared" si="144"/>
        <v>5796.1555177189821</v>
      </c>
      <c r="F44" s="2"/>
      <c r="G44" s="2">
        <f t="shared" ref="G44:H44" si="145">AY43*(1+(G20/100))</f>
        <v>8631.805606281192</v>
      </c>
      <c r="H44" s="2">
        <f t="shared" si="145"/>
        <v>17034.627119708839</v>
      </c>
      <c r="I44" s="2">
        <f t="shared" ref="I44:I45" si="146">SUM(B44:H44)</f>
        <v>71371.560468608965</v>
      </c>
      <c r="J44" s="2">
        <f t="shared" ref="J44:J45" si="147">I44-I43</f>
        <v>242.93315944640199</v>
      </c>
      <c r="K44" s="6">
        <f t="shared" ref="K44:K45" si="148">(J44/I43)</f>
        <v>3.4154062666004537E-3</v>
      </c>
      <c r="L44" s="7">
        <f t="shared" ref="L44:L45" si="149">K44+1</f>
        <v>1.0034154062666005</v>
      </c>
      <c r="N44">
        <f t="shared" ref="N44:N45" si="150">A44</f>
        <v>2016</v>
      </c>
      <c r="O44" s="2">
        <f t="shared" ref="O44:O45" si="151">O43*(1+O20)</f>
        <v>5635.7473666757242</v>
      </c>
      <c r="P44" s="2"/>
      <c r="Q44" s="2"/>
      <c r="R44">
        <f t="shared" ref="R44:R45" si="152">A44</f>
        <v>2016</v>
      </c>
      <c r="S44" s="2">
        <f t="shared" ref="S44:S45" si="153">B44-($O44/5)</f>
        <v>18185.398998736386</v>
      </c>
      <c r="T44" s="2"/>
      <c r="U44" s="2">
        <f t="shared" ref="U44:U45" si="154">D44-($O44/5)</f>
        <v>19469.274279493278</v>
      </c>
      <c r="V44" s="2">
        <f t="shared" ref="V44:V45" si="155">E44-($O44/5)</f>
        <v>4669.0060443838374</v>
      </c>
      <c r="W44" s="2"/>
      <c r="X44" s="2">
        <f t="shared" ref="X44:X45" si="156">G44-($O44/5)</f>
        <v>7504.6561329460474</v>
      </c>
      <c r="Y44" s="2">
        <f t="shared" ref="Y44:Y45" si="157">H44-($O44/5)</f>
        <v>15907.477646373694</v>
      </c>
      <c r="Z44" s="2">
        <f t="shared" ref="Z44:Z45" si="158">SUM(S44:Y44)</f>
        <v>65735.813101933236</v>
      </c>
      <c r="AA44" s="2">
        <f t="shared" ref="AA44:AA45" si="159">Z44-Z43</f>
        <v>148.72695961012505</v>
      </c>
      <c r="AB44" s="6">
        <f t="shared" ref="AB44:AB45" si="160">(AA44/Z43)</f>
        <v>2.267625661664394E-3</v>
      </c>
      <c r="AC44" s="7">
        <f t="shared" ref="AC44:AC45" si="161">AB44+1</f>
        <v>1.0022676256616645</v>
      </c>
      <c r="AD44" s="2">
        <f t="shared" ref="AD44:AD45" si="162">Z44-(I44-O44)</f>
        <v>0</v>
      </c>
      <c r="AE44" s="2"/>
      <c r="AG44">
        <f t="shared" ref="AG44:AG45" si="163">A44</f>
        <v>2016</v>
      </c>
      <c r="AH44" s="6">
        <f t="shared" ref="AH44:AH45" si="164">S44/$Z44</f>
        <v>0.27664370668903415</v>
      </c>
      <c r="AI44" s="7"/>
      <c r="AJ44" s="6">
        <f t="shared" ref="AJ44:AJ45" si="165">U44/$Z44</f>
        <v>0.29617454110293345</v>
      </c>
      <c r="AK44" s="6">
        <f t="shared" ref="AK44:AK45" si="166">V44/$Z44</f>
        <v>7.1026824253985321E-2</v>
      </c>
      <c r="AL44" s="7"/>
      <c r="AM44" s="6">
        <f t="shared" ref="AM44:AM45" si="167">X44/$Z44</f>
        <v>0.11416388995309075</v>
      </c>
      <c r="AN44" s="6">
        <f t="shared" ref="AN44:AN45" si="168">Y44/$Z44</f>
        <v>0.24199103800095642</v>
      </c>
      <c r="AO44" s="55">
        <f t="shared" ref="AO44:AO45" si="169">SUM(AH44:AN44)</f>
        <v>1.0000000000000002</v>
      </c>
      <c r="AP44" s="7">
        <f t="shared" ref="AP44:AP45" si="170">SUM(AH44:AM44)</f>
        <v>0.75800896199904377</v>
      </c>
      <c r="AQ44" s="7">
        <f t="shared" ref="AQ44:AQ45" si="171">AO44-(AP44+AN44)</f>
        <v>0</v>
      </c>
      <c r="AS44">
        <f t="shared" ref="AS44:AS45" si="172">A44</f>
        <v>2016</v>
      </c>
      <c r="AT44" s="2">
        <f t="shared" ref="AT44:AT45" si="173">S44</f>
        <v>18185.398998736386</v>
      </c>
      <c r="AU44" s="2"/>
      <c r="AV44" s="2">
        <f t="shared" ref="AV44:AV45" si="174">U44</f>
        <v>19469.274279493278</v>
      </c>
      <c r="AW44" s="2">
        <f t="shared" ref="AW44:AW45" si="175">V44</f>
        <v>4669.0060443838374</v>
      </c>
      <c r="AX44" s="2"/>
      <c r="AY44" s="2">
        <f t="shared" ref="AY44:AY45" si="176">X44</f>
        <v>7504.6561329460474</v>
      </c>
      <c r="AZ44" s="2">
        <f t="shared" ref="AZ44:AZ45" si="177">Y44</f>
        <v>15907.477646373694</v>
      </c>
      <c r="BA44" s="2">
        <f t="shared" ref="BA44:BA45" si="178">Z44</f>
        <v>65735.813101933236</v>
      </c>
      <c r="BB44" s="2">
        <f t="shared" ref="BB44:BB45" si="179">SUM(AT44:AZ44)-Z44</f>
        <v>0</v>
      </c>
      <c r="BC44" s="2"/>
      <c r="BM44" s="22"/>
      <c r="BO44" s="1"/>
      <c r="BQ44" s="1"/>
      <c r="BR44" s="1"/>
      <c r="BT44" s="1"/>
      <c r="BU44" s="1"/>
      <c r="BV44" s="1"/>
      <c r="CH44" s="2"/>
    </row>
    <row r="45" spans="1:86" x14ac:dyDescent="0.25">
      <c r="A45">
        <f t="shared" si="142"/>
        <v>2017</v>
      </c>
      <c r="B45" s="2">
        <f t="shared" si="143"/>
        <v>22126.174961762557</v>
      </c>
      <c r="C45" s="2"/>
      <c r="D45" s="2">
        <f t="shared" ref="D45:E45" si="180">AV44*(1+(D21/100))</f>
        <v>23285.25203827396</v>
      </c>
      <c r="E45" s="2">
        <f t="shared" si="180"/>
        <v>5420.7160175296358</v>
      </c>
      <c r="F45" s="2"/>
      <c r="G45" s="2">
        <f t="shared" ref="G45:H45" si="181">AY44*(1+(G21/100))</f>
        <v>9560.9319133732643</v>
      </c>
      <c r="H45" s="2">
        <f t="shared" si="181"/>
        <v>16457.876372938223</v>
      </c>
      <c r="I45" s="2">
        <f t="shared" si="146"/>
        <v>76850.951303877649</v>
      </c>
      <c r="J45" s="2">
        <f t="shared" si="147"/>
        <v>5479.3908352686849</v>
      </c>
      <c r="K45" s="6">
        <f t="shared" si="148"/>
        <v>7.6772748126736859E-2</v>
      </c>
      <c r="L45" s="7">
        <f t="shared" si="149"/>
        <v>1.0767727481267368</v>
      </c>
      <c r="N45">
        <f t="shared" si="150"/>
        <v>2017</v>
      </c>
      <c r="O45" s="2">
        <f t="shared" si="151"/>
        <v>5761.4245329525929</v>
      </c>
      <c r="P45" s="2"/>
      <c r="Q45" s="2"/>
      <c r="R45">
        <f t="shared" si="152"/>
        <v>2017</v>
      </c>
      <c r="S45" s="2">
        <f t="shared" si="153"/>
        <v>20973.89005517204</v>
      </c>
      <c r="T45" s="2"/>
      <c r="U45" s="2">
        <f t="shared" si="154"/>
        <v>22132.967131683443</v>
      </c>
      <c r="V45" s="2">
        <f t="shared" si="155"/>
        <v>4268.4311109391174</v>
      </c>
      <c r="W45" s="2"/>
      <c r="X45" s="2">
        <f t="shared" si="156"/>
        <v>8408.6470067827449</v>
      </c>
      <c r="Y45" s="2">
        <f t="shared" si="157"/>
        <v>15305.591466347703</v>
      </c>
      <c r="Z45" s="2">
        <f t="shared" si="158"/>
        <v>71089.526770925062</v>
      </c>
      <c r="AA45" s="2">
        <f t="shared" si="159"/>
        <v>5353.7136689918261</v>
      </c>
      <c r="AB45" s="6">
        <f t="shared" si="160"/>
        <v>8.1442875905255632E-2</v>
      </c>
      <c r="AC45" s="7">
        <f t="shared" si="161"/>
        <v>1.0814428759052557</v>
      </c>
      <c r="AD45" s="2">
        <f t="shared" si="162"/>
        <v>0</v>
      </c>
      <c r="AE45" s="2"/>
      <c r="AG45">
        <f t="shared" si="163"/>
        <v>2017</v>
      </c>
      <c r="AH45" s="6">
        <f t="shared" si="164"/>
        <v>0.29503488077445128</v>
      </c>
      <c r="AI45" s="7"/>
      <c r="AJ45" s="6">
        <f t="shared" si="165"/>
        <v>0.3113393510552333</v>
      </c>
      <c r="AK45" s="6">
        <f t="shared" si="166"/>
        <v>6.0043037347730172E-2</v>
      </c>
      <c r="AL45" s="7"/>
      <c r="AM45" s="6">
        <f t="shared" si="167"/>
        <v>0.11828250079478377</v>
      </c>
      <c r="AN45" s="6">
        <f t="shared" si="168"/>
        <v>0.2153002300278013</v>
      </c>
      <c r="AO45" s="55">
        <f t="shared" si="169"/>
        <v>0.99999999999999978</v>
      </c>
      <c r="AP45" s="7">
        <f t="shared" si="170"/>
        <v>0.78469976997219848</v>
      </c>
      <c r="AQ45" s="7">
        <f t="shared" si="171"/>
        <v>0</v>
      </c>
      <c r="AS45">
        <f t="shared" si="172"/>
        <v>2017</v>
      </c>
      <c r="AT45" s="2">
        <f t="shared" si="173"/>
        <v>20973.89005517204</v>
      </c>
      <c r="AU45" s="2"/>
      <c r="AV45" s="2">
        <f t="shared" si="174"/>
        <v>22132.967131683443</v>
      </c>
      <c r="AW45" s="2">
        <f t="shared" si="175"/>
        <v>4268.4311109391174</v>
      </c>
      <c r="AX45" s="2"/>
      <c r="AY45" s="2">
        <f t="shared" si="176"/>
        <v>8408.6470067827449</v>
      </c>
      <c r="AZ45" s="2">
        <f t="shared" si="177"/>
        <v>15305.591466347703</v>
      </c>
      <c r="BA45" s="2">
        <f t="shared" si="178"/>
        <v>71089.526770925062</v>
      </c>
      <c r="BB45" s="2">
        <f t="shared" si="179"/>
        <v>0</v>
      </c>
      <c r="BC45" s="2"/>
      <c r="BM45" s="22"/>
      <c r="BO45" s="1"/>
      <c r="BQ45" s="1"/>
      <c r="BR45" s="1"/>
      <c r="BT45" s="1"/>
      <c r="BU45" s="1"/>
      <c r="BV45" s="1"/>
      <c r="CH45" s="2"/>
    </row>
    <row r="46" spans="1:86" x14ac:dyDescent="0.25">
      <c r="A46" s="9" t="s">
        <v>41</v>
      </c>
      <c r="B46" s="10">
        <f>AT45</f>
        <v>20973.89005517204</v>
      </c>
      <c r="C46" s="10"/>
      <c r="D46" s="10">
        <f>AV45</f>
        <v>22132.967131683443</v>
      </c>
      <c r="E46" s="10">
        <f>AW45</f>
        <v>4268.4311109391174</v>
      </c>
      <c r="F46" s="10"/>
      <c r="G46" s="10">
        <f>AY45</f>
        <v>8408.6470067827449</v>
      </c>
      <c r="H46" s="10">
        <f>AZ45</f>
        <v>15305.591466347703</v>
      </c>
      <c r="I46" s="10">
        <f>SUM(B46:H46)</f>
        <v>71089.526770925062</v>
      </c>
      <c r="J46" s="10"/>
      <c r="K46" s="10"/>
      <c r="N46" t="s">
        <v>68</v>
      </c>
      <c r="O46" s="2">
        <f>O42</f>
        <v>5517.265199959631</v>
      </c>
      <c r="P46" s="2"/>
      <c r="R46" s="9" t="s">
        <v>41</v>
      </c>
      <c r="S46" s="10">
        <f>S45</f>
        <v>20973.89005517204</v>
      </c>
      <c r="T46" s="10"/>
      <c r="U46" s="10">
        <f>U45</f>
        <v>22132.967131683443</v>
      </c>
      <c r="V46" s="10">
        <f>V45</f>
        <v>4268.4311109391174</v>
      </c>
      <c r="W46" s="10"/>
      <c r="X46" s="10">
        <f>X45</f>
        <v>8408.6470067827449</v>
      </c>
      <c r="Y46" s="10">
        <f>Y45</f>
        <v>15305.591466347703</v>
      </c>
      <c r="Z46" s="10">
        <f>SUM(S46:Y46)</f>
        <v>71089.526770925062</v>
      </c>
      <c r="AA46" s="40"/>
      <c r="AB46" s="40"/>
      <c r="AC46" s="40"/>
      <c r="AD46" s="40"/>
      <c r="AE46" s="40"/>
      <c r="AK46" s="7"/>
    </row>
    <row r="47" spans="1:86" x14ac:dyDescent="0.25">
      <c r="A47" s="11" t="s">
        <v>28</v>
      </c>
      <c r="I47" s="6">
        <f>(Z46-Z27)/Z27</f>
        <v>-0.2891047322907494</v>
      </c>
      <c r="K47" s="6"/>
      <c r="N47" t="s">
        <v>114</v>
      </c>
      <c r="O47" s="2">
        <f>SUM(O28:O45)</f>
        <v>89231.099390012838</v>
      </c>
      <c r="P47" s="2"/>
    </row>
    <row r="48" spans="1:86" x14ac:dyDescent="0.25">
      <c r="A48" s="1" t="s">
        <v>29</v>
      </c>
      <c r="I48" s="12">
        <f>STDEV(AC28:AC45)</f>
        <v>0.107611349586664</v>
      </c>
    </row>
    <row r="49" spans="1:16" x14ac:dyDescent="0.25">
      <c r="A49" s="1" t="s">
        <v>30</v>
      </c>
      <c r="I49" s="13">
        <f>((1+I47)^(1/16))-1</f>
        <v>-2.1101075283916804E-2</v>
      </c>
    </row>
    <row r="50" spans="1:16" x14ac:dyDescent="0.25">
      <c r="A50" s="1" t="s">
        <v>45</v>
      </c>
      <c r="I50" s="28">
        <f>AA36</f>
        <v>-34260.543838615486</v>
      </c>
      <c r="O50" s="2"/>
      <c r="P50" s="2"/>
    </row>
    <row r="51" spans="1:16" x14ac:dyDescent="0.25">
      <c r="A51" s="1" t="s">
        <v>46</v>
      </c>
      <c r="I51" s="29">
        <f>AB36</f>
        <v>-0.34686427959949512</v>
      </c>
    </row>
    <row r="52" spans="1:16" x14ac:dyDescent="0.25">
      <c r="A52" s="1" t="s">
        <v>22</v>
      </c>
      <c r="I52" s="2">
        <f>O47</f>
        <v>89231.099390012838</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A50C4-8C38-4F36-86FA-2B73C92ADEC3}">
  <dimension ref="A1:AQ56"/>
  <sheetViews>
    <sheetView topLeftCell="A2" workbookViewId="0">
      <pane ySplit="1200" topLeftCell="A22" activePane="bottomLeft"/>
      <selection activeCell="T51" sqref="T51"/>
      <selection pane="bottomLeft" activeCell="T51" sqref="T51"/>
    </sheetView>
  </sheetViews>
  <sheetFormatPr defaultColWidth="8.85546875" defaultRowHeight="15" x14ac:dyDescent="0.25"/>
  <cols>
    <col min="1" max="1" width="25.42578125" customWidth="1"/>
    <col min="2" max="2" width="10.140625" bestFit="1"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95</v>
      </c>
      <c r="N1" s="64" t="s">
        <v>67</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94</v>
      </c>
      <c r="O3" s="42" t="s">
        <v>69</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6">
        <f>'4% Withdrawals-No Rebalancing'!N16</f>
        <v>2012</v>
      </c>
      <c r="O16" s="47">
        <f>'4% Withdrawals-No Rebalancing'!O16</f>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6">
        <f>'4% Withdrawals-No Rebalancing'!N17</f>
        <v>2013</v>
      </c>
      <c r="O17" s="47">
        <f>'4% Withdrawals-No Rebalancing'!O17</f>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6">
        <f>'4% Withdrawals-No Rebalancing'!N18</f>
        <v>2014</v>
      </c>
      <c r="O18" s="47">
        <f>'4% Withdrawals-No Rebalancing'!O18</f>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6">
        <f>'4% Withdrawals-No Rebalancing'!N19</f>
        <v>2015</v>
      </c>
      <c r="O19" s="47">
        <f>'4% Withdrawals-No Rebalancing'!O19</f>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6">
        <f>'4% Withdrawals-No Rebalancing'!N20</f>
        <v>2016</v>
      </c>
      <c r="O20" s="47">
        <f>'4% Withdrawals-No Rebalancing'!O20</f>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6">
        <f>'4% Withdrawals-No Rebalancing'!N21</f>
        <v>2017</v>
      </c>
      <c r="O21" s="47">
        <f>'4% Withdrawals-No Rebalancing'!O21</f>
        <v>2.23E-2</v>
      </c>
      <c r="P21" s="41"/>
    </row>
    <row r="24" spans="1:43" x14ac:dyDescent="0.25">
      <c r="A24" s="18" t="s">
        <v>11</v>
      </c>
      <c r="N24" s="18" t="s">
        <v>119</v>
      </c>
      <c r="R24" s="18" t="s">
        <v>16</v>
      </c>
      <c r="AG24" s="18" t="s">
        <v>135</v>
      </c>
    </row>
    <row r="25" spans="1:43"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S25" s="4" t="str">
        <f t="shared" ref="S25:Z27" si="1">B25</f>
        <v>LC Stocks</v>
      </c>
      <c r="T25" s="4" t="str">
        <f t="shared" si="1"/>
        <v>Ext Mkt</v>
      </c>
      <c r="U25" s="4" t="str">
        <f t="shared" si="1"/>
        <v>Mcap Stk</v>
      </c>
      <c r="V25" s="4" t="str">
        <f t="shared" si="1"/>
        <v>Small Cap</v>
      </c>
      <c r="W25" s="4" t="str">
        <f t="shared" si="1"/>
        <v>Intl Val</v>
      </c>
      <c r="X25" s="4" t="str">
        <f t="shared" si="1"/>
        <v>Tot Int Stk</v>
      </c>
      <c r="Y25" s="4" t="str">
        <f t="shared" si="1"/>
        <v>Bonds</v>
      </c>
      <c r="Z25" s="5"/>
      <c r="AA25" s="5" t="s">
        <v>39</v>
      </c>
      <c r="AB25" s="5" t="s">
        <v>36</v>
      </c>
      <c r="AC25" s="5" t="s">
        <v>37</v>
      </c>
      <c r="AD25" s="5" t="s">
        <v>51</v>
      </c>
      <c r="AE25" s="5"/>
      <c r="AH25" s="4" t="str">
        <f t="shared" ref="AH25:AN26" si="2">B25</f>
        <v>LC Stocks</v>
      </c>
      <c r="AI25" s="4" t="str">
        <f t="shared" si="2"/>
        <v>Ext Mkt</v>
      </c>
      <c r="AJ25" s="4" t="str">
        <f t="shared" si="2"/>
        <v>Mcap Stk</v>
      </c>
      <c r="AK25" s="4" t="str">
        <f t="shared" si="2"/>
        <v>Small Cap</v>
      </c>
      <c r="AL25" s="4" t="str">
        <f t="shared" si="2"/>
        <v>Intl Val</v>
      </c>
      <c r="AM25" s="4" t="str">
        <f t="shared" si="2"/>
        <v>Tot Int Stk</v>
      </c>
      <c r="AN25" s="4" t="str">
        <f t="shared" si="2"/>
        <v>Bonds</v>
      </c>
      <c r="AO25" s="5"/>
      <c r="AP25" s="5" t="s">
        <v>6</v>
      </c>
      <c r="AQ25" s="3" t="s">
        <v>7</v>
      </c>
    </row>
    <row r="26" spans="1:43"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R26" t="str">
        <f>A26</f>
        <v>Fund</v>
      </c>
      <c r="S26" s="4" t="str">
        <f t="shared" si="1"/>
        <v>VFINX</v>
      </c>
      <c r="T26" s="4" t="str">
        <f t="shared" si="1"/>
        <v>VEXMX</v>
      </c>
      <c r="U26" s="4" t="str">
        <f t="shared" si="1"/>
        <v>VIMSX</v>
      </c>
      <c r="V26" s="4" t="str">
        <f t="shared" si="1"/>
        <v>NAESX</v>
      </c>
      <c r="W26" s="4" t="str">
        <f t="shared" si="1"/>
        <v>VTRIX</v>
      </c>
      <c r="X26" s="4" t="str">
        <f t="shared" si="1"/>
        <v>VGTSX</v>
      </c>
      <c r="Y26" s="4" t="str">
        <f t="shared" si="1"/>
        <v>VBMFX</v>
      </c>
      <c r="Z26" s="5" t="str">
        <f t="shared" si="1"/>
        <v>Total</v>
      </c>
      <c r="AA26" s="5" t="s">
        <v>40</v>
      </c>
      <c r="AB26" s="5" t="s">
        <v>38</v>
      </c>
      <c r="AC26" s="5" t="s">
        <v>38</v>
      </c>
      <c r="AD26" s="5" t="s">
        <v>50</v>
      </c>
      <c r="AE26" s="5"/>
      <c r="AG26" t="s">
        <v>116</v>
      </c>
      <c r="AH26" s="4" t="str">
        <f t="shared" si="2"/>
        <v>VFINX</v>
      </c>
      <c r="AI26" s="4" t="str">
        <f t="shared" si="2"/>
        <v>VEXMX</v>
      </c>
      <c r="AJ26" s="4" t="str">
        <f t="shared" si="2"/>
        <v>VIMSX</v>
      </c>
      <c r="AK26" s="4" t="str">
        <f t="shared" si="2"/>
        <v>NAESX</v>
      </c>
      <c r="AL26" s="4" t="str">
        <f t="shared" si="2"/>
        <v>VTRIX</v>
      </c>
      <c r="AM26" s="4" t="str">
        <f t="shared" si="2"/>
        <v>VGTSX</v>
      </c>
      <c r="AN26" s="4" t="str">
        <f t="shared" si="2"/>
        <v>VBMFX</v>
      </c>
      <c r="AO26" s="5" t="s">
        <v>114</v>
      </c>
      <c r="AP26" s="5" t="s">
        <v>7</v>
      </c>
      <c r="AQ26" s="3" t="s">
        <v>50</v>
      </c>
    </row>
    <row r="27" spans="1:43" x14ac:dyDescent="0.25">
      <c r="A27" t="s">
        <v>115</v>
      </c>
      <c r="B27" s="2">
        <v>100000</v>
      </c>
      <c r="C27" s="2"/>
      <c r="D27" s="2">
        <v>0</v>
      </c>
      <c r="E27" s="2">
        <v>0</v>
      </c>
      <c r="F27" s="2"/>
      <c r="G27" s="2">
        <v>0</v>
      </c>
      <c r="H27" s="2">
        <v>0</v>
      </c>
      <c r="I27" s="2">
        <f>SUM(B27:H27)</f>
        <v>100000</v>
      </c>
      <c r="N27" s="19"/>
      <c r="R27" t="str">
        <f>A27</f>
        <v>Stating Balance</v>
      </c>
      <c r="S27" s="2">
        <f>B27</f>
        <v>100000</v>
      </c>
      <c r="T27" s="2"/>
      <c r="U27" s="2">
        <f t="shared" si="1"/>
        <v>0</v>
      </c>
      <c r="V27" s="2">
        <f t="shared" si="1"/>
        <v>0</v>
      </c>
      <c r="W27" s="2"/>
      <c r="X27" s="2">
        <f t="shared" si="1"/>
        <v>0</v>
      </c>
      <c r="Y27" s="2">
        <f t="shared" si="1"/>
        <v>0</v>
      </c>
      <c r="Z27" s="2">
        <f t="shared" si="1"/>
        <v>100000</v>
      </c>
      <c r="AD27" s="2"/>
      <c r="AE27" s="2"/>
      <c r="AG27" s="19" t="s">
        <v>49</v>
      </c>
      <c r="AH27" s="6">
        <f>S27/$Z27</f>
        <v>1</v>
      </c>
      <c r="AI27" s="6"/>
      <c r="AJ27" s="6">
        <f>U27/$Z27</f>
        <v>0</v>
      </c>
      <c r="AK27" s="6">
        <f>V27/$Z27</f>
        <v>0</v>
      </c>
      <c r="AL27" s="6"/>
      <c r="AM27" s="6">
        <f>X27/$Z27</f>
        <v>0</v>
      </c>
      <c r="AN27" s="6">
        <f>Y27/$Z27</f>
        <v>0</v>
      </c>
      <c r="AO27" s="6">
        <f>Z27/$Z27</f>
        <v>1</v>
      </c>
      <c r="AP27" s="22"/>
    </row>
    <row r="28" spans="1:43" x14ac:dyDescent="0.25">
      <c r="A28">
        <f t="shared" ref="A28:A43" si="3">A4</f>
        <v>2000</v>
      </c>
      <c r="B28" s="2">
        <f>B27*(1+(B4/100))</f>
        <v>90940</v>
      </c>
      <c r="C28" s="2"/>
      <c r="D28" s="2">
        <f>D27*(1+(D4/100))</f>
        <v>0</v>
      </c>
      <c r="E28" s="2">
        <f>E27*(1+(E4/100))</f>
        <v>0</v>
      </c>
      <c r="F28" s="2"/>
      <c r="G28" s="2">
        <f>G27*(1+(G4/100))</f>
        <v>0</v>
      </c>
      <c r="H28" s="2">
        <f>H27*(1+(H4/100))</f>
        <v>0</v>
      </c>
      <c r="I28" s="2">
        <f>SUM(B28:H28)</f>
        <v>90940</v>
      </c>
      <c r="J28" s="2">
        <f>I28-I27</f>
        <v>-9060</v>
      </c>
      <c r="K28" s="6">
        <f>(J28/I27)</f>
        <v>-9.06E-2</v>
      </c>
      <c r="L28" s="7">
        <f>K28+1</f>
        <v>0.90939999999999999</v>
      </c>
      <c r="N28">
        <f>A28</f>
        <v>2000</v>
      </c>
      <c r="O28" s="2">
        <f>I28*0.04</f>
        <v>3637.6</v>
      </c>
      <c r="P28" s="2"/>
      <c r="Q28" s="2"/>
      <c r="R28">
        <f>A28</f>
        <v>2000</v>
      </c>
      <c r="S28" s="2">
        <f>B28-O28</f>
        <v>87302.399999999994</v>
      </c>
      <c r="T28" s="2"/>
      <c r="U28" s="2">
        <v>0</v>
      </c>
      <c r="V28" s="2">
        <v>0</v>
      </c>
      <c r="W28" s="2"/>
      <c r="X28" s="2">
        <f t="shared" ref="X28:X45" si="4">G28</f>
        <v>0</v>
      </c>
      <c r="Y28" s="2">
        <f t="shared" ref="Y28:Y45" si="5">H28</f>
        <v>0</v>
      </c>
      <c r="Z28" s="2">
        <f t="shared" ref="Z28:Z45" si="6">SUM(S28:Y28)</f>
        <v>87302.399999999994</v>
      </c>
      <c r="AA28" s="2">
        <f>Z28-Z27</f>
        <v>-12697.600000000006</v>
      </c>
      <c r="AB28" s="6">
        <f>(AA28/Z27)</f>
        <v>-0.12697600000000006</v>
      </c>
      <c r="AC28" s="7">
        <f>AB28+1</f>
        <v>0.87302399999999991</v>
      </c>
      <c r="AD28" s="2">
        <f>Z28-(I28-O28)</f>
        <v>0</v>
      </c>
      <c r="AE28" s="2"/>
      <c r="AG28">
        <f>A28</f>
        <v>2000</v>
      </c>
      <c r="AH28" s="6">
        <f>S28/$Z28</f>
        <v>1</v>
      </c>
      <c r="AI28" s="6"/>
      <c r="AJ28" s="6">
        <f>U28/$Z28</f>
        <v>0</v>
      </c>
      <c r="AK28" s="6">
        <f>V28/$Z28</f>
        <v>0</v>
      </c>
      <c r="AL28" s="6"/>
      <c r="AM28" s="6">
        <f>X28/$Z28</f>
        <v>0</v>
      </c>
      <c r="AN28" s="6">
        <f>Y28/$Z28</f>
        <v>0</v>
      </c>
      <c r="AO28" s="6">
        <f>SUM(AH28:AN28)</f>
        <v>1</v>
      </c>
      <c r="AP28" s="7">
        <f>SUM(AH28:AM28)</f>
        <v>1</v>
      </c>
      <c r="AQ28" s="7">
        <f>AO28-(AP28+AN28)</f>
        <v>0</v>
      </c>
    </row>
    <row r="29" spans="1:43" x14ac:dyDescent="0.25">
      <c r="A29">
        <f t="shared" si="3"/>
        <v>2001</v>
      </c>
      <c r="B29" s="2">
        <f t="shared" ref="B29:B43" si="7">S28*(1+(B5/100))</f>
        <v>76808.651519999999</v>
      </c>
      <c r="C29" s="2"/>
      <c r="D29" s="2">
        <f t="shared" ref="D29:D43" si="8">U28*(1+(D5/100))</f>
        <v>0</v>
      </c>
      <c r="E29" s="2">
        <f t="shared" ref="E29:E43" si="9">V28*(1+(E5/100))</f>
        <v>0</v>
      </c>
      <c r="F29" s="2"/>
      <c r="G29" s="2">
        <f t="shared" ref="G29:G43" si="10">G28*(1+(G5/100))</f>
        <v>0</v>
      </c>
      <c r="H29" s="2">
        <f t="shared" ref="H29:H43" si="11">Y28*(1+(H5/100))</f>
        <v>0</v>
      </c>
      <c r="I29" s="2">
        <f t="shared" ref="I29:I43" si="12">SUM(B29:H29)</f>
        <v>76808.651519999999</v>
      </c>
      <c r="J29" s="2">
        <f t="shared" ref="J29:J43" si="13">I29-I28</f>
        <v>-14131.348480000001</v>
      </c>
      <c r="K29" s="6">
        <f t="shared" ref="K29:K43" si="14">(J29/I28)</f>
        <v>-0.155392</v>
      </c>
      <c r="L29" s="7">
        <f t="shared" ref="L29:L43" si="15">K29+1</f>
        <v>0.84460800000000003</v>
      </c>
      <c r="N29">
        <f t="shared" ref="N29:N43" si="16">A29</f>
        <v>2001</v>
      </c>
      <c r="O29" s="2">
        <f t="shared" ref="O29:O43" si="17">O28*(1+O5)</f>
        <v>3695.8015999999998</v>
      </c>
      <c r="P29" s="2"/>
      <c r="Q29" s="2"/>
      <c r="R29">
        <f t="shared" ref="R29:R45" si="18">A29</f>
        <v>2001</v>
      </c>
      <c r="S29" s="2">
        <f t="shared" ref="S29:S45" si="19">B29-O29</f>
        <v>73112.849919999993</v>
      </c>
      <c r="T29" s="2"/>
      <c r="U29" s="2">
        <v>0</v>
      </c>
      <c r="V29" s="2">
        <v>0</v>
      </c>
      <c r="W29" s="2"/>
      <c r="X29" s="2">
        <f t="shared" si="4"/>
        <v>0</v>
      </c>
      <c r="Y29" s="2">
        <f t="shared" si="5"/>
        <v>0</v>
      </c>
      <c r="Z29" s="2">
        <f t="shared" si="6"/>
        <v>73112.849919999993</v>
      </c>
      <c r="AA29" s="2">
        <f t="shared" ref="AA29:AA43" si="20">Z29-Z28</f>
        <v>-14189.550080000001</v>
      </c>
      <c r="AB29" s="6">
        <f t="shared" ref="AB29:AB43" si="21">(AA29/Z28)</f>
        <v>-0.16253333333333336</v>
      </c>
      <c r="AC29" s="7">
        <f t="shared" ref="AC29:AC45" si="22">AB29+1</f>
        <v>0.83746666666666658</v>
      </c>
      <c r="AD29" s="2">
        <f t="shared" ref="AD29:AD45" si="23">Z29-(I29-O29)</f>
        <v>0</v>
      </c>
      <c r="AE29" s="2"/>
      <c r="AG29">
        <f t="shared" ref="AG29:AG45" si="24">A29</f>
        <v>2001</v>
      </c>
      <c r="AH29" s="6">
        <f t="shared" ref="AH29:AN45" si="25">S29/$Z29</f>
        <v>1</v>
      </c>
      <c r="AI29" s="6"/>
      <c r="AJ29" s="6">
        <f t="shared" si="25"/>
        <v>0</v>
      </c>
      <c r="AK29" s="6">
        <f t="shared" si="25"/>
        <v>0</v>
      </c>
      <c r="AL29" s="6"/>
      <c r="AM29" s="6">
        <f t="shared" si="25"/>
        <v>0</v>
      </c>
      <c r="AN29" s="6">
        <f t="shared" si="25"/>
        <v>0</v>
      </c>
      <c r="AO29" s="6">
        <f t="shared" ref="AO29:AO45" si="26">SUM(AH29:AN29)</f>
        <v>1</v>
      </c>
      <c r="AP29" s="7">
        <f t="shared" ref="AP29:AP45" si="27">SUM(AH29:AM29)</f>
        <v>1</v>
      </c>
      <c r="AQ29" s="7">
        <f t="shared" ref="AQ29:AQ45" si="28">AO29-(AP29+AN29)</f>
        <v>0</v>
      </c>
    </row>
    <row r="30" spans="1:43" x14ac:dyDescent="0.25">
      <c r="A30">
        <f t="shared" si="3"/>
        <v>2002</v>
      </c>
      <c r="B30" s="2">
        <f t="shared" si="7"/>
        <v>56918.353662719994</v>
      </c>
      <c r="C30" s="2"/>
      <c r="D30" s="2">
        <f t="shared" si="8"/>
        <v>0</v>
      </c>
      <c r="E30" s="2">
        <f t="shared" si="9"/>
        <v>0</v>
      </c>
      <c r="F30" s="2"/>
      <c r="G30" s="2">
        <f t="shared" si="10"/>
        <v>0</v>
      </c>
      <c r="H30" s="2">
        <f t="shared" si="11"/>
        <v>0</v>
      </c>
      <c r="I30" s="2">
        <f t="shared" ref="I30:I36" si="29">SUM(B30:H30)</f>
        <v>56918.353662719994</v>
      </c>
      <c r="J30" s="2">
        <f t="shared" si="13"/>
        <v>-19890.297857280006</v>
      </c>
      <c r="K30" s="6">
        <f t="shared" si="14"/>
        <v>-0.2589590816094568</v>
      </c>
      <c r="L30" s="7">
        <f t="shared" si="15"/>
        <v>0.7410409183905432</v>
      </c>
      <c r="N30">
        <f t="shared" si="16"/>
        <v>2002</v>
      </c>
      <c r="O30" s="2">
        <f t="shared" si="17"/>
        <v>3788.1966399999997</v>
      </c>
      <c r="P30" s="2"/>
      <c r="Q30" s="2"/>
      <c r="R30">
        <f t="shared" si="18"/>
        <v>2002</v>
      </c>
      <c r="S30" s="2">
        <f t="shared" si="19"/>
        <v>53130.157022719992</v>
      </c>
      <c r="T30" s="2"/>
      <c r="U30" s="2">
        <v>0</v>
      </c>
      <c r="V30" s="2">
        <v>0</v>
      </c>
      <c r="W30" s="2"/>
      <c r="X30" s="2">
        <f t="shared" si="4"/>
        <v>0</v>
      </c>
      <c r="Y30" s="2">
        <f t="shared" si="5"/>
        <v>0</v>
      </c>
      <c r="Z30" s="2">
        <f t="shared" si="6"/>
        <v>53130.157022719992</v>
      </c>
      <c r="AA30" s="2">
        <f t="shared" si="20"/>
        <v>-19982.692897280001</v>
      </c>
      <c r="AB30" s="6">
        <f t="shared" si="21"/>
        <v>-0.27331300748288495</v>
      </c>
      <c r="AC30" s="7">
        <f t="shared" si="22"/>
        <v>0.7266869925171151</v>
      </c>
      <c r="AD30" s="2">
        <f t="shared" si="23"/>
        <v>0</v>
      </c>
      <c r="AE30" s="2"/>
      <c r="AG30">
        <f t="shared" si="24"/>
        <v>2002</v>
      </c>
      <c r="AH30" s="6">
        <f t="shared" si="25"/>
        <v>1</v>
      </c>
      <c r="AI30" s="6"/>
      <c r="AJ30" s="6">
        <f t="shared" si="25"/>
        <v>0</v>
      </c>
      <c r="AK30" s="6">
        <f t="shared" si="25"/>
        <v>0</v>
      </c>
      <c r="AL30" s="6"/>
      <c r="AM30" s="6">
        <f t="shared" si="25"/>
        <v>0</v>
      </c>
      <c r="AN30" s="6">
        <f t="shared" si="25"/>
        <v>0</v>
      </c>
      <c r="AO30" s="6">
        <f t="shared" si="26"/>
        <v>1</v>
      </c>
      <c r="AP30" s="7">
        <f t="shared" si="27"/>
        <v>1</v>
      </c>
      <c r="AQ30" s="7">
        <f t="shared" si="28"/>
        <v>0</v>
      </c>
    </row>
    <row r="31" spans="1:43" x14ac:dyDescent="0.25">
      <c r="A31">
        <f t="shared" si="3"/>
        <v>2003</v>
      </c>
      <c r="B31" s="2">
        <f t="shared" si="7"/>
        <v>68272.251774195189</v>
      </c>
      <c r="C31" s="2"/>
      <c r="D31" s="2">
        <f t="shared" si="8"/>
        <v>0</v>
      </c>
      <c r="E31" s="2">
        <f t="shared" si="9"/>
        <v>0</v>
      </c>
      <c r="F31" s="2"/>
      <c r="G31" s="2">
        <f t="shared" si="10"/>
        <v>0</v>
      </c>
      <c r="H31" s="2">
        <f t="shared" si="11"/>
        <v>0</v>
      </c>
      <c r="I31" s="2">
        <f t="shared" si="29"/>
        <v>68272.251774195189</v>
      </c>
      <c r="J31" s="2">
        <f t="shared" si="13"/>
        <v>11353.898111475195</v>
      </c>
      <c r="K31" s="6">
        <f t="shared" si="14"/>
        <v>0.19947692406485917</v>
      </c>
      <c r="L31" s="7">
        <f t="shared" si="15"/>
        <v>1.1994769240648591</v>
      </c>
      <c r="N31">
        <f t="shared" si="16"/>
        <v>2003</v>
      </c>
      <c r="O31" s="2">
        <f t="shared" si="17"/>
        <v>3863.9605727999997</v>
      </c>
      <c r="P31" s="2"/>
      <c r="Q31" s="2"/>
      <c r="R31">
        <f t="shared" si="18"/>
        <v>2003</v>
      </c>
      <c r="S31" s="2">
        <f t="shared" si="19"/>
        <v>64408.291201395186</v>
      </c>
      <c r="T31" s="2"/>
      <c r="U31" s="2">
        <v>0</v>
      </c>
      <c r="V31" s="2">
        <v>0</v>
      </c>
      <c r="W31" s="2"/>
      <c r="X31" s="2">
        <f t="shared" si="4"/>
        <v>0</v>
      </c>
      <c r="Y31" s="2">
        <f t="shared" si="5"/>
        <v>0</v>
      </c>
      <c r="Z31" s="2">
        <f t="shared" si="6"/>
        <v>64408.291201395186</v>
      </c>
      <c r="AA31" s="2">
        <f t="shared" si="20"/>
        <v>11278.134178675195</v>
      </c>
      <c r="AB31" s="6">
        <f t="shared" si="21"/>
        <v>0.21227368430046872</v>
      </c>
      <c r="AC31" s="7">
        <f t="shared" si="22"/>
        <v>1.2122736843004687</v>
      </c>
      <c r="AD31" s="2">
        <f t="shared" si="23"/>
        <v>0</v>
      </c>
      <c r="AE31" s="2"/>
      <c r="AG31">
        <f t="shared" si="24"/>
        <v>2003</v>
      </c>
      <c r="AH31" s="6">
        <f t="shared" si="25"/>
        <v>1</v>
      </c>
      <c r="AI31" s="6"/>
      <c r="AJ31" s="6">
        <f t="shared" si="25"/>
        <v>0</v>
      </c>
      <c r="AK31" s="6">
        <f t="shared" si="25"/>
        <v>0</v>
      </c>
      <c r="AL31" s="6"/>
      <c r="AM31" s="6">
        <f t="shared" si="25"/>
        <v>0</v>
      </c>
      <c r="AN31" s="6">
        <f t="shared" si="25"/>
        <v>0</v>
      </c>
      <c r="AO31" s="6">
        <f t="shared" si="26"/>
        <v>1</v>
      </c>
      <c r="AP31" s="7">
        <f t="shared" si="27"/>
        <v>1</v>
      </c>
      <c r="AQ31" s="7">
        <f t="shared" si="28"/>
        <v>0</v>
      </c>
    </row>
    <row r="32" spans="1:43" x14ac:dyDescent="0.25">
      <c r="A32">
        <f t="shared" si="3"/>
        <v>2004</v>
      </c>
      <c r="B32" s="2">
        <f t="shared" si="7"/>
        <v>71325.741676425023</v>
      </c>
      <c r="C32" s="2"/>
      <c r="D32" s="2">
        <f t="shared" si="8"/>
        <v>0</v>
      </c>
      <c r="E32" s="2">
        <f t="shared" si="9"/>
        <v>0</v>
      </c>
      <c r="F32" s="2"/>
      <c r="G32" s="2">
        <f t="shared" si="10"/>
        <v>0</v>
      </c>
      <c r="H32" s="2">
        <f t="shared" si="11"/>
        <v>0</v>
      </c>
      <c r="I32" s="2">
        <f t="shared" si="29"/>
        <v>71325.741676425023</v>
      </c>
      <c r="J32" s="2">
        <f t="shared" si="13"/>
        <v>3053.4899022298341</v>
      </c>
      <c r="K32" s="6">
        <f t="shared" si="14"/>
        <v>4.4725196882754045E-2</v>
      </c>
      <c r="L32" s="7">
        <f t="shared" si="15"/>
        <v>1.044725196882754</v>
      </c>
      <c r="N32">
        <f t="shared" si="16"/>
        <v>2004</v>
      </c>
      <c r="O32" s="2">
        <f t="shared" si="17"/>
        <v>3991.4712717023995</v>
      </c>
      <c r="P32" s="2"/>
      <c r="Q32" s="2"/>
      <c r="R32">
        <f t="shared" si="18"/>
        <v>2004</v>
      </c>
      <c r="S32" s="2">
        <f t="shared" si="19"/>
        <v>67334.270404722629</v>
      </c>
      <c r="T32" s="2"/>
      <c r="U32" s="2">
        <v>0</v>
      </c>
      <c r="V32" s="2">
        <v>0</v>
      </c>
      <c r="W32" s="2"/>
      <c r="X32" s="2">
        <f t="shared" si="4"/>
        <v>0</v>
      </c>
      <c r="Y32" s="2">
        <f t="shared" si="5"/>
        <v>0</v>
      </c>
      <c r="Z32" s="2">
        <f t="shared" si="6"/>
        <v>67334.270404722629</v>
      </c>
      <c r="AA32" s="2">
        <f t="shared" si="20"/>
        <v>2925.9792033274425</v>
      </c>
      <c r="AB32" s="6">
        <f t="shared" si="21"/>
        <v>4.542861095597675E-2</v>
      </c>
      <c r="AC32" s="7">
        <f t="shared" si="22"/>
        <v>1.0454286109559767</v>
      </c>
      <c r="AD32" s="2">
        <f t="shared" si="23"/>
        <v>0</v>
      </c>
      <c r="AE32" s="2"/>
      <c r="AG32">
        <f t="shared" si="24"/>
        <v>2004</v>
      </c>
      <c r="AH32" s="6">
        <f t="shared" si="25"/>
        <v>1</v>
      </c>
      <c r="AI32" s="6"/>
      <c r="AJ32" s="6">
        <f t="shared" si="25"/>
        <v>0</v>
      </c>
      <c r="AK32" s="6">
        <f t="shared" si="25"/>
        <v>0</v>
      </c>
      <c r="AL32" s="6"/>
      <c r="AM32" s="6">
        <f t="shared" si="25"/>
        <v>0</v>
      </c>
      <c r="AN32" s="6">
        <f t="shared" si="25"/>
        <v>0</v>
      </c>
      <c r="AO32" s="6">
        <f t="shared" si="26"/>
        <v>1</v>
      </c>
      <c r="AP32" s="7">
        <f t="shared" si="27"/>
        <v>1</v>
      </c>
      <c r="AQ32" s="7">
        <f t="shared" si="28"/>
        <v>0</v>
      </c>
    </row>
    <row r="33" spans="1:43" x14ac:dyDescent="0.25">
      <c r="A33">
        <f t="shared" si="3"/>
        <v>2005</v>
      </c>
      <c r="B33" s="2">
        <f t="shared" si="7"/>
        <v>70546.1151030279</v>
      </c>
      <c r="C33" s="2"/>
      <c r="D33" s="2">
        <f t="shared" si="8"/>
        <v>0</v>
      </c>
      <c r="E33" s="2">
        <f t="shared" si="9"/>
        <v>0</v>
      </c>
      <c r="F33" s="2"/>
      <c r="G33" s="2">
        <f t="shared" si="10"/>
        <v>0</v>
      </c>
      <c r="H33" s="2">
        <f t="shared" si="11"/>
        <v>0</v>
      </c>
      <c r="I33" s="2">
        <f t="shared" si="29"/>
        <v>70546.1151030279</v>
      </c>
      <c r="J33" s="2">
        <f t="shared" si="13"/>
        <v>-779.62657339712314</v>
      </c>
      <c r="K33" s="6">
        <f t="shared" si="14"/>
        <v>-1.0930507767223254E-2</v>
      </c>
      <c r="L33" s="7">
        <f t="shared" si="15"/>
        <v>0.98906949223277674</v>
      </c>
      <c r="N33">
        <f t="shared" si="16"/>
        <v>2005</v>
      </c>
      <c r="O33" s="2">
        <f t="shared" si="17"/>
        <v>4123.1898236685784</v>
      </c>
      <c r="P33" s="2"/>
      <c r="Q33" s="2"/>
      <c r="R33">
        <f t="shared" si="18"/>
        <v>2005</v>
      </c>
      <c r="S33" s="2">
        <f t="shared" si="19"/>
        <v>66422.925279359319</v>
      </c>
      <c r="T33" s="2"/>
      <c r="U33" s="2">
        <v>0</v>
      </c>
      <c r="V33" s="2">
        <v>0</v>
      </c>
      <c r="W33" s="2"/>
      <c r="X33" s="2">
        <f t="shared" si="4"/>
        <v>0</v>
      </c>
      <c r="Y33" s="2">
        <f t="shared" si="5"/>
        <v>0</v>
      </c>
      <c r="Z33" s="2">
        <f t="shared" si="6"/>
        <v>66422.925279359319</v>
      </c>
      <c r="AA33" s="2">
        <f t="shared" si="20"/>
        <v>-911.34512536331022</v>
      </c>
      <c r="AB33" s="6">
        <f t="shared" si="21"/>
        <v>-1.3534640234245282E-2</v>
      </c>
      <c r="AC33" s="7">
        <f t="shared" si="22"/>
        <v>0.98646535976575467</v>
      </c>
      <c r="AD33" s="2">
        <f t="shared" si="23"/>
        <v>0</v>
      </c>
      <c r="AE33" s="2"/>
      <c r="AG33">
        <f t="shared" si="24"/>
        <v>2005</v>
      </c>
      <c r="AH33" s="6">
        <f t="shared" si="25"/>
        <v>1</v>
      </c>
      <c r="AI33" s="6"/>
      <c r="AJ33" s="6">
        <f t="shared" si="25"/>
        <v>0</v>
      </c>
      <c r="AK33" s="6">
        <f t="shared" si="25"/>
        <v>0</v>
      </c>
      <c r="AL33" s="6"/>
      <c r="AM33" s="6">
        <f t="shared" si="25"/>
        <v>0</v>
      </c>
      <c r="AN33" s="6">
        <f t="shared" si="25"/>
        <v>0</v>
      </c>
      <c r="AO33" s="6">
        <f t="shared" si="26"/>
        <v>1</v>
      </c>
      <c r="AP33" s="7">
        <f t="shared" si="27"/>
        <v>1</v>
      </c>
      <c r="AQ33" s="7">
        <f t="shared" si="28"/>
        <v>0</v>
      </c>
    </row>
    <row r="34" spans="1:43" x14ac:dyDescent="0.25">
      <c r="A34">
        <f t="shared" si="3"/>
        <v>2006</v>
      </c>
      <c r="B34" s="2">
        <f t="shared" si="7"/>
        <v>76811.470793051121</v>
      </c>
      <c r="C34" s="2"/>
      <c r="D34" s="2">
        <f t="shared" si="8"/>
        <v>0</v>
      </c>
      <c r="E34" s="2">
        <f t="shared" si="9"/>
        <v>0</v>
      </c>
      <c r="F34" s="2"/>
      <c r="G34" s="2">
        <f t="shared" si="10"/>
        <v>0</v>
      </c>
      <c r="H34" s="2">
        <f t="shared" si="11"/>
        <v>0</v>
      </c>
      <c r="I34" s="2">
        <f t="shared" si="29"/>
        <v>76811.470793051121</v>
      </c>
      <c r="J34" s="2">
        <f t="shared" si="13"/>
        <v>6265.3556900232215</v>
      </c>
      <c r="K34" s="6">
        <f t="shared" si="14"/>
        <v>8.8812200088879273E-2</v>
      </c>
      <c r="L34" s="7">
        <f t="shared" si="15"/>
        <v>1.0888122000888794</v>
      </c>
      <c r="N34">
        <f t="shared" si="16"/>
        <v>2006</v>
      </c>
      <c r="O34" s="2">
        <f t="shared" si="17"/>
        <v>4226.2695692602929</v>
      </c>
      <c r="P34" s="2"/>
      <c r="Q34" s="2"/>
      <c r="R34">
        <f t="shared" si="18"/>
        <v>2006</v>
      </c>
      <c r="S34" s="2">
        <f t="shared" si="19"/>
        <v>72585.201223790835</v>
      </c>
      <c r="T34" s="2"/>
      <c r="U34" s="2">
        <v>0</v>
      </c>
      <c r="V34" s="2">
        <v>0</v>
      </c>
      <c r="W34" s="2"/>
      <c r="X34" s="2">
        <f t="shared" si="4"/>
        <v>0</v>
      </c>
      <c r="Y34" s="2">
        <f t="shared" si="5"/>
        <v>0</v>
      </c>
      <c r="Z34" s="2">
        <f t="shared" si="6"/>
        <v>72585.201223790835</v>
      </c>
      <c r="AA34" s="2">
        <f t="shared" si="20"/>
        <v>6162.2759444315161</v>
      </c>
      <c r="AB34" s="6">
        <f t="shared" si="21"/>
        <v>9.2773329667647453E-2</v>
      </c>
      <c r="AC34" s="7">
        <f t="shared" si="22"/>
        <v>1.0927733296676474</v>
      </c>
      <c r="AD34" s="2">
        <f t="shared" si="23"/>
        <v>0</v>
      </c>
      <c r="AE34" s="2"/>
      <c r="AG34">
        <f t="shared" si="24"/>
        <v>2006</v>
      </c>
      <c r="AH34" s="6">
        <f t="shared" si="25"/>
        <v>1</v>
      </c>
      <c r="AI34" s="6"/>
      <c r="AJ34" s="6">
        <f t="shared" si="25"/>
        <v>0</v>
      </c>
      <c r="AK34" s="6">
        <f t="shared" si="25"/>
        <v>0</v>
      </c>
      <c r="AL34" s="6"/>
      <c r="AM34" s="6">
        <f t="shared" si="25"/>
        <v>0</v>
      </c>
      <c r="AN34" s="6">
        <f t="shared" si="25"/>
        <v>0</v>
      </c>
      <c r="AO34" s="6">
        <f t="shared" si="26"/>
        <v>1</v>
      </c>
      <c r="AP34" s="7">
        <f t="shared" si="27"/>
        <v>1</v>
      </c>
      <c r="AQ34" s="7">
        <f t="shared" si="28"/>
        <v>0</v>
      </c>
    </row>
    <row r="35" spans="1:43" x14ac:dyDescent="0.25">
      <c r="A35">
        <f t="shared" si="3"/>
        <v>2007</v>
      </c>
      <c r="B35" s="2">
        <f t="shared" si="7"/>
        <v>76497.543569753165</v>
      </c>
      <c r="C35" s="2"/>
      <c r="D35" s="2">
        <f t="shared" si="8"/>
        <v>0</v>
      </c>
      <c r="E35" s="2">
        <f t="shared" si="9"/>
        <v>0</v>
      </c>
      <c r="F35" s="2"/>
      <c r="G35" s="2">
        <f t="shared" si="10"/>
        <v>0</v>
      </c>
      <c r="H35" s="2">
        <f t="shared" si="11"/>
        <v>0</v>
      </c>
      <c r="I35" s="2">
        <f t="shared" si="29"/>
        <v>76497.543569753165</v>
      </c>
      <c r="J35" s="2">
        <f t="shared" si="13"/>
        <v>-313.92722329795652</v>
      </c>
      <c r="K35" s="6">
        <f t="shared" si="14"/>
        <v>-4.086983624408823E-3</v>
      </c>
      <c r="L35" s="7">
        <f t="shared" si="15"/>
        <v>0.99591301637559115</v>
      </c>
      <c r="N35">
        <f t="shared" si="16"/>
        <v>2007</v>
      </c>
      <c r="O35" s="2">
        <f t="shared" si="17"/>
        <v>4399.546621599965</v>
      </c>
      <c r="P35" s="2"/>
      <c r="Q35" s="2"/>
      <c r="R35">
        <f t="shared" si="18"/>
        <v>2007</v>
      </c>
      <c r="S35" s="2">
        <f t="shared" si="19"/>
        <v>72097.996948153203</v>
      </c>
      <c r="T35" s="2"/>
      <c r="U35" s="2">
        <v>0</v>
      </c>
      <c r="V35" s="2">
        <v>0</v>
      </c>
      <c r="W35" s="2"/>
      <c r="X35" s="2">
        <f t="shared" si="4"/>
        <v>0</v>
      </c>
      <c r="Y35" s="2">
        <f t="shared" si="5"/>
        <v>0</v>
      </c>
      <c r="Z35" s="2">
        <f t="shared" si="6"/>
        <v>72097.996948153203</v>
      </c>
      <c r="AA35" s="2">
        <f t="shared" si="20"/>
        <v>-487.20427563763224</v>
      </c>
      <c r="AB35" s="6">
        <f t="shared" si="21"/>
        <v>-6.7121709029297847E-3</v>
      </c>
      <c r="AC35" s="7">
        <f t="shared" si="22"/>
        <v>0.99328782909707025</v>
      </c>
      <c r="AD35" s="2">
        <f t="shared" si="23"/>
        <v>0</v>
      </c>
      <c r="AE35" s="2"/>
      <c r="AG35">
        <f t="shared" si="24"/>
        <v>2007</v>
      </c>
      <c r="AH35" s="6">
        <f t="shared" si="25"/>
        <v>1</v>
      </c>
      <c r="AI35" s="6"/>
      <c r="AJ35" s="6">
        <f t="shared" si="25"/>
        <v>0</v>
      </c>
      <c r="AK35" s="6">
        <f t="shared" si="25"/>
        <v>0</v>
      </c>
      <c r="AL35" s="6"/>
      <c r="AM35" s="6">
        <f t="shared" si="25"/>
        <v>0</v>
      </c>
      <c r="AN35" s="6">
        <f t="shared" si="25"/>
        <v>0</v>
      </c>
      <c r="AO35" s="6">
        <f t="shared" si="26"/>
        <v>1</v>
      </c>
      <c r="AP35" s="7">
        <f t="shared" si="27"/>
        <v>1</v>
      </c>
      <c r="AQ35" s="7">
        <f t="shared" si="28"/>
        <v>0</v>
      </c>
    </row>
    <row r="36" spans="1:43" x14ac:dyDescent="0.25">
      <c r="A36">
        <f t="shared" si="3"/>
        <v>2008</v>
      </c>
      <c r="B36" s="2">
        <f t="shared" si="7"/>
        <v>45407.318477946879</v>
      </c>
      <c r="C36" s="2"/>
      <c r="D36" s="2">
        <f t="shared" si="8"/>
        <v>0</v>
      </c>
      <c r="E36" s="2">
        <f t="shared" si="9"/>
        <v>0</v>
      </c>
      <c r="F36" s="2"/>
      <c r="G36" s="2">
        <f t="shared" si="10"/>
        <v>0</v>
      </c>
      <c r="H36" s="2">
        <f t="shared" si="11"/>
        <v>0</v>
      </c>
      <c r="I36" s="2">
        <f t="shared" si="29"/>
        <v>45407.318477946879</v>
      </c>
      <c r="J36" s="2">
        <f t="shared" si="13"/>
        <v>-31090.225091806285</v>
      </c>
      <c r="K36" s="6">
        <f t="shared" si="14"/>
        <v>-0.40642122140114367</v>
      </c>
      <c r="L36" s="7">
        <f t="shared" si="15"/>
        <v>0.59357877859885633</v>
      </c>
      <c r="N36">
        <f t="shared" si="16"/>
        <v>2008</v>
      </c>
      <c r="O36" s="2">
        <f t="shared" si="17"/>
        <v>4399.546621599965</v>
      </c>
      <c r="P36" s="2"/>
      <c r="Q36" s="2"/>
      <c r="R36">
        <f t="shared" si="18"/>
        <v>2008</v>
      </c>
      <c r="S36" s="2">
        <f t="shared" si="19"/>
        <v>41007.771856346917</v>
      </c>
      <c r="T36" s="2"/>
      <c r="U36" s="2">
        <v>0</v>
      </c>
      <c r="V36" s="2">
        <v>0</v>
      </c>
      <c r="W36" s="2"/>
      <c r="X36" s="2">
        <f t="shared" si="4"/>
        <v>0</v>
      </c>
      <c r="Y36" s="2">
        <f t="shared" si="5"/>
        <v>0</v>
      </c>
      <c r="Z36" s="2">
        <f t="shared" si="6"/>
        <v>41007.771856346917</v>
      </c>
      <c r="AA36" s="2">
        <f t="shared" si="20"/>
        <v>-31090.225091806285</v>
      </c>
      <c r="AB36" s="6">
        <f t="shared" si="21"/>
        <v>-0.43122175938069057</v>
      </c>
      <c r="AC36" s="7">
        <f t="shared" si="22"/>
        <v>0.56877824061930937</v>
      </c>
      <c r="AD36" s="2">
        <f t="shared" si="23"/>
        <v>0</v>
      </c>
      <c r="AE36" s="2"/>
      <c r="AG36">
        <f t="shared" si="24"/>
        <v>2008</v>
      </c>
      <c r="AH36" s="6">
        <f t="shared" si="25"/>
        <v>1</v>
      </c>
      <c r="AI36" s="6"/>
      <c r="AJ36" s="6">
        <f t="shared" si="25"/>
        <v>0</v>
      </c>
      <c r="AK36" s="6">
        <f t="shared" si="25"/>
        <v>0</v>
      </c>
      <c r="AL36" s="6"/>
      <c r="AM36" s="6">
        <f t="shared" si="25"/>
        <v>0</v>
      </c>
      <c r="AN36" s="6">
        <f t="shared" si="25"/>
        <v>0</v>
      </c>
      <c r="AO36" s="6">
        <f t="shared" si="26"/>
        <v>1</v>
      </c>
      <c r="AP36" s="7">
        <f t="shared" si="27"/>
        <v>1</v>
      </c>
      <c r="AQ36" s="7">
        <f t="shared" si="28"/>
        <v>0</v>
      </c>
    </row>
    <row r="37" spans="1:43" x14ac:dyDescent="0.25">
      <c r="A37">
        <f t="shared" si="3"/>
        <v>2009</v>
      </c>
      <c r="B37" s="2">
        <f t="shared" si="7"/>
        <v>51870.730621093215</v>
      </c>
      <c r="C37" s="2"/>
      <c r="D37" s="2">
        <f t="shared" si="8"/>
        <v>0</v>
      </c>
      <c r="E37" s="2">
        <f t="shared" si="9"/>
        <v>0</v>
      </c>
      <c r="F37" s="2"/>
      <c r="G37" s="2">
        <f t="shared" si="10"/>
        <v>0</v>
      </c>
      <c r="H37" s="2">
        <f t="shared" si="11"/>
        <v>0</v>
      </c>
      <c r="I37" s="2">
        <f t="shared" si="12"/>
        <v>51870.730621093215</v>
      </c>
      <c r="J37" s="2">
        <f t="shared" si="13"/>
        <v>6463.4121431463354</v>
      </c>
      <c r="K37" s="6">
        <f t="shared" si="14"/>
        <v>0.14234296055789866</v>
      </c>
      <c r="L37" s="7">
        <f t="shared" si="15"/>
        <v>1.1423429605578987</v>
      </c>
      <c r="N37">
        <f t="shared" si="16"/>
        <v>2009</v>
      </c>
      <c r="O37" s="2">
        <f t="shared" si="17"/>
        <v>4522.7339270047642</v>
      </c>
      <c r="P37" s="2"/>
      <c r="Q37" s="2"/>
      <c r="R37">
        <f t="shared" si="18"/>
        <v>2009</v>
      </c>
      <c r="S37" s="2">
        <f t="shared" si="19"/>
        <v>47347.996694088448</v>
      </c>
      <c r="T37" s="2"/>
      <c r="U37" s="2">
        <v>0</v>
      </c>
      <c r="V37" s="2">
        <v>0</v>
      </c>
      <c r="W37" s="2"/>
      <c r="X37" s="2">
        <f t="shared" si="4"/>
        <v>0</v>
      </c>
      <c r="Y37" s="2">
        <f t="shared" si="5"/>
        <v>0</v>
      </c>
      <c r="Z37" s="2">
        <f t="shared" si="6"/>
        <v>47347.996694088448</v>
      </c>
      <c r="AA37" s="2">
        <f t="shared" si="20"/>
        <v>6340.2248377415308</v>
      </c>
      <c r="AB37" s="6">
        <f t="shared" si="21"/>
        <v>0.15461032264693095</v>
      </c>
      <c r="AC37" s="7">
        <f t="shared" si="22"/>
        <v>1.1546103226469309</v>
      </c>
      <c r="AD37" s="2">
        <f t="shared" si="23"/>
        <v>0</v>
      </c>
      <c r="AE37" s="2"/>
      <c r="AG37">
        <f t="shared" si="24"/>
        <v>2009</v>
      </c>
      <c r="AH37" s="6">
        <f t="shared" si="25"/>
        <v>1</v>
      </c>
      <c r="AI37" s="6"/>
      <c r="AJ37" s="6">
        <f t="shared" si="25"/>
        <v>0</v>
      </c>
      <c r="AK37" s="6">
        <f t="shared" si="25"/>
        <v>0</v>
      </c>
      <c r="AL37" s="6"/>
      <c r="AM37" s="6">
        <f t="shared" si="25"/>
        <v>0</v>
      </c>
      <c r="AN37" s="6">
        <f t="shared" si="25"/>
        <v>0</v>
      </c>
      <c r="AO37" s="6">
        <f t="shared" si="26"/>
        <v>1</v>
      </c>
      <c r="AP37" s="7">
        <f t="shared" si="27"/>
        <v>1</v>
      </c>
      <c r="AQ37" s="7">
        <f t="shared" si="28"/>
        <v>0</v>
      </c>
    </row>
    <row r="38" spans="1:43" x14ac:dyDescent="0.25">
      <c r="A38">
        <f t="shared" si="3"/>
        <v>2010</v>
      </c>
      <c r="B38" s="2">
        <f t="shared" si="7"/>
        <v>54407.583001177038</v>
      </c>
      <c r="C38" s="2"/>
      <c r="D38" s="2">
        <f t="shared" si="8"/>
        <v>0</v>
      </c>
      <c r="E38" s="2">
        <f t="shared" si="9"/>
        <v>0</v>
      </c>
      <c r="F38" s="2"/>
      <c r="G38" s="2">
        <f t="shared" si="10"/>
        <v>0</v>
      </c>
      <c r="H38" s="2">
        <f t="shared" si="11"/>
        <v>0</v>
      </c>
      <c r="I38" s="2">
        <f t="shared" si="12"/>
        <v>54407.583001177038</v>
      </c>
      <c r="J38" s="2">
        <f t="shared" si="13"/>
        <v>2536.8523800838229</v>
      </c>
      <c r="K38" s="6">
        <f t="shared" si="14"/>
        <v>4.8907203536713108E-2</v>
      </c>
      <c r="L38" s="7">
        <f t="shared" si="15"/>
        <v>1.0489072035367131</v>
      </c>
      <c r="N38">
        <f t="shared" si="16"/>
        <v>2010</v>
      </c>
      <c r="O38" s="2">
        <f t="shared" si="17"/>
        <v>4586.0522019828313</v>
      </c>
      <c r="P38" s="2"/>
      <c r="Q38" s="2"/>
      <c r="R38">
        <f t="shared" si="18"/>
        <v>2010</v>
      </c>
      <c r="S38" s="2">
        <f t="shared" si="19"/>
        <v>49821.53079919421</v>
      </c>
      <c r="T38" s="2"/>
      <c r="U38" s="2">
        <v>0</v>
      </c>
      <c r="V38" s="2">
        <v>0</v>
      </c>
      <c r="W38" s="2"/>
      <c r="X38" s="2">
        <f t="shared" si="4"/>
        <v>0</v>
      </c>
      <c r="Y38" s="2">
        <f t="shared" si="5"/>
        <v>0</v>
      </c>
      <c r="Z38" s="2">
        <f t="shared" si="6"/>
        <v>49821.53079919421</v>
      </c>
      <c r="AA38" s="2">
        <f t="shared" si="20"/>
        <v>2473.5341051057621</v>
      </c>
      <c r="AB38" s="6">
        <f t="shared" si="21"/>
        <v>5.2241578901153191E-2</v>
      </c>
      <c r="AC38" s="7">
        <f t="shared" si="22"/>
        <v>1.0522415789011532</v>
      </c>
      <c r="AD38" s="2">
        <f t="shared" si="23"/>
        <v>0</v>
      </c>
      <c r="AE38" s="2"/>
      <c r="AG38">
        <f t="shared" si="24"/>
        <v>2010</v>
      </c>
      <c r="AH38" s="6">
        <f t="shared" si="25"/>
        <v>1</v>
      </c>
      <c r="AI38" s="6"/>
      <c r="AJ38" s="6">
        <f t="shared" si="25"/>
        <v>0</v>
      </c>
      <c r="AK38" s="6">
        <f t="shared" si="25"/>
        <v>0</v>
      </c>
      <c r="AL38" s="7"/>
      <c r="AM38" s="6">
        <f t="shared" si="25"/>
        <v>0</v>
      </c>
      <c r="AN38" s="6">
        <f t="shared" si="25"/>
        <v>0</v>
      </c>
      <c r="AO38" s="6">
        <f t="shared" si="26"/>
        <v>1</v>
      </c>
      <c r="AP38" s="7">
        <f t="shared" si="27"/>
        <v>1</v>
      </c>
      <c r="AQ38" s="7">
        <f t="shared" si="28"/>
        <v>0</v>
      </c>
    </row>
    <row r="39" spans="1:43" x14ac:dyDescent="0.25">
      <c r="A39">
        <f t="shared" si="3"/>
        <v>2011</v>
      </c>
      <c r="B39" s="2">
        <f t="shared" si="7"/>
        <v>50803.014955938335</v>
      </c>
      <c r="C39" s="2"/>
      <c r="D39" s="2">
        <f t="shared" si="8"/>
        <v>0</v>
      </c>
      <c r="E39" s="2">
        <f t="shared" si="9"/>
        <v>0</v>
      </c>
      <c r="F39" s="2"/>
      <c r="G39" s="2">
        <f t="shared" si="10"/>
        <v>0</v>
      </c>
      <c r="H39" s="2">
        <f t="shared" si="11"/>
        <v>0</v>
      </c>
      <c r="I39" s="2">
        <f t="shared" si="12"/>
        <v>50803.014955938335</v>
      </c>
      <c r="J39" s="2">
        <f t="shared" si="13"/>
        <v>-3604.5680452387023</v>
      </c>
      <c r="K39" s="6">
        <f t="shared" si="14"/>
        <v>-6.6251207026798486E-2</v>
      </c>
      <c r="L39" s="7">
        <f t="shared" si="15"/>
        <v>0.93374879297320157</v>
      </c>
      <c r="N39">
        <f t="shared" si="16"/>
        <v>2011</v>
      </c>
      <c r="O39" s="2">
        <f t="shared" si="17"/>
        <v>4723.6337680423167</v>
      </c>
      <c r="P39" s="2"/>
      <c r="Q39" s="2"/>
      <c r="R39">
        <f t="shared" si="18"/>
        <v>2011</v>
      </c>
      <c r="S39" s="2">
        <f t="shared" si="19"/>
        <v>46079.381187896019</v>
      </c>
      <c r="T39" s="2"/>
      <c r="U39" s="2">
        <v>0</v>
      </c>
      <c r="V39" s="2">
        <v>0</v>
      </c>
      <c r="W39" s="2"/>
      <c r="X39" s="2">
        <f t="shared" si="4"/>
        <v>0</v>
      </c>
      <c r="Y39" s="2">
        <f t="shared" si="5"/>
        <v>0</v>
      </c>
      <c r="Z39" s="2">
        <f t="shared" si="6"/>
        <v>46079.381187896019</v>
      </c>
      <c r="AA39" s="2">
        <f t="shared" si="20"/>
        <v>-3742.1496112981913</v>
      </c>
      <c r="AB39" s="6">
        <f t="shared" si="21"/>
        <v>-7.5111092559177542E-2</v>
      </c>
      <c r="AC39" s="7">
        <f t="shared" si="22"/>
        <v>0.92488890744082242</v>
      </c>
      <c r="AD39" s="2">
        <f t="shared" si="23"/>
        <v>0</v>
      </c>
      <c r="AE39" s="2"/>
      <c r="AG39">
        <f t="shared" si="24"/>
        <v>2011</v>
      </c>
      <c r="AH39" s="6">
        <f t="shared" si="25"/>
        <v>1</v>
      </c>
      <c r="AI39" s="7"/>
      <c r="AJ39" s="6">
        <f t="shared" si="25"/>
        <v>0</v>
      </c>
      <c r="AK39" s="6">
        <f t="shared" si="25"/>
        <v>0</v>
      </c>
      <c r="AL39" s="7"/>
      <c r="AM39" s="6">
        <f t="shared" si="25"/>
        <v>0</v>
      </c>
      <c r="AN39" s="6">
        <f t="shared" si="25"/>
        <v>0</v>
      </c>
      <c r="AO39" s="6">
        <f t="shared" si="26"/>
        <v>1</v>
      </c>
      <c r="AP39" s="7">
        <f t="shared" si="27"/>
        <v>1</v>
      </c>
      <c r="AQ39" s="7">
        <f t="shared" si="28"/>
        <v>0</v>
      </c>
    </row>
    <row r="40" spans="1:43" x14ac:dyDescent="0.25">
      <c r="A40">
        <f t="shared" si="3"/>
        <v>2012</v>
      </c>
      <c r="B40" s="2">
        <f t="shared" si="7"/>
        <v>53369.139291821164</v>
      </c>
      <c r="C40" s="2"/>
      <c r="D40" s="2">
        <f t="shared" si="8"/>
        <v>0</v>
      </c>
      <c r="E40" s="2">
        <f t="shared" si="9"/>
        <v>0</v>
      </c>
      <c r="F40" s="2"/>
      <c r="G40" s="2">
        <f t="shared" si="10"/>
        <v>0</v>
      </c>
      <c r="H40" s="2">
        <f t="shared" si="11"/>
        <v>0</v>
      </c>
      <c r="I40" s="2">
        <f t="shared" si="12"/>
        <v>53369.139291821164</v>
      </c>
      <c r="J40" s="2">
        <f t="shared" si="13"/>
        <v>2566.1243358828287</v>
      </c>
      <c r="K40" s="6">
        <f t="shared" si="14"/>
        <v>5.051126076096938E-2</v>
      </c>
      <c r="L40" s="7">
        <f t="shared" si="15"/>
        <v>1.0505112607609695</v>
      </c>
      <c r="N40">
        <f t="shared" si="16"/>
        <v>2012</v>
      </c>
      <c r="O40" s="2">
        <f t="shared" si="17"/>
        <v>4808.6591758670784</v>
      </c>
      <c r="P40" s="2"/>
      <c r="Q40" s="2"/>
      <c r="R40">
        <f t="shared" si="18"/>
        <v>2012</v>
      </c>
      <c r="S40" s="2">
        <f t="shared" si="19"/>
        <v>48560.480115954088</v>
      </c>
      <c r="T40" s="2"/>
      <c r="U40" s="2">
        <v>0</v>
      </c>
      <c r="V40" s="2">
        <v>0</v>
      </c>
      <c r="W40" s="2"/>
      <c r="X40" s="2">
        <f t="shared" si="4"/>
        <v>0</v>
      </c>
      <c r="Y40" s="2">
        <f t="shared" si="5"/>
        <v>0</v>
      </c>
      <c r="Z40" s="2">
        <f t="shared" si="6"/>
        <v>48560.480115954088</v>
      </c>
      <c r="AA40" s="2">
        <f t="shared" si="20"/>
        <v>2481.0989280580689</v>
      </c>
      <c r="AB40" s="6">
        <f t="shared" si="21"/>
        <v>5.3844015785303033E-2</v>
      </c>
      <c r="AC40" s="7">
        <f t="shared" si="22"/>
        <v>1.0538440157853031</v>
      </c>
      <c r="AD40" s="2">
        <f t="shared" si="23"/>
        <v>0</v>
      </c>
      <c r="AE40" s="2"/>
      <c r="AG40">
        <f t="shared" si="24"/>
        <v>2012</v>
      </c>
      <c r="AH40" s="6">
        <f t="shared" si="25"/>
        <v>1</v>
      </c>
      <c r="AI40" s="7"/>
      <c r="AJ40" s="6">
        <f t="shared" si="25"/>
        <v>0</v>
      </c>
      <c r="AK40" s="6">
        <f t="shared" si="25"/>
        <v>0</v>
      </c>
      <c r="AL40" s="7"/>
      <c r="AM40" s="6">
        <f t="shared" si="25"/>
        <v>0</v>
      </c>
      <c r="AN40" s="6">
        <f t="shared" si="25"/>
        <v>0</v>
      </c>
      <c r="AO40" s="6">
        <f t="shared" si="26"/>
        <v>1</v>
      </c>
      <c r="AP40" s="7">
        <f t="shared" si="27"/>
        <v>1</v>
      </c>
      <c r="AQ40" s="7">
        <f t="shared" si="28"/>
        <v>0</v>
      </c>
    </row>
    <row r="41" spans="1:43" x14ac:dyDescent="0.25">
      <c r="A41">
        <f t="shared" si="3"/>
        <v>2013</v>
      </c>
      <c r="B41" s="2">
        <f t="shared" si="7"/>
        <v>64187.242617268115</v>
      </c>
      <c r="C41" s="2"/>
      <c r="D41" s="2">
        <f t="shared" si="8"/>
        <v>0</v>
      </c>
      <c r="E41" s="2">
        <f t="shared" si="9"/>
        <v>0</v>
      </c>
      <c r="F41" s="2"/>
      <c r="G41" s="2">
        <f t="shared" si="10"/>
        <v>0</v>
      </c>
      <c r="H41" s="2">
        <f t="shared" si="11"/>
        <v>0</v>
      </c>
      <c r="I41" s="2">
        <f t="shared" si="12"/>
        <v>64187.242617268115</v>
      </c>
      <c r="J41" s="2">
        <f t="shared" si="13"/>
        <v>10818.103325446951</v>
      </c>
      <c r="K41" s="6">
        <f t="shared" si="14"/>
        <v>0.20270335008203569</v>
      </c>
      <c r="L41" s="7">
        <f t="shared" si="15"/>
        <v>1.2027033500820357</v>
      </c>
      <c r="N41">
        <f t="shared" si="16"/>
        <v>2013</v>
      </c>
      <c r="O41" s="2">
        <f t="shared" si="17"/>
        <v>4864.227642442057</v>
      </c>
      <c r="P41" s="2"/>
      <c r="Q41" s="2"/>
      <c r="R41">
        <f t="shared" si="18"/>
        <v>2013</v>
      </c>
      <c r="S41" s="2">
        <f t="shared" si="19"/>
        <v>59323.014974826059</v>
      </c>
      <c r="T41" s="2"/>
      <c r="U41" s="2">
        <v>0</v>
      </c>
      <c r="V41" s="2">
        <v>0</v>
      </c>
      <c r="W41" s="2"/>
      <c r="X41" s="2">
        <f t="shared" si="4"/>
        <v>0</v>
      </c>
      <c r="Y41" s="2">
        <f t="shared" si="5"/>
        <v>0</v>
      </c>
      <c r="Z41" s="2">
        <f t="shared" si="6"/>
        <v>59323.014974826059</v>
      </c>
      <c r="AA41" s="2">
        <f t="shared" si="20"/>
        <v>10762.534858871972</v>
      </c>
      <c r="AB41" s="6">
        <f t="shared" si="21"/>
        <v>0.22163155786707395</v>
      </c>
      <c r="AC41" s="7">
        <f t="shared" si="22"/>
        <v>1.221631557867074</v>
      </c>
      <c r="AD41" s="2">
        <f t="shared" si="23"/>
        <v>0</v>
      </c>
      <c r="AE41" s="2"/>
      <c r="AG41">
        <f t="shared" si="24"/>
        <v>2013</v>
      </c>
      <c r="AH41" s="6">
        <f t="shared" si="25"/>
        <v>1</v>
      </c>
      <c r="AI41" s="7"/>
      <c r="AJ41" s="6">
        <f t="shared" si="25"/>
        <v>0</v>
      </c>
      <c r="AK41" s="6">
        <f t="shared" si="25"/>
        <v>0</v>
      </c>
      <c r="AL41" s="7"/>
      <c r="AM41" s="6">
        <f t="shared" si="25"/>
        <v>0</v>
      </c>
      <c r="AN41" s="6">
        <f t="shared" si="25"/>
        <v>0</v>
      </c>
      <c r="AO41" s="6">
        <f t="shared" si="26"/>
        <v>1</v>
      </c>
      <c r="AP41" s="7">
        <f t="shared" si="27"/>
        <v>1</v>
      </c>
      <c r="AQ41" s="7">
        <f t="shared" si="28"/>
        <v>0</v>
      </c>
    </row>
    <row r="42" spans="1:43" x14ac:dyDescent="0.25">
      <c r="A42">
        <f t="shared" si="3"/>
        <v>2014</v>
      </c>
      <c r="B42" s="2">
        <f t="shared" si="7"/>
        <v>67337.55429792506</v>
      </c>
      <c r="C42" s="2"/>
      <c r="D42" s="2">
        <f t="shared" si="8"/>
        <v>0</v>
      </c>
      <c r="E42" s="2">
        <f t="shared" si="9"/>
        <v>0</v>
      </c>
      <c r="F42" s="2"/>
      <c r="G42" s="2">
        <f t="shared" si="10"/>
        <v>0</v>
      </c>
      <c r="H42" s="2">
        <f t="shared" si="11"/>
        <v>0</v>
      </c>
      <c r="I42" s="2">
        <f t="shared" si="12"/>
        <v>67337.55429792506</v>
      </c>
      <c r="J42" s="2">
        <f t="shared" si="13"/>
        <v>3150.3116806569451</v>
      </c>
      <c r="K42" s="6">
        <f t="shared" si="14"/>
        <v>4.9080028245510353E-2</v>
      </c>
      <c r="L42" s="7">
        <f t="shared" si="15"/>
        <v>1.0490800282455104</v>
      </c>
      <c r="N42">
        <f t="shared" si="16"/>
        <v>2014</v>
      </c>
      <c r="O42" s="2">
        <f t="shared" si="17"/>
        <v>4926.9761790295588</v>
      </c>
      <c r="P42" s="2"/>
      <c r="Q42" s="2"/>
      <c r="R42">
        <f t="shared" si="18"/>
        <v>2014</v>
      </c>
      <c r="S42" s="2">
        <f t="shared" si="19"/>
        <v>62410.578118895501</v>
      </c>
      <c r="T42" s="2"/>
      <c r="U42" s="2">
        <v>0</v>
      </c>
      <c r="V42" s="2">
        <v>0</v>
      </c>
      <c r="W42" s="2"/>
      <c r="X42" s="2">
        <f t="shared" si="4"/>
        <v>0</v>
      </c>
      <c r="Y42" s="2">
        <f t="shared" si="5"/>
        <v>0</v>
      </c>
      <c r="Z42" s="2">
        <f t="shared" si="6"/>
        <v>62410.578118895501</v>
      </c>
      <c r="AA42" s="2">
        <f t="shared" si="20"/>
        <v>3087.5631440694415</v>
      </c>
      <c r="AB42" s="6">
        <f t="shared" si="21"/>
        <v>5.2046632245169269E-2</v>
      </c>
      <c r="AC42" s="7">
        <f t="shared" si="22"/>
        <v>1.0520466322451694</v>
      </c>
      <c r="AD42" s="2">
        <f t="shared" si="23"/>
        <v>0</v>
      </c>
      <c r="AE42" s="2"/>
      <c r="AG42">
        <f t="shared" si="24"/>
        <v>2014</v>
      </c>
      <c r="AH42" s="6">
        <f t="shared" si="25"/>
        <v>1</v>
      </c>
      <c r="AI42" s="7"/>
      <c r="AJ42" s="6">
        <f t="shared" si="25"/>
        <v>0</v>
      </c>
      <c r="AK42" s="6">
        <f t="shared" si="25"/>
        <v>0</v>
      </c>
      <c r="AL42" s="7"/>
      <c r="AM42" s="6">
        <f t="shared" si="25"/>
        <v>0</v>
      </c>
      <c r="AN42" s="6">
        <f t="shared" si="25"/>
        <v>0</v>
      </c>
      <c r="AO42" s="6">
        <f t="shared" si="26"/>
        <v>1</v>
      </c>
      <c r="AP42" s="7">
        <f t="shared" si="27"/>
        <v>1</v>
      </c>
      <c r="AQ42" s="7">
        <f t="shared" si="28"/>
        <v>0</v>
      </c>
    </row>
    <row r="43" spans="1:43" x14ac:dyDescent="0.25">
      <c r="A43">
        <f t="shared" si="3"/>
        <v>2015</v>
      </c>
      <c r="B43" s="2">
        <f t="shared" si="7"/>
        <v>63190.710345381689</v>
      </c>
      <c r="C43" s="2"/>
      <c r="D43" s="2">
        <f t="shared" si="8"/>
        <v>0</v>
      </c>
      <c r="E43" s="2">
        <f t="shared" si="9"/>
        <v>0</v>
      </c>
      <c r="F43" s="2"/>
      <c r="G43" s="2">
        <f t="shared" si="10"/>
        <v>0</v>
      </c>
      <c r="H43" s="2">
        <f t="shared" si="11"/>
        <v>0</v>
      </c>
      <c r="I43" s="2">
        <f t="shared" si="12"/>
        <v>63190.710345381689</v>
      </c>
      <c r="J43" s="2">
        <f t="shared" si="13"/>
        <v>-4146.8439525433714</v>
      </c>
      <c r="K43" s="6">
        <f t="shared" si="14"/>
        <v>-6.1582930888702508E-2</v>
      </c>
      <c r="L43" s="7">
        <f t="shared" si="15"/>
        <v>0.93841706911129752</v>
      </c>
      <c r="N43">
        <f t="shared" si="16"/>
        <v>2015</v>
      </c>
      <c r="O43" s="2">
        <f t="shared" si="17"/>
        <v>4948.654874217289</v>
      </c>
      <c r="P43" s="2"/>
      <c r="Q43" s="2"/>
      <c r="R43">
        <f t="shared" si="18"/>
        <v>2015</v>
      </c>
      <c r="S43" s="2">
        <f t="shared" si="19"/>
        <v>58242.0554711644</v>
      </c>
      <c r="T43" s="2"/>
      <c r="U43" s="2">
        <v>0</v>
      </c>
      <c r="V43" s="2">
        <v>0</v>
      </c>
      <c r="W43" s="2"/>
      <c r="X43" s="2">
        <f t="shared" si="4"/>
        <v>0</v>
      </c>
      <c r="Y43" s="2">
        <f t="shared" si="5"/>
        <v>0</v>
      </c>
      <c r="Z43" s="2">
        <f t="shared" si="6"/>
        <v>58242.0554711644</v>
      </c>
      <c r="AA43" s="2">
        <f t="shared" si="20"/>
        <v>-4168.5226477311007</v>
      </c>
      <c r="AB43" s="6">
        <f t="shared" si="21"/>
        <v>-6.6791924916796017E-2</v>
      </c>
      <c r="AC43" s="7">
        <f t="shared" si="22"/>
        <v>0.93320807508320403</v>
      </c>
      <c r="AD43" s="2">
        <f t="shared" si="23"/>
        <v>0</v>
      </c>
      <c r="AE43" s="2"/>
      <c r="AG43">
        <f t="shared" si="24"/>
        <v>2015</v>
      </c>
      <c r="AH43" s="6">
        <f t="shared" si="25"/>
        <v>1</v>
      </c>
      <c r="AI43" s="7"/>
      <c r="AJ43" s="6">
        <f t="shared" si="25"/>
        <v>0</v>
      </c>
      <c r="AK43" s="6">
        <f t="shared" si="25"/>
        <v>0</v>
      </c>
      <c r="AL43" s="7"/>
      <c r="AM43" s="6">
        <f t="shared" si="25"/>
        <v>0</v>
      </c>
      <c r="AN43" s="6">
        <f t="shared" si="25"/>
        <v>0</v>
      </c>
      <c r="AO43" s="6">
        <f t="shared" si="26"/>
        <v>1</v>
      </c>
      <c r="AP43" s="7">
        <f t="shared" si="27"/>
        <v>1</v>
      </c>
      <c r="AQ43" s="7">
        <f t="shared" si="28"/>
        <v>0</v>
      </c>
    </row>
    <row r="44" spans="1:43" x14ac:dyDescent="0.25">
      <c r="A44">
        <f t="shared" ref="A44:A45" si="30">A20</f>
        <v>2016</v>
      </c>
      <c r="B44" s="2">
        <f t="shared" ref="B44:B45" si="31">S43*(1+(B20/100))</f>
        <v>65126.266427856033</v>
      </c>
      <c r="C44" s="2"/>
      <c r="D44" s="2">
        <f t="shared" ref="D44:E44" si="32">U43*(1+(D20/100))</f>
        <v>0</v>
      </c>
      <c r="E44" s="2">
        <f t="shared" si="32"/>
        <v>0</v>
      </c>
      <c r="F44" s="2"/>
      <c r="G44" s="2">
        <f t="shared" ref="G44:G45" si="33">G43*(1+(G20/100))</f>
        <v>0</v>
      </c>
      <c r="H44" s="2">
        <f t="shared" ref="H44:H45" si="34">Y43*(1+(H20/100))</f>
        <v>0</v>
      </c>
      <c r="I44" s="2">
        <f t="shared" ref="I44:I45" si="35">SUM(B44:H44)</f>
        <v>65126.266427856033</v>
      </c>
      <c r="J44" s="2">
        <f t="shared" ref="J44:J45" si="36">I44-I43</f>
        <v>1935.5560824743443</v>
      </c>
      <c r="K44" s="6">
        <f t="shared" ref="K44:K45" si="37">(J44/I43)</f>
        <v>3.0630389686951906E-2</v>
      </c>
      <c r="L44" s="7">
        <f t="shared" ref="L44:L45" si="38">K44+1</f>
        <v>1.030630389686952</v>
      </c>
      <c r="N44">
        <f t="shared" ref="N44:N45" si="39">A44</f>
        <v>2016</v>
      </c>
      <c r="O44" s="2">
        <f t="shared" ref="O44:O45" si="40">O43*(1+O20)</f>
        <v>5032.7820070789821</v>
      </c>
      <c r="P44" s="2"/>
      <c r="Q44" s="2"/>
      <c r="R44">
        <f t="shared" si="18"/>
        <v>2016</v>
      </c>
      <c r="S44" s="2">
        <f t="shared" si="19"/>
        <v>60093.484420777051</v>
      </c>
      <c r="T44" s="2"/>
      <c r="U44" s="2">
        <v>0</v>
      </c>
      <c r="V44" s="2">
        <v>0</v>
      </c>
      <c r="W44" s="2"/>
      <c r="X44" s="2">
        <f t="shared" si="4"/>
        <v>0</v>
      </c>
      <c r="Y44" s="2">
        <f t="shared" si="5"/>
        <v>0</v>
      </c>
      <c r="Z44" s="2"/>
      <c r="AA44" s="2"/>
      <c r="AB44" s="6"/>
      <c r="AC44" s="7"/>
      <c r="AD44" s="2"/>
      <c r="AE44" s="2"/>
      <c r="AH44" s="6"/>
      <c r="AI44" s="7"/>
      <c r="AJ44" s="6"/>
      <c r="AK44" s="6"/>
      <c r="AL44" s="7"/>
      <c r="AM44" s="6"/>
      <c r="AN44" s="6"/>
      <c r="AO44" s="6"/>
      <c r="AP44" s="7"/>
      <c r="AQ44" s="7"/>
    </row>
    <row r="45" spans="1:43" x14ac:dyDescent="0.25">
      <c r="A45">
        <f t="shared" si="30"/>
        <v>2017</v>
      </c>
      <c r="B45" s="2">
        <f t="shared" si="31"/>
        <v>73115.742494759426</v>
      </c>
      <c r="C45" s="2"/>
      <c r="D45" s="2">
        <f t="shared" ref="D45:E45" si="41">U44*(1+(D21/100))</f>
        <v>0</v>
      </c>
      <c r="E45" s="2">
        <f t="shared" si="41"/>
        <v>0</v>
      </c>
      <c r="F45" s="2"/>
      <c r="G45" s="2">
        <f t="shared" si="33"/>
        <v>0</v>
      </c>
      <c r="H45" s="2">
        <f t="shared" si="34"/>
        <v>0</v>
      </c>
      <c r="I45" s="2">
        <f t="shared" si="35"/>
        <v>73115.742494759426</v>
      </c>
      <c r="J45" s="2">
        <f t="shared" si="36"/>
        <v>7989.4760669033931</v>
      </c>
      <c r="K45" s="6">
        <f t="shared" si="37"/>
        <v>0.1226767094925329</v>
      </c>
      <c r="L45" s="7">
        <f t="shared" si="38"/>
        <v>1.122676709492533</v>
      </c>
      <c r="N45">
        <f t="shared" si="39"/>
        <v>2017</v>
      </c>
      <c r="O45" s="2">
        <f t="shared" si="40"/>
        <v>5145.013045836843</v>
      </c>
      <c r="P45" s="2"/>
      <c r="Q45" s="2"/>
      <c r="R45">
        <f t="shared" si="18"/>
        <v>2017</v>
      </c>
      <c r="S45" s="2">
        <f t="shared" si="19"/>
        <v>67970.72944892259</v>
      </c>
      <c r="T45" s="2"/>
      <c r="U45" s="2">
        <v>0</v>
      </c>
      <c r="V45" s="2">
        <v>0</v>
      </c>
      <c r="W45" s="2"/>
      <c r="X45" s="2">
        <f t="shared" si="4"/>
        <v>0</v>
      </c>
      <c r="Y45" s="2">
        <f t="shared" si="5"/>
        <v>0</v>
      </c>
      <c r="Z45" s="2">
        <f t="shared" si="6"/>
        <v>67970.72944892259</v>
      </c>
      <c r="AA45" s="2">
        <f>Z45-Z43</f>
        <v>9728.6739777581897</v>
      </c>
      <c r="AB45" s="6">
        <f>(AA45/Z43)</f>
        <v>0.16703864413876754</v>
      </c>
      <c r="AC45" s="7">
        <f t="shared" si="22"/>
        <v>1.1670386441387675</v>
      </c>
      <c r="AD45" s="2">
        <f t="shared" si="23"/>
        <v>0</v>
      </c>
      <c r="AE45" s="2"/>
      <c r="AG45">
        <f t="shared" si="24"/>
        <v>2017</v>
      </c>
      <c r="AH45" s="6">
        <f t="shared" si="25"/>
        <v>1</v>
      </c>
      <c r="AI45" s="7"/>
      <c r="AJ45" s="6">
        <f t="shared" si="25"/>
        <v>0</v>
      </c>
      <c r="AK45" s="6">
        <f t="shared" si="25"/>
        <v>0</v>
      </c>
      <c r="AL45" s="7"/>
      <c r="AM45" s="6">
        <f t="shared" si="25"/>
        <v>0</v>
      </c>
      <c r="AN45" s="6">
        <f t="shared" si="25"/>
        <v>0</v>
      </c>
      <c r="AO45" s="6">
        <f t="shared" si="26"/>
        <v>1</v>
      </c>
      <c r="AP45" s="7">
        <f t="shared" si="27"/>
        <v>1</v>
      </c>
      <c r="AQ45" s="7">
        <f t="shared" si="28"/>
        <v>0</v>
      </c>
    </row>
    <row r="46" spans="1:43" x14ac:dyDescent="0.25">
      <c r="A46" s="9" t="s">
        <v>41</v>
      </c>
      <c r="B46" s="10">
        <f>S45</f>
        <v>67970.72944892259</v>
      </c>
      <c r="C46" s="10"/>
      <c r="D46" s="10">
        <f>U45</f>
        <v>0</v>
      </c>
      <c r="E46" s="10">
        <f>V45</f>
        <v>0</v>
      </c>
      <c r="F46" s="10"/>
      <c r="G46" s="10">
        <f>X45</f>
        <v>0</v>
      </c>
      <c r="H46" s="10">
        <f>Y45</f>
        <v>0</v>
      </c>
      <c r="I46" s="10">
        <f>SUM(B46:H46)</f>
        <v>67970.72944892259</v>
      </c>
      <c r="J46" s="10"/>
      <c r="K46" s="10"/>
      <c r="N46" t="s">
        <v>68</v>
      </c>
      <c r="O46" s="2">
        <f>O45</f>
        <v>5145.013045836843</v>
      </c>
      <c r="P46" s="2"/>
      <c r="R46" s="67" t="s">
        <v>41</v>
      </c>
      <c r="S46" s="10">
        <f>S45</f>
        <v>67970.72944892259</v>
      </c>
      <c r="T46" s="10"/>
      <c r="U46" s="10">
        <f>U45</f>
        <v>0</v>
      </c>
      <c r="V46" s="10">
        <f>V45</f>
        <v>0</v>
      </c>
      <c r="W46" s="10"/>
      <c r="X46" s="10">
        <f>X45</f>
        <v>0</v>
      </c>
      <c r="Y46" s="10">
        <f>Y45</f>
        <v>0</v>
      </c>
      <c r="Z46" s="10">
        <f>SUM(S46:Y46)</f>
        <v>67970.72944892259</v>
      </c>
      <c r="AA46" s="40"/>
      <c r="AB46" s="40"/>
      <c r="AC46" s="40"/>
      <c r="AD46" s="40"/>
      <c r="AE46" s="40"/>
      <c r="AH46" s="6"/>
      <c r="AK46" s="7"/>
      <c r="AN46" s="6"/>
    </row>
    <row r="47" spans="1:43" x14ac:dyDescent="0.25">
      <c r="A47" s="11" t="s">
        <v>28</v>
      </c>
      <c r="I47" s="6">
        <f>(Z46-Z27)/Z27</f>
        <v>-0.3202927055107741</v>
      </c>
      <c r="K47" s="6"/>
      <c r="N47" t="s">
        <v>114</v>
      </c>
      <c r="O47" s="2">
        <f>SUM(O28:O45)</f>
        <v>79684.315542132928</v>
      </c>
      <c r="P47" s="2"/>
    </row>
    <row r="48" spans="1:43" x14ac:dyDescent="0.25">
      <c r="A48" s="1" t="s">
        <v>29</v>
      </c>
      <c r="I48" s="12">
        <f>STDEV(AC28:AC45)</f>
        <v>0.17282181568629734</v>
      </c>
    </row>
    <row r="49" spans="1:16" x14ac:dyDescent="0.25">
      <c r="A49" s="1" t="s">
        <v>30</v>
      </c>
      <c r="I49" s="13">
        <f>((1+I47)^(1/I56))-1</f>
        <v>-2.1221205435165369E-2</v>
      </c>
    </row>
    <row r="50" spans="1:16" x14ac:dyDescent="0.25">
      <c r="A50" s="1" t="s">
        <v>45</v>
      </c>
      <c r="I50" s="28">
        <f>J36</f>
        <v>-31090.225091806285</v>
      </c>
      <c r="O50" s="2"/>
      <c r="P50" s="2"/>
    </row>
    <row r="51" spans="1:16" x14ac:dyDescent="0.25">
      <c r="A51" s="1" t="s">
        <v>46</v>
      </c>
      <c r="I51" s="29">
        <f>K36</f>
        <v>-0.40642122140114367</v>
      </c>
    </row>
    <row r="52" spans="1:16" x14ac:dyDescent="0.25">
      <c r="A52" s="1" t="s">
        <v>22</v>
      </c>
      <c r="I52" s="2">
        <f>O47</f>
        <v>79684.315542132928</v>
      </c>
    </row>
    <row r="53" spans="1:16" x14ac:dyDescent="0.25">
      <c r="A53" s="3" t="s">
        <v>145</v>
      </c>
      <c r="B53" s="3"/>
      <c r="C53" s="3"/>
      <c r="D53" s="3"/>
      <c r="E53" s="3"/>
      <c r="F53" s="3"/>
      <c r="G53" s="3"/>
      <c r="H53" s="3"/>
      <c r="I53" s="30">
        <f>I46-Z46</f>
        <v>0</v>
      </c>
    </row>
    <row r="54" spans="1:16" x14ac:dyDescent="0.25">
      <c r="A54" s="3" t="s">
        <v>146</v>
      </c>
      <c r="B54" s="3"/>
      <c r="C54" s="3"/>
      <c r="D54" s="3"/>
      <c r="E54" s="3"/>
      <c r="F54" s="3"/>
      <c r="G54" s="3"/>
      <c r="H54" s="3"/>
      <c r="I54" s="30">
        <f>((SUM(AA28:AA45)))-(I46-I27)</f>
        <v>0</v>
      </c>
    </row>
    <row r="55" spans="1:16" x14ac:dyDescent="0.25">
      <c r="A55" s="3" t="s">
        <v>147</v>
      </c>
      <c r="B55" s="3"/>
      <c r="C55" s="3"/>
      <c r="D55" s="3"/>
      <c r="E55" s="3"/>
      <c r="F55" s="3"/>
      <c r="G55" s="3"/>
      <c r="H55" s="3"/>
      <c r="I55" s="30">
        <f>(SUM(O28:O45))-O47</f>
        <v>0</v>
      </c>
    </row>
    <row r="56" spans="1:16" x14ac:dyDescent="0.25">
      <c r="A56" s="3" t="s">
        <v>153</v>
      </c>
      <c r="B56" s="3"/>
      <c r="C56" s="3"/>
      <c r="D56" s="3"/>
      <c r="E56" s="3"/>
      <c r="F56" s="3"/>
      <c r="G56" s="3"/>
      <c r="H56" s="3"/>
      <c r="I56" s="66">
        <f>COUNTA(I28:I45)</f>
        <v>18</v>
      </c>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3"/>
  <sheetViews>
    <sheetView workbookViewId="0">
      <selection activeCell="A16" sqref="A16:D20"/>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Summary!B5</f>
        <v>Rebalance at 5% Thresholds</v>
      </c>
      <c r="C1" s="8" t="str">
        <f>Summary!C5</f>
        <v>No Rebalancing</v>
      </c>
      <c r="D1" s="8" t="str">
        <f>Summary!D5</f>
        <v>Panic and Sell When S&amp;P 500 Falls &gt; 20%</v>
      </c>
    </row>
    <row r="2" spans="1:4" x14ac:dyDescent="0.25">
      <c r="A2" t="str">
        <f>'Rebalanced Portfolio'!A27</f>
        <v>Stating Balance</v>
      </c>
      <c r="B2" s="62">
        <f>'Rebalanced Portfolio'!I27</f>
        <v>100000</v>
      </c>
      <c r="C2" s="2">
        <f>'Non-Rebalanced Portfolio'!I27</f>
        <v>100000</v>
      </c>
      <c r="D2" s="62">
        <f>'Panic Portfolio'!I27</f>
        <v>100000</v>
      </c>
    </row>
    <row r="3" spans="1:4" x14ac:dyDescent="0.25">
      <c r="A3">
        <f>'Rebalanced Portfolio'!A28</f>
        <v>2000</v>
      </c>
      <c r="B3" s="62">
        <f>'Rebalanced Portfolio'!I28</f>
        <v>101835.3</v>
      </c>
      <c r="C3" s="2">
        <f>'Non-Rebalanced Portfolio'!I28</f>
        <v>101835.3</v>
      </c>
      <c r="D3" s="62">
        <f>'Panic Portfolio'!I28</f>
        <v>101835.3</v>
      </c>
    </row>
    <row r="4" spans="1:4" x14ac:dyDescent="0.25">
      <c r="A4">
        <f>'Rebalanced Portfolio'!A29</f>
        <v>2001</v>
      </c>
      <c r="B4" s="62">
        <f>'Rebalanced Portfolio'!I29</f>
        <v>99248.770080000002</v>
      </c>
      <c r="C4" s="2">
        <f>'Non-Rebalanced Portfolio'!I29</f>
        <v>99248.770080000002</v>
      </c>
      <c r="D4" s="62">
        <f>'Panic Portfolio'!I29</f>
        <v>99248.770080000002</v>
      </c>
    </row>
    <row r="5" spans="1:4" x14ac:dyDescent="0.25">
      <c r="A5">
        <f>'Rebalanced Portfolio'!A30</f>
        <v>2002</v>
      </c>
      <c r="B5" s="62">
        <f>'Rebalanced Portfolio'!I30</f>
        <v>89430.684748606087</v>
      </c>
      <c r="C5" s="2">
        <f>'Non-Rebalanced Portfolio'!I30</f>
        <v>91222.338555274619</v>
      </c>
      <c r="D5" s="62">
        <f>'Panic Portfolio'!I30</f>
        <v>91222.338555274619</v>
      </c>
    </row>
    <row r="6" spans="1:4" x14ac:dyDescent="0.25">
      <c r="A6">
        <f>'Rebalanced Portfolio'!A31</f>
        <v>2003</v>
      </c>
      <c r="B6" s="62">
        <f>'Rebalanced Portfolio'!I31</f>
        <v>111323.05157140639</v>
      </c>
      <c r="C6" s="2">
        <f>'Non-Rebalanced Portfolio'!I31</f>
        <v>111460.18051683245</v>
      </c>
      <c r="D6" s="62">
        <f>'Panic Portfolio'!I31</f>
        <v>94843.865395919027</v>
      </c>
    </row>
    <row r="7" spans="1:4" x14ac:dyDescent="0.25">
      <c r="A7">
        <f>'Rebalanced Portfolio'!A32</f>
        <v>2004</v>
      </c>
      <c r="B7" s="62">
        <f>'Rebalanced Portfolio'!I32</f>
        <v>126733.48205658728</v>
      </c>
      <c r="C7" s="2">
        <f>'Non-Rebalanced Portfolio'!I32</f>
        <v>126059.70187705757</v>
      </c>
      <c r="D7" s="62">
        <f>'Panic Portfolio'!I32</f>
        <v>107787.87161355787</v>
      </c>
    </row>
    <row r="8" spans="1:4" x14ac:dyDescent="0.25">
      <c r="A8">
        <f>'Rebalanced Portfolio'!A33</f>
        <v>2005</v>
      </c>
      <c r="B8" s="62">
        <f>'Rebalanced Portfolio'!I33</f>
        <v>137904.41028279898</v>
      </c>
      <c r="C8" s="2">
        <f>'Non-Rebalanced Portfolio'!I33</f>
        <v>136492.7119360606</v>
      </c>
      <c r="D8" s="62">
        <f>'Panic Portfolio'!I33</f>
        <v>117088.42262175484</v>
      </c>
    </row>
    <row r="9" spans="1:4" x14ac:dyDescent="0.25">
      <c r="A9">
        <f>'Rebalanced Portfolio'!A34</f>
        <v>2006</v>
      </c>
      <c r="B9" s="62">
        <f>'Rebalanced Portfolio'!I34</f>
        <v>158403.5956572069</v>
      </c>
      <c r="C9" s="2">
        <f>'Non-Rebalanced Portfolio'!I34</f>
        <v>154605.01203264075</v>
      </c>
      <c r="D9" s="62">
        <f>'Panic Portfolio'!I34</f>
        <v>134331.54139487573</v>
      </c>
    </row>
    <row r="10" spans="1:4" x14ac:dyDescent="0.25">
      <c r="A10">
        <f>'Rebalanced Portfolio'!A35</f>
        <v>2007</v>
      </c>
      <c r="B10" s="62">
        <f>'Rebalanced Portfolio'!I35</f>
        <v>170407.73694330134</v>
      </c>
      <c r="C10" s="2">
        <f>'Non-Rebalanced Portfolio'!I35</f>
        <v>166038.22694310365</v>
      </c>
      <c r="D10" s="62">
        <f>'Panic Portfolio'!I35</f>
        <v>145044.06790718262</v>
      </c>
    </row>
    <row r="11" spans="1:4" x14ac:dyDescent="0.25">
      <c r="A11">
        <f>'Rebalanced Portfolio'!A36</f>
        <v>2008</v>
      </c>
      <c r="B11" s="62">
        <f>'Rebalanced Portfolio'!I36</f>
        <v>124645.49166445051</v>
      </c>
      <c r="C11" s="2">
        <f>'Non-Rebalanced Portfolio'!I36</f>
        <v>120697.32648368151</v>
      </c>
      <c r="D11" s="62">
        <f>'Panic Portfolio'!I36</f>
        <v>101480.20112478733</v>
      </c>
    </row>
    <row r="12" spans="1:4" x14ac:dyDescent="0.25">
      <c r="A12">
        <f>'Rebalanced Portfolio'!A37</f>
        <v>2009</v>
      </c>
      <c r="B12" s="62">
        <f>'Rebalanced Portfolio'!I37</f>
        <v>157150.2936897226</v>
      </c>
      <c r="C12" s="2">
        <f>'Non-Rebalanced Portfolio'!I37</f>
        <v>148699.02914266271</v>
      </c>
      <c r="D12" s="62">
        <f>'Panic Portfolio'!I37</f>
        <v>107497.97705148721</v>
      </c>
    </row>
    <row r="13" spans="1:4" x14ac:dyDescent="0.25">
      <c r="A13">
        <f>'Rebalanced Portfolio'!A38</f>
        <v>2010</v>
      </c>
      <c r="B13" s="62">
        <f>'Rebalanced Portfolio'!I38</f>
        <v>181787.77591755227</v>
      </c>
      <c r="C13" s="2">
        <f>'Non-Rebalanced Portfolio'!I38</f>
        <v>171122.46382309133</v>
      </c>
      <c r="D13" s="62">
        <f>'Panic Portfolio'!I38</f>
        <v>123618.37369012824</v>
      </c>
    </row>
    <row r="14" spans="1:4" x14ac:dyDescent="0.25">
      <c r="A14">
        <f>'Rebalanced Portfolio'!A39</f>
        <v>2011</v>
      </c>
      <c r="B14" s="62">
        <f>'Rebalanced Portfolio'!I39</f>
        <v>180057.15629081719</v>
      </c>
      <c r="C14" s="2">
        <f>'Non-Rebalanced Portfolio'!I39</f>
        <v>170310.87851001587</v>
      </c>
      <c r="D14" s="62">
        <f>'Panic Portfolio'!I39</f>
        <v>122267.63946389305</v>
      </c>
    </row>
    <row r="15" spans="1:4" x14ac:dyDescent="0.25">
      <c r="A15">
        <f>'Rebalanced Portfolio'!A40</f>
        <v>2012</v>
      </c>
      <c r="B15" s="62">
        <f>'Rebalanced Portfolio'!I40</f>
        <v>202743.83443466548</v>
      </c>
      <c r="C15" s="2">
        <f>'Non-Rebalanced Portfolio'!I40</f>
        <v>190943.33246328583</v>
      </c>
      <c r="D15" s="62">
        <f>'Panic Portfolio'!I40</f>
        <v>138030.09662789985</v>
      </c>
    </row>
    <row r="16" spans="1:4" x14ac:dyDescent="0.25">
      <c r="A16">
        <f>'Rebalanced Portfolio'!A41</f>
        <v>2013</v>
      </c>
      <c r="B16" s="62">
        <f>'Rebalanced Portfolio'!I41</f>
        <v>242973.03281261772</v>
      </c>
      <c r="C16" s="2">
        <f>'Non-Rebalanced Portfolio'!I41</f>
        <v>228090.09267375901</v>
      </c>
      <c r="D16" s="62">
        <f>'Panic Portfolio'!I41</f>
        <v>166805.92382634431</v>
      </c>
    </row>
    <row r="17" spans="1:4" x14ac:dyDescent="0.25">
      <c r="A17">
        <f>'Rebalanced Portfolio'!A42</f>
        <v>2014</v>
      </c>
      <c r="B17" s="62">
        <f>'Rebalanced Portfolio'!I42</f>
        <v>260075.90459229791</v>
      </c>
      <c r="C17" s="2">
        <f>'Non-Rebalanced Portfolio'!I42</f>
        <v>246455.22535479546</v>
      </c>
      <c r="D17" s="62">
        <f>'Panic Portfolio'!I42</f>
        <v>180213.90493143786</v>
      </c>
    </row>
    <row r="18" spans="1:4" x14ac:dyDescent="0.25">
      <c r="A18">
        <f>'Rebalanced Portfolio'!A43</f>
        <v>2015</v>
      </c>
      <c r="B18" s="62">
        <f>'Rebalanced Portfolio'!I43</f>
        <v>257171.03077958533</v>
      </c>
      <c r="C18" s="2">
        <f>'Non-Rebalanced Portfolio'!I43</f>
        <v>243351.10286638309</v>
      </c>
      <c r="D18" s="62">
        <f>'Panic Portfolio'!I43</f>
        <v>178154.85381772491</v>
      </c>
    </row>
    <row r="19" spans="1:4" x14ac:dyDescent="0.25">
      <c r="A19">
        <f>'Rebalanced Portfolio'!A44</f>
        <v>2016</v>
      </c>
      <c r="B19" s="62">
        <f>'Rebalanced Portfolio'!I44</f>
        <v>278357.55094711116</v>
      </c>
      <c r="C19" s="2">
        <f>'Non-Rebalanced Portfolio'!I44</f>
        <v>265216.93682286551</v>
      </c>
      <c r="D19" s="62">
        <f>'Panic Portfolio'!I44</f>
        <v>194755.41649772259</v>
      </c>
    </row>
    <row r="20" spans="1:4" x14ac:dyDescent="0.25">
      <c r="A20">
        <f>'Rebalanced Portfolio'!A45</f>
        <v>2017</v>
      </c>
      <c r="B20" s="62">
        <f>'Rebalanced Portfolio'!I45</f>
        <v>324010.88717003312</v>
      </c>
      <c r="C20" s="2">
        <f>'Non-Rebalanced Portfolio'!I45</f>
        <v>308125.5630359333</v>
      </c>
      <c r="D20" s="62">
        <f>'Panic Portfolio'!I45</f>
        <v>228512.70296770241</v>
      </c>
    </row>
    <row r="21" spans="1:4" x14ac:dyDescent="0.25">
      <c r="B21" s="62"/>
      <c r="C21" s="2"/>
      <c r="D21" s="62"/>
    </row>
    <row r="22" spans="1:4" x14ac:dyDescent="0.25">
      <c r="B22" s="2"/>
      <c r="C22" s="2"/>
      <c r="D22" s="62"/>
    </row>
    <row r="23" spans="1:4" x14ac:dyDescent="0.25">
      <c r="B23" s="2"/>
      <c r="C23" s="2"/>
      <c r="D23" s="62"/>
    </row>
    <row r="24" spans="1:4" x14ac:dyDescent="0.25">
      <c r="B24" s="2"/>
      <c r="C24" s="2"/>
      <c r="D24" s="62"/>
    </row>
    <row r="25" spans="1:4" x14ac:dyDescent="0.25">
      <c r="B25" s="2"/>
      <c r="C25" s="2"/>
      <c r="D25" s="62"/>
    </row>
    <row r="26" spans="1:4" x14ac:dyDescent="0.25">
      <c r="B26" s="2"/>
      <c r="C26" s="2"/>
      <c r="D26" s="62"/>
    </row>
    <row r="27" spans="1:4" x14ac:dyDescent="0.25">
      <c r="B27" s="2"/>
      <c r="C27" s="2"/>
      <c r="D27" s="62"/>
    </row>
    <row r="28" spans="1:4" x14ac:dyDescent="0.25">
      <c r="B28" s="2"/>
      <c r="C28" s="2"/>
      <c r="D28" s="62"/>
    </row>
    <row r="29" spans="1:4" x14ac:dyDescent="0.25">
      <c r="B29" s="2"/>
      <c r="C29" s="2"/>
      <c r="D29" s="62"/>
    </row>
    <row r="30" spans="1:4" x14ac:dyDescent="0.25">
      <c r="B30" s="2"/>
      <c r="C30" s="2"/>
      <c r="D30" s="62"/>
    </row>
    <row r="31" spans="1:4" x14ac:dyDescent="0.25">
      <c r="B31" s="2"/>
      <c r="C31" s="2"/>
      <c r="D31" s="62"/>
    </row>
    <row r="32" spans="1:4" x14ac:dyDescent="0.25">
      <c r="B32" s="2"/>
      <c r="C32" s="2"/>
      <c r="D32" s="62"/>
    </row>
    <row r="33" spans="2:4" x14ac:dyDescent="0.25">
      <c r="B33" s="2"/>
      <c r="C33" s="2"/>
      <c r="D33" s="62"/>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0"/>
  <sheetViews>
    <sheetView topLeftCell="A25" workbookViewId="0">
      <selection activeCell="A34" sqref="A34"/>
    </sheetView>
  </sheetViews>
  <sheetFormatPr defaultColWidth="8.85546875" defaultRowHeight="15" x14ac:dyDescent="0.25"/>
  <sheetData>
    <row r="1" spans="1:2" x14ac:dyDescent="0.25">
      <c r="A1" s="18" t="s">
        <v>53</v>
      </c>
    </row>
    <row r="3" spans="1:2" x14ac:dyDescent="0.25">
      <c r="A3" t="s">
        <v>23</v>
      </c>
    </row>
    <row r="5" spans="1:2" x14ac:dyDescent="0.25">
      <c r="A5" s="34" t="s">
        <v>56</v>
      </c>
    </row>
    <row r="6" spans="1:2" x14ac:dyDescent="0.25">
      <c r="A6" t="s">
        <v>61</v>
      </c>
    </row>
    <row r="7" spans="1:2" x14ac:dyDescent="0.25">
      <c r="A7" t="s">
        <v>62</v>
      </c>
    </row>
    <row r="8" spans="1:2" x14ac:dyDescent="0.25">
      <c r="A8" t="s">
        <v>57</v>
      </c>
    </row>
    <row r="9" spans="1:2" x14ac:dyDescent="0.25">
      <c r="A9" s="32" t="s">
        <v>58</v>
      </c>
    </row>
    <row r="10" spans="1:2" x14ac:dyDescent="0.25">
      <c r="A10" s="32" t="s">
        <v>75</v>
      </c>
    </row>
    <row r="12" spans="1:2" x14ac:dyDescent="0.25">
      <c r="A12" s="34" t="s">
        <v>77</v>
      </c>
    </row>
    <row r="13" spans="1:2" x14ac:dyDescent="0.25">
      <c r="A13" s="32" t="s">
        <v>76</v>
      </c>
      <c r="B13" s="32"/>
    </row>
    <row r="14" spans="1:2" x14ac:dyDescent="0.25">
      <c r="A14" s="33">
        <v>0.2</v>
      </c>
      <c r="B14" s="32" t="s">
        <v>110</v>
      </c>
    </row>
    <row r="15" spans="1:2" x14ac:dyDescent="0.25">
      <c r="A15" s="33">
        <v>0.2</v>
      </c>
      <c r="B15" s="32" t="s">
        <v>111</v>
      </c>
    </row>
    <row r="16" spans="1:2" x14ac:dyDescent="0.25">
      <c r="A16" s="33">
        <v>0.1</v>
      </c>
      <c r="B16" s="32" t="s">
        <v>112</v>
      </c>
    </row>
    <row r="17" spans="1:2" x14ac:dyDescent="0.25">
      <c r="A17" s="33">
        <v>0.15</v>
      </c>
      <c r="B17" s="32" t="s">
        <v>113</v>
      </c>
    </row>
    <row r="18" spans="1:2" x14ac:dyDescent="0.25">
      <c r="A18" s="33">
        <v>0.05</v>
      </c>
      <c r="B18" s="32" t="s">
        <v>87</v>
      </c>
    </row>
    <row r="19" spans="1:2" x14ac:dyDescent="0.25">
      <c r="A19" s="33">
        <v>0.3</v>
      </c>
      <c r="B19" s="32" t="s">
        <v>107</v>
      </c>
    </row>
    <row r="20" spans="1:2" x14ac:dyDescent="0.25">
      <c r="A20" s="33">
        <f>SUM(A14:A19)</f>
        <v>1</v>
      </c>
      <c r="B20" s="32" t="s">
        <v>114</v>
      </c>
    </row>
    <row r="22" spans="1:2" x14ac:dyDescent="0.25">
      <c r="A22" s="34" t="s">
        <v>78</v>
      </c>
    </row>
    <row r="23" spans="1:2" x14ac:dyDescent="0.25">
      <c r="A23" t="s">
        <v>79</v>
      </c>
    </row>
    <row r="24" spans="1:2" x14ac:dyDescent="0.25">
      <c r="A24" t="s">
        <v>80</v>
      </c>
    </row>
    <row r="25" spans="1:2" x14ac:dyDescent="0.25">
      <c r="A25" t="s">
        <v>71</v>
      </c>
    </row>
    <row r="27" spans="1:2" x14ac:dyDescent="0.25">
      <c r="A27" s="44" t="s">
        <v>81</v>
      </c>
    </row>
    <row r="28" spans="1:2" x14ac:dyDescent="0.25">
      <c r="A28" t="s">
        <v>82</v>
      </c>
    </row>
    <row r="29" spans="1:2" x14ac:dyDescent="0.25">
      <c r="A29" t="s">
        <v>83</v>
      </c>
    </row>
    <row r="30" spans="1:2" x14ac:dyDescent="0.25">
      <c r="A30" t="s">
        <v>84</v>
      </c>
    </row>
    <row r="31" spans="1:2" x14ac:dyDescent="0.25">
      <c r="A31" t="s">
        <v>85</v>
      </c>
    </row>
    <row r="33" spans="1:1" x14ac:dyDescent="0.25">
      <c r="A33" s="44" t="s">
        <v>144</v>
      </c>
    </row>
    <row r="34" spans="1:1" x14ac:dyDescent="0.25">
      <c r="A34" s="45" t="s">
        <v>143</v>
      </c>
    </row>
    <row r="35" spans="1:1" x14ac:dyDescent="0.25">
      <c r="A35" t="s">
        <v>24</v>
      </c>
    </row>
    <row r="36" spans="1:1" x14ac:dyDescent="0.25">
      <c r="A36" t="s">
        <v>150</v>
      </c>
    </row>
    <row r="37" spans="1:1" x14ac:dyDescent="0.25">
      <c r="A37" t="s">
        <v>151</v>
      </c>
    </row>
    <row r="38" spans="1:1" x14ac:dyDescent="0.25">
      <c r="A38" t="s">
        <v>152</v>
      </c>
    </row>
    <row r="40" spans="1:1" x14ac:dyDescent="0.25">
      <c r="A40" t="s">
        <v>48</v>
      </c>
    </row>
  </sheetData>
  <phoneticPr fontId="10" type="noConversion"/>
  <hyperlinks>
    <hyperlink ref="A34"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C2" workbookViewId="0">
      <selection activeCell="C15" sqref="C15"/>
    </sheetView>
  </sheetViews>
  <sheetFormatPr defaultColWidth="12.42578125" defaultRowHeight="15" x14ac:dyDescent="0.25"/>
  <cols>
    <col min="1" max="1" width="30.140625" customWidth="1"/>
    <col min="2" max="3" width="14.85546875" customWidth="1"/>
    <col min="4" max="4" width="15.85546875" customWidth="1"/>
    <col min="5" max="5" width="10.42578125" customWidth="1"/>
    <col min="254" max="254" width="50.140625" customWidth="1"/>
    <col min="255" max="255" width="14.85546875" customWidth="1"/>
    <col min="256" max="256" width="15.85546875" customWidth="1"/>
    <col min="510" max="510" width="50.140625" customWidth="1"/>
    <col min="511" max="511" width="14.85546875" customWidth="1"/>
    <col min="512" max="512" width="15.85546875" customWidth="1"/>
    <col min="766" max="766" width="50.140625" customWidth="1"/>
    <col min="767" max="767" width="14.85546875" customWidth="1"/>
    <col min="768" max="768" width="15.85546875" customWidth="1"/>
    <col min="1022" max="1022" width="50.140625" customWidth="1"/>
    <col min="1023" max="1023" width="14.85546875" customWidth="1"/>
    <col min="1024" max="1024" width="15.85546875" customWidth="1"/>
    <col min="1278" max="1278" width="50.140625" customWidth="1"/>
    <col min="1279" max="1279" width="14.85546875" customWidth="1"/>
    <col min="1280" max="1280" width="15.85546875" customWidth="1"/>
    <col min="1534" max="1534" width="50.140625" customWidth="1"/>
    <col min="1535" max="1535" width="14.85546875" customWidth="1"/>
    <col min="1536" max="1536" width="15.85546875" customWidth="1"/>
    <col min="1790" max="1790" width="50.140625" customWidth="1"/>
    <col min="1791" max="1791" width="14.85546875" customWidth="1"/>
    <col min="1792" max="1792" width="15.85546875" customWidth="1"/>
    <col min="2046" max="2046" width="50.140625" customWidth="1"/>
    <col min="2047" max="2047" width="14.85546875" customWidth="1"/>
    <col min="2048" max="2048" width="15.85546875" customWidth="1"/>
    <col min="2302" max="2302" width="50.140625" customWidth="1"/>
    <col min="2303" max="2303" width="14.85546875" customWidth="1"/>
    <col min="2304" max="2304" width="15.85546875" customWidth="1"/>
    <col min="2558" max="2558" width="50.140625" customWidth="1"/>
    <col min="2559" max="2559" width="14.85546875" customWidth="1"/>
    <col min="2560" max="2560" width="15.85546875" customWidth="1"/>
    <col min="2814" max="2814" width="50.140625" customWidth="1"/>
    <col min="2815" max="2815" width="14.85546875" customWidth="1"/>
    <col min="2816" max="2816" width="15.85546875" customWidth="1"/>
    <col min="3070" max="3070" width="50.140625" customWidth="1"/>
    <col min="3071" max="3071" width="14.85546875" customWidth="1"/>
    <col min="3072" max="3072" width="15.85546875" customWidth="1"/>
    <col min="3326" max="3326" width="50.140625" customWidth="1"/>
    <col min="3327" max="3327" width="14.85546875" customWidth="1"/>
    <col min="3328" max="3328" width="15.85546875" customWidth="1"/>
    <col min="3582" max="3582" width="50.140625" customWidth="1"/>
    <col min="3583" max="3583" width="14.85546875" customWidth="1"/>
    <col min="3584" max="3584" width="15.85546875" customWidth="1"/>
    <col min="3838" max="3838" width="50.140625" customWidth="1"/>
    <col min="3839" max="3839" width="14.85546875" customWidth="1"/>
    <col min="3840" max="3840" width="15.85546875" customWidth="1"/>
    <col min="4094" max="4094" width="50.140625" customWidth="1"/>
    <col min="4095" max="4095" width="14.85546875" customWidth="1"/>
    <col min="4096" max="4096" width="15.85546875" customWidth="1"/>
    <col min="4350" max="4350" width="50.140625" customWidth="1"/>
    <col min="4351" max="4351" width="14.85546875" customWidth="1"/>
    <col min="4352" max="4352" width="15.85546875" customWidth="1"/>
    <col min="4606" max="4606" width="50.140625" customWidth="1"/>
    <col min="4607" max="4607" width="14.85546875" customWidth="1"/>
    <col min="4608" max="4608" width="15.85546875" customWidth="1"/>
    <col min="4862" max="4862" width="50.140625" customWidth="1"/>
    <col min="4863" max="4863" width="14.85546875" customWidth="1"/>
    <col min="4864" max="4864" width="15.85546875" customWidth="1"/>
    <col min="5118" max="5118" width="50.140625" customWidth="1"/>
    <col min="5119" max="5119" width="14.85546875" customWidth="1"/>
    <col min="5120" max="5120" width="15.85546875" customWidth="1"/>
    <col min="5374" max="5374" width="50.140625" customWidth="1"/>
    <col min="5375" max="5375" width="14.85546875" customWidth="1"/>
    <col min="5376" max="5376" width="15.85546875" customWidth="1"/>
    <col min="5630" max="5630" width="50.140625" customWidth="1"/>
    <col min="5631" max="5631" width="14.85546875" customWidth="1"/>
    <col min="5632" max="5632" width="15.85546875" customWidth="1"/>
    <col min="5886" max="5886" width="50.140625" customWidth="1"/>
    <col min="5887" max="5887" width="14.85546875" customWidth="1"/>
    <col min="5888" max="5888" width="15.85546875" customWidth="1"/>
    <col min="6142" max="6142" width="50.140625" customWidth="1"/>
    <col min="6143" max="6143" width="14.85546875" customWidth="1"/>
    <col min="6144" max="6144" width="15.85546875" customWidth="1"/>
    <col min="6398" max="6398" width="50.140625" customWidth="1"/>
    <col min="6399" max="6399" width="14.85546875" customWidth="1"/>
    <col min="6400" max="6400" width="15.85546875" customWidth="1"/>
    <col min="6654" max="6654" width="50.140625" customWidth="1"/>
    <col min="6655" max="6655" width="14.85546875" customWidth="1"/>
    <col min="6656" max="6656" width="15.85546875" customWidth="1"/>
    <col min="6910" max="6910" width="50.140625" customWidth="1"/>
    <col min="6911" max="6911" width="14.85546875" customWidth="1"/>
    <col min="6912" max="6912" width="15.85546875" customWidth="1"/>
    <col min="7166" max="7166" width="50.140625" customWidth="1"/>
    <col min="7167" max="7167" width="14.85546875" customWidth="1"/>
    <col min="7168" max="7168" width="15.85546875" customWidth="1"/>
    <col min="7422" max="7422" width="50.140625" customWidth="1"/>
    <col min="7423" max="7423" width="14.85546875" customWidth="1"/>
    <col min="7424" max="7424" width="15.85546875" customWidth="1"/>
    <col min="7678" max="7678" width="50.140625" customWidth="1"/>
    <col min="7679" max="7679" width="14.85546875" customWidth="1"/>
    <col min="7680" max="7680" width="15.85546875" customWidth="1"/>
    <col min="7934" max="7934" width="50.140625" customWidth="1"/>
    <col min="7935" max="7935" width="14.85546875" customWidth="1"/>
    <col min="7936" max="7936" width="15.85546875" customWidth="1"/>
    <col min="8190" max="8190" width="50.140625" customWidth="1"/>
    <col min="8191" max="8191" width="14.85546875" customWidth="1"/>
    <col min="8192" max="8192" width="15.85546875" customWidth="1"/>
    <col min="8446" max="8446" width="50.140625" customWidth="1"/>
    <col min="8447" max="8447" width="14.85546875" customWidth="1"/>
    <col min="8448" max="8448" width="15.85546875" customWidth="1"/>
    <col min="8702" max="8702" width="50.140625" customWidth="1"/>
    <col min="8703" max="8703" width="14.85546875" customWidth="1"/>
    <col min="8704" max="8704" width="15.85546875" customWidth="1"/>
    <col min="8958" max="8958" width="50.140625" customWidth="1"/>
    <col min="8959" max="8959" width="14.85546875" customWidth="1"/>
    <col min="8960" max="8960" width="15.85546875" customWidth="1"/>
    <col min="9214" max="9214" width="50.140625" customWidth="1"/>
    <col min="9215" max="9215" width="14.85546875" customWidth="1"/>
    <col min="9216" max="9216" width="15.85546875" customWidth="1"/>
    <col min="9470" max="9470" width="50.140625" customWidth="1"/>
    <col min="9471" max="9471" width="14.85546875" customWidth="1"/>
    <col min="9472" max="9472" width="15.85546875" customWidth="1"/>
    <col min="9726" max="9726" width="50.140625" customWidth="1"/>
    <col min="9727" max="9727" width="14.85546875" customWidth="1"/>
    <col min="9728" max="9728" width="15.85546875" customWidth="1"/>
    <col min="9982" max="9982" width="50.140625" customWidth="1"/>
    <col min="9983" max="9983" width="14.85546875" customWidth="1"/>
    <col min="9984" max="9984" width="15.85546875" customWidth="1"/>
    <col min="10238" max="10238" width="50.140625" customWidth="1"/>
    <col min="10239" max="10239" width="14.85546875" customWidth="1"/>
    <col min="10240" max="10240" width="15.85546875" customWidth="1"/>
    <col min="10494" max="10494" width="50.140625" customWidth="1"/>
    <col min="10495" max="10495" width="14.85546875" customWidth="1"/>
    <col min="10496" max="10496" width="15.85546875" customWidth="1"/>
    <col min="10750" max="10750" width="50.140625" customWidth="1"/>
    <col min="10751" max="10751" width="14.85546875" customWidth="1"/>
    <col min="10752" max="10752" width="15.85546875" customWidth="1"/>
    <col min="11006" max="11006" width="50.140625" customWidth="1"/>
    <col min="11007" max="11007" width="14.85546875" customWidth="1"/>
    <col min="11008" max="11008" width="15.85546875" customWidth="1"/>
    <col min="11262" max="11262" width="50.140625" customWidth="1"/>
    <col min="11263" max="11263" width="14.85546875" customWidth="1"/>
    <col min="11264" max="11264" width="15.85546875" customWidth="1"/>
    <col min="11518" max="11518" width="50.140625" customWidth="1"/>
    <col min="11519" max="11519" width="14.85546875" customWidth="1"/>
    <col min="11520" max="11520" width="15.85546875" customWidth="1"/>
    <col min="11774" max="11774" width="50.140625" customWidth="1"/>
    <col min="11775" max="11775" width="14.85546875" customWidth="1"/>
    <col min="11776" max="11776" width="15.85546875" customWidth="1"/>
    <col min="12030" max="12030" width="50.140625" customWidth="1"/>
    <col min="12031" max="12031" width="14.85546875" customWidth="1"/>
    <col min="12032" max="12032" width="15.85546875" customWidth="1"/>
    <col min="12286" max="12286" width="50.140625" customWidth="1"/>
    <col min="12287" max="12287" width="14.85546875" customWidth="1"/>
    <col min="12288" max="12288" width="15.85546875" customWidth="1"/>
    <col min="12542" max="12542" width="50.140625" customWidth="1"/>
    <col min="12543" max="12543" width="14.85546875" customWidth="1"/>
    <col min="12544" max="12544" width="15.85546875" customWidth="1"/>
    <col min="12798" max="12798" width="50.140625" customWidth="1"/>
    <col min="12799" max="12799" width="14.85546875" customWidth="1"/>
    <col min="12800" max="12800" width="15.85546875" customWidth="1"/>
    <col min="13054" max="13054" width="50.140625" customWidth="1"/>
    <col min="13055" max="13055" width="14.85546875" customWidth="1"/>
    <col min="13056" max="13056" width="15.85546875" customWidth="1"/>
    <col min="13310" max="13310" width="50.140625" customWidth="1"/>
    <col min="13311" max="13311" width="14.85546875" customWidth="1"/>
    <col min="13312" max="13312" width="15.85546875" customWidth="1"/>
    <col min="13566" max="13566" width="50.140625" customWidth="1"/>
    <col min="13567" max="13567" width="14.85546875" customWidth="1"/>
    <col min="13568" max="13568" width="15.85546875" customWidth="1"/>
    <col min="13822" max="13822" width="50.140625" customWidth="1"/>
    <col min="13823" max="13823" width="14.85546875" customWidth="1"/>
    <col min="13824" max="13824" width="15.85546875" customWidth="1"/>
    <col min="14078" max="14078" width="50.140625" customWidth="1"/>
    <col min="14079" max="14079" width="14.85546875" customWidth="1"/>
    <col min="14080" max="14080" width="15.85546875" customWidth="1"/>
    <col min="14334" max="14334" width="50.140625" customWidth="1"/>
    <col min="14335" max="14335" width="14.85546875" customWidth="1"/>
    <col min="14336" max="14336" width="15.85546875" customWidth="1"/>
    <col min="14590" max="14590" width="50.140625" customWidth="1"/>
    <col min="14591" max="14591" width="14.85546875" customWidth="1"/>
    <col min="14592" max="14592" width="15.85546875" customWidth="1"/>
    <col min="14846" max="14846" width="50.140625" customWidth="1"/>
    <col min="14847" max="14847" width="14.85546875" customWidth="1"/>
    <col min="14848" max="14848" width="15.85546875" customWidth="1"/>
    <col min="15102" max="15102" width="50.140625" customWidth="1"/>
    <col min="15103" max="15103" width="14.85546875" customWidth="1"/>
    <col min="15104" max="15104" width="15.85546875" customWidth="1"/>
    <col min="15358" max="15358" width="50.140625" customWidth="1"/>
    <col min="15359" max="15359" width="14.85546875" customWidth="1"/>
    <col min="15360" max="15360" width="15.85546875" customWidth="1"/>
    <col min="15614" max="15614" width="50.140625" customWidth="1"/>
    <col min="15615" max="15615" width="14.85546875" customWidth="1"/>
    <col min="15616" max="15616" width="15.85546875" customWidth="1"/>
    <col min="15870" max="15870" width="50.140625" customWidth="1"/>
    <col min="15871" max="15871" width="14.85546875" customWidth="1"/>
    <col min="15872" max="15872" width="15.85546875" customWidth="1"/>
    <col min="16126" max="16126" width="50.140625" customWidth="1"/>
    <col min="16127" max="16127" width="14.85546875" customWidth="1"/>
    <col min="16128" max="16128" width="15.85546875" customWidth="1"/>
  </cols>
  <sheetData>
    <row r="1" spans="1:11" x14ac:dyDescent="0.25">
      <c r="A1" s="18" t="s">
        <v>9</v>
      </c>
    </row>
    <row r="3" spans="1:11" x14ac:dyDescent="0.25">
      <c r="A3" s="63" t="s">
        <v>148</v>
      </c>
    </row>
    <row r="5" spans="1:11" ht="45" x14ac:dyDescent="0.25">
      <c r="A5" t="s">
        <v>72</v>
      </c>
      <c r="B5" s="37" t="s">
        <v>73</v>
      </c>
      <c r="C5" s="37" t="s">
        <v>10</v>
      </c>
      <c r="D5" s="37" t="s">
        <v>8</v>
      </c>
      <c r="F5" s="37" t="s">
        <v>3</v>
      </c>
      <c r="G5" s="37" t="s">
        <v>4</v>
      </c>
      <c r="H5" s="37" t="s">
        <v>5</v>
      </c>
      <c r="J5" s="37" t="s">
        <v>3</v>
      </c>
      <c r="K5" s="37" t="s">
        <v>4</v>
      </c>
    </row>
    <row r="6" spans="1:11" x14ac:dyDescent="0.25">
      <c r="A6" s="9" t="s">
        <v>41</v>
      </c>
      <c r="B6" s="10">
        <f>'Rebalanced Portfolio'!I46</f>
        <v>324010.88717003312</v>
      </c>
      <c r="C6" s="10">
        <f>'Non-Rebalanced Portfolio'!I46</f>
        <v>308125.5630359333</v>
      </c>
      <c r="D6" s="10">
        <f>'Panic Portfolio'!I46</f>
        <v>228512.70296770241</v>
      </c>
      <c r="E6" s="38"/>
      <c r="F6" s="6">
        <f>(B6-D6)/D6</f>
        <v>0.41791192770507929</v>
      </c>
      <c r="G6" s="6">
        <f>(C6-D6)/D6</f>
        <v>0.34839577421428181</v>
      </c>
      <c r="H6" s="6">
        <f>(B6-C6)/C6</f>
        <v>5.1554710286232534E-2</v>
      </c>
      <c r="J6" s="2">
        <f>B6-D6</f>
        <v>95498.184202330711</v>
      </c>
      <c r="K6" s="2">
        <f>C6-D6</f>
        <v>79612.86006823089</v>
      </c>
    </row>
    <row r="7" spans="1:11" x14ac:dyDescent="0.25">
      <c r="A7" s="11" t="s">
        <v>74</v>
      </c>
      <c r="B7" s="39">
        <f>'Rebalanced Portfolio'!I47</f>
        <v>2.2401088717003312</v>
      </c>
      <c r="C7" s="39">
        <f>'Non-Rebalanced Portfolio'!I47</f>
        <v>2.0812556303593328</v>
      </c>
      <c r="D7" s="39">
        <f>'Panic Portfolio'!I47</f>
        <v>1.2851270296770241</v>
      </c>
      <c r="F7" s="6">
        <f>(B7-D7)/D7</f>
        <v>0.74310307072392023</v>
      </c>
      <c r="G7" s="6">
        <f>(C7-D7)/D7</f>
        <v>0.61949409069887074</v>
      </c>
      <c r="H7" s="6">
        <f t="shared" ref="H7:H11" si="0">(B7-C7)/C7</f>
        <v>7.6325675243253094E-2</v>
      </c>
    </row>
    <row r="8" spans="1:11" x14ac:dyDescent="0.25">
      <c r="A8" s="1" t="s">
        <v>43</v>
      </c>
      <c r="B8" s="39">
        <f>'Rebalanced Portfolio'!I48</f>
        <v>0.12870650323618232</v>
      </c>
      <c r="C8" s="39">
        <f>'Non-Rebalanced Portfolio'!I48</f>
        <v>0.12254397039027919</v>
      </c>
      <c r="D8" s="39">
        <f>'Panic Portfolio'!I48</f>
        <v>0.11692584103527999</v>
      </c>
      <c r="F8" s="6">
        <f>(B8-D8)/D8</f>
        <v>0.10075328170911133</v>
      </c>
      <c r="G8" s="6">
        <f>(C8-D8)/D8</f>
        <v>4.8048654645161289E-2</v>
      </c>
      <c r="H8" s="6">
        <f t="shared" si="0"/>
        <v>5.0288339983408772E-2</v>
      </c>
    </row>
    <row r="9" spans="1:11" x14ac:dyDescent="0.25">
      <c r="A9" s="1" t="s">
        <v>64</v>
      </c>
      <c r="B9" s="39">
        <f>'Rebalanced Portfolio'!I49</f>
        <v>7.6242096550786176E-2</v>
      </c>
      <c r="C9" s="39">
        <f>'Non-Rebalanced Portfolio'!I49</f>
        <v>6.4514399812391598E-2</v>
      </c>
      <c r="D9" s="39">
        <f>'Panic Portfolio'!I49</f>
        <v>5.3008548106263209E-2</v>
      </c>
      <c r="F9" s="6">
        <f>(B9-D9)/D9</f>
        <v>0.43829814764871505</v>
      </c>
      <c r="G9" s="6">
        <f>(C9-D9)/D9</f>
        <v>0.21705653365685976</v>
      </c>
      <c r="H9" s="6">
        <f t="shared" si="0"/>
        <v>0.1817841717895356</v>
      </c>
    </row>
    <row r="10" spans="1:11" x14ac:dyDescent="0.25">
      <c r="A10" s="1" t="s">
        <v>45</v>
      </c>
      <c r="B10" s="2">
        <f>'Rebalanced Portfolio'!I50</f>
        <v>-45762.245278850824</v>
      </c>
      <c r="C10" s="2">
        <f>'Non-Rebalanced Portfolio'!I50</f>
        <v>-45340.900459422148</v>
      </c>
      <c r="D10" s="40">
        <f>'Panic Portfolio'!I50</f>
        <v>-43563.866782395286</v>
      </c>
      <c r="F10" s="2">
        <f>B10-D10</f>
        <v>-2198.378496455538</v>
      </c>
      <c r="G10" s="2">
        <f>C10-D10</f>
        <v>-1777.0336770268623</v>
      </c>
      <c r="H10" s="2">
        <f>B10-C10</f>
        <v>-421.34481942867569</v>
      </c>
    </row>
    <row r="11" spans="1:11" x14ac:dyDescent="0.25">
      <c r="A11" s="1" t="s">
        <v>65</v>
      </c>
      <c r="B11" s="6">
        <f>'Rebalanced Portfolio'!I51</f>
        <v>-0.26854558425405883</v>
      </c>
      <c r="C11" s="6">
        <f>'Non-Rebalanced Portfolio'!I51</f>
        <v>-0.27307507008587317</v>
      </c>
      <c r="D11" s="12">
        <f>'Panic Portfolio'!I51</f>
        <v>-0.30034917946642886</v>
      </c>
      <c r="F11" s="6">
        <f>(B11-D11)/D11</f>
        <v>-0.10588873679917889</v>
      </c>
      <c r="G11" s="6">
        <f>(C11-D11)/D11</f>
        <v>-9.0808003634330614E-2</v>
      </c>
      <c r="H11" s="6">
        <f t="shared" si="0"/>
        <v>-1.658696207746084E-2</v>
      </c>
    </row>
    <row r="12" spans="1:11" x14ac:dyDescent="0.25">
      <c r="A12" s="1" t="s">
        <v>0</v>
      </c>
      <c r="B12" s="6">
        <f>SUM('Rebalanced Portfolio'!P45:U45)</f>
        <v>0.74693129618923715</v>
      </c>
      <c r="C12" s="6">
        <f>SUM('Non-Rebalanced Portfolio'!P45:U45)</f>
        <v>0.77046963517933076</v>
      </c>
      <c r="D12" s="12">
        <f>SUM('Panic Portfolio'!P45:U45)</f>
        <v>0.81519301541872768</v>
      </c>
      <c r="F12" s="6">
        <f>B12-D12</f>
        <v>-6.8261719229490536E-2</v>
      </c>
      <c r="G12" s="6">
        <f>(C12-D12)/D12</f>
        <v>-5.4862320203301243E-2</v>
      </c>
    </row>
    <row r="13" spans="1:11" x14ac:dyDescent="0.25">
      <c r="A13" s="1" t="s">
        <v>1</v>
      </c>
      <c r="B13" s="6">
        <f>'Rebalanced Portfolio'!V45</f>
        <v>0.25306870381076302</v>
      </c>
      <c r="C13" s="6">
        <f>'Non-Rebalanced Portfolio'!V45</f>
        <v>0.22953036482066916</v>
      </c>
      <c r="D13" s="12">
        <f>'Panic Portfolio'!V45</f>
        <v>0.1848069845812722</v>
      </c>
      <c r="F13" s="7">
        <f>B13-D13</f>
        <v>6.8261719229490814E-2</v>
      </c>
      <c r="G13" s="6">
        <f>(C13-D13)/D13</f>
        <v>0.24200048683619443</v>
      </c>
    </row>
    <row r="14" spans="1:11" hidden="1" x14ac:dyDescent="0.25">
      <c r="A14" s="3" t="s">
        <v>2</v>
      </c>
      <c r="B14" s="58">
        <f>B12+B13</f>
        <v>1.0000000000000002</v>
      </c>
      <c r="C14" s="58">
        <f>C12+C13</f>
        <v>0.99999999999999989</v>
      </c>
      <c r="D14" s="58">
        <f>D12+D13</f>
        <v>0.99999999999999989</v>
      </c>
    </row>
    <row r="15" spans="1:11" x14ac:dyDescent="0.25">
      <c r="B15" s="6"/>
      <c r="C15" s="6"/>
    </row>
    <row r="16" spans="1:11" x14ac:dyDescent="0.25">
      <c r="A16" s="63" t="s">
        <v>149</v>
      </c>
    </row>
    <row r="18" spans="1:11" ht="45" x14ac:dyDescent="0.25">
      <c r="A18" t="s">
        <v>72</v>
      </c>
      <c r="B18" s="37" t="s">
        <v>73</v>
      </c>
      <c r="C18" s="37" t="s">
        <v>10</v>
      </c>
      <c r="D18" s="37" t="s">
        <v>8</v>
      </c>
      <c r="F18" s="37" t="s">
        <v>3</v>
      </c>
      <c r="G18" s="37" t="s">
        <v>4</v>
      </c>
      <c r="H18" s="37" t="s">
        <v>5</v>
      </c>
      <c r="J18" s="37" t="s">
        <v>3</v>
      </c>
      <c r="K18" s="37" t="s">
        <v>4</v>
      </c>
    </row>
    <row r="19" spans="1:11" x14ac:dyDescent="0.25">
      <c r="A19" s="9" t="s">
        <v>41</v>
      </c>
      <c r="B19" s="10">
        <f>'4% Withdrawals-Rebalanced'!I46</f>
        <v>149017.52130163627</v>
      </c>
      <c r="C19" s="10">
        <f>'4% Withdrawals-No Rebalancing'!I46</f>
        <v>149209.10408904601</v>
      </c>
      <c r="D19" s="10">
        <f>'4% Withdrawals-Panic'!I46</f>
        <v>71089.526770925062</v>
      </c>
      <c r="F19" s="6">
        <f>(B19-D19)/D19</f>
        <v>1.0961951509653742</v>
      </c>
      <c r="G19" s="6">
        <f>(C19-D19)/D19</f>
        <v>1.0988901019112018</v>
      </c>
      <c r="H19" s="6">
        <f>(B19-C19)/C19</f>
        <v>-1.2839885915768977E-3</v>
      </c>
      <c r="J19" s="2">
        <f>B19-D19</f>
        <v>77927.994530711207</v>
      </c>
      <c r="K19" s="2">
        <f>C19-D19</f>
        <v>78119.577318120952</v>
      </c>
    </row>
    <row r="20" spans="1:11" x14ac:dyDescent="0.25">
      <c r="A20" s="11" t="s">
        <v>74</v>
      </c>
      <c r="B20" s="39">
        <f>'4% Withdrawals-Rebalanced'!I47</f>
        <v>0.49017521301636269</v>
      </c>
      <c r="C20" s="39">
        <f>'4% Withdrawals-No Rebalancing'!I47</f>
        <v>0.49209104089046013</v>
      </c>
      <c r="D20" s="39">
        <f>'4% Withdrawals-Panic'!I47</f>
        <v>-0.2891047322907494</v>
      </c>
      <c r="F20" s="6">
        <f>(B20-D20)/D20</f>
        <v>-2.6954935643301714</v>
      </c>
      <c r="G20" s="6">
        <f>(C20-D20)/D20</f>
        <v>-2.7021203250162289</v>
      </c>
      <c r="H20" s="6">
        <f t="shared" ref="H20:H22" si="1">(B20-C20)/C20</f>
        <v>-3.8932386792303072E-3</v>
      </c>
    </row>
    <row r="21" spans="1:11" x14ac:dyDescent="0.25">
      <c r="A21" s="1" t="s">
        <v>43</v>
      </c>
      <c r="B21" s="39">
        <f>'4% Withdrawals-Rebalanced'!I48</f>
        <v>0.12619615641442664</v>
      </c>
      <c r="C21" s="39">
        <f>'4% Withdrawals-No Rebalancing'!I48</f>
        <v>0.11658980690694581</v>
      </c>
      <c r="D21" s="39">
        <f>'4% Withdrawals-Panic'!I48</f>
        <v>0.107611349586664</v>
      </c>
      <c r="F21" s="6">
        <f>(B21-D21)/D21</f>
        <v>0.1727030364282858</v>
      </c>
      <c r="G21" s="6">
        <f>(C21-D21)/D21</f>
        <v>8.3434111316028764E-2</v>
      </c>
      <c r="H21" s="6">
        <f t="shared" si="1"/>
        <v>8.2394419909692165E-2</v>
      </c>
    </row>
    <row r="22" spans="1:11" x14ac:dyDescent="0.25">
      <c r="A22" s="1" t="s">
        <v>64</v>
      </c>
      <c r="B22" s="39">
        <f>'4% Withdrawals-Rebalanced'!I49</f>
        <v>2.5244229206420776E-2</v>
      </c>
      <c r="C22" s="39">
        <f>'4% Withdrawals-No Rebalancing'!I49</f>
        <v>2.2481115647835948E-2</v>
      </c>
      <c r="D22" s="39">
        <f>'4% Withdrawals-Panic'!I49</f>
        <v>-2.1101075283916804E-2</v>
      </c>
      <c r="F22" s="6">
        <f>(B22-D22)/D22</f>
        <v>-2.1963479996520308</v>
      </c>
      <c r="G22" s="6">
        <f>(C22-D22)/D22</f>
        <v>-2.0654014236407661</v>
      </c>
      <c r="H22" s="6">
        <f t="shared" si="1"/>
        <v>0.12290820446229983</v>
      </c>
    </row>
    <row r="23" spans="1:11" x14ac:dyDescent="0.25">
      <c r="A23" s="1" t="s">
        <v>45</v>
      </c>
      <c r="B23" s="2">
        <f>'4% Withdrawals-Rebalanced'!I50</f>
        <v>-37557.854552314689</v>
      </c>
      <c r="C23" s="2">
        <f>'4% Withdrawals-No Rebalancing'!I50</f>
        <v>-38119.951776779737</v>
      </c>
      <c r="D23" s="40">
        <f>'4% Withdrawals-Panic'!I50</f>
        <v>-34260.543838615486</v>
      </c>
      <c r="F23" s="2">
        <f>B23-D23</f>
        <v>-3297.3107136992039</v>
      </c>
      <c r="G23" s="2">
        <f>C23-D23</f>
        <v>-3859.4079381642514</v>
      </c>
      <c r="H23" s="2">
        <f>B23-C23</f>
        <v>562.09722446504747</v>
      </c>
    </row>
    <row r="24" spans="1:11" x14ac:dyDescent="0.25">
      <c r="A24" s="1" t="s">
        <v>65</v>
      </c>
      <c r="B24" s="6">
        <f>'4% Withdrawals-Rebalanced'!I51</f>
        <v>-0.30709285656811741</v>
      </c>
      <c r="C24" s="39">
        <f>'4% Withdrawals-No Rebalancing'!I51</f>
        <v>-0.29012657235089345</v>
      </c>
      <c r="D24" s="39">
        <f>'4% Withdrawals-Panic'!I51</f>
        <v>-0.34686427959949512</v>
      </c>
      <c r="F24" s="6">
        <f>(B24-D24)/D24</f>
        <v>-0.11465989832478442</v>
      </c>
      <c r="G24" s="6">
        <f>(C24-D24)/D24</f>
        <v>-0.16357322037920288</v>
      </c>
      <c r="H24" s="6">
        <f t="shared" ref="H24" si="2">(B24-C24)/C24</f>
        <v>5.8478904844000618E-2</v>
      </c>
    </row>
    <row r="25" spans="1:11" x14ac:dyDescent="0.25">
      <c r="A25" s="1" t="s">
        <v>22</v>
      </c>
      <c r="B25" s="2">
        <f>'4% Withdrawals-Rebalanced'!I52</f>
        <v>89231.099390012838</v>
      </c>
      <c r="C25" s="2">
        <f>'4% Withdrawals-No Rebalancing'!I52</f>
        <v>89231.099390012838</v>
      </c>
      <c r="D25" s="40">
        <f>'4% Withdrawals-Panic'!I52</f>
        <v>89231.099390012838</v>
      </c>
      <c r="F25" s="2">
        <f>B25-D25</f>
        <v>0</v>
      </c>
      <c r="G25" s="2">
        <f>C25-D25</f>
        <v>0</v>
      </c>
    </row>
    <row r="26" spans="1:11" x14ac:dyDescent="0.25">
      <c r="A26" s="1" t="s">
        <v>0</v>
      </c>
      <c r="B26" s="6">
        <f>SUM('4% Withdrawals-Rebalanced'!AH45:AM45)</f>
        <v>0.73315605509376558</v>
      </c>
      <c r="C26" s="6">
        <f>SUM('4% Withdrawals-No Rebalancing'!AH45:AM45)</f>
        <v>0.69028813622414931</v>
      </c>
      <c r="D26" s="12">
        <f>SUM('4% Withdrawals-Panic'!AH45:AM45)</f>
        <v>0.78469976997219848</v>
      </c>
    </row>
    <row r="27" spans="1:11" x14ac:dyDescent="0.25">
      <c r="A27" s="1" t="s">
        <v>1</v>
      </c>
      <c r="B27" s="6">
        <f>'4% Withdrawals-Rebalanced'!AN45</f>
        <v>0.26684394490623448</v>
      </c>
      <c r="C27" s="6">
        <f>'4% Withdrawals-No Rebalancing'!AN45</f>
        <v>0.30971186377585075</v>
      </c>
      <c r="D27" s="12">
        <f>'4% Withdrawals-Panic'!AN45</f>
        <v>0.2153002300278013</v>
      </c>
    </row>
    <row r="28" spans="1:11" x14ac:dyDescent="0.25">
      <c r="A28" s="3" t="s">
        <v>2</v>
      </c>
      <c r="B28" s="58">
        <f>B26+B27</f>
        <v>1</v>
      </c>
      <c r="C28" s="58">
        <f>C26+C27</f>
        <v>1</v>
      </c>
      <c r="D28" s="58">
        <f>D26+D27</f>
        <v>0.99999999999999978</v>
      </c>
    </row>
    <row r="30" spans="1:11" x14ac:dyDescent="0.25">
      <c r="F30" s="6"/>
      <c r="G30" s="6"/>
    </row>
    <row r="31" spans="1:11" x14ac:dyDescent="0.25">
      <c r="F31" s="7"/>
      <c r="G31" s="6"/>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24"/>
  <sheetViews>
    <sheetView topLeftCell="A10" workbookViewId="0">
      <selection activeCell="A20" sqref="A20"/>
    </sheetView>
  </sheetViews>
  <sheetFormatPr defaultRowHeight="15" x14ac:dyDescent="0.25"/>
  <cols>
    <col min="1" max="1" width="16.5703125" customWidth="1"/>
  </cols>
  <sheetData>
    <row r="2" spans="1:8" x14ac:dyDescent="0.25">
      <c r="A2" t="s">
        <v>125</v>
      </c>
    </row>
    <row r="3" spans="1:8" x14ac:dyDescent="0.25">
      <c r="A3" s="16"/>
      <c r="B3" s="16" t="s">
        <v>96</v>
      </c>
      <c r="C3" s="16" t="s">
        <v>97</v>
      </c>
      <c r="D3" s="16" t="s">
        <v>98</v>
      </c>
      <c r="E3" s="16" t="s">
        <v>99</v>
      </c>
      <c r="F3" s="16" t="s">
        <v>104</v>
      </c>
      <c r="G3" s="16" t="s">
        <v>106</v>
      </c>
      <c r="H3" s="16" t="s">
        <v>107</v>
      </c>
    </row>
    <row r="4" spans="1:8" x14ac:dyDescent="0.25">
      <c r="A4" s="16" t="s">
        <v>94</v>
      </c>
      <c r="B4" s="16" t="s">
        <v>100</v>
      </c>
      <c r="C4" s="16" t="s">
        <v>101</v>
      </c>
      <c r="D4" s="16" t="s">
        <v>102</v>
      </c>
      <c r="E4" s="16" t="s">
        <v>103</v>
      </c>
      <c r="F4" s="16" t="s">
        <v>105</v>
      </c>
      <c r="G4" s="16" t="s">
        <v>108</v>
      </c>
      <c r="H4" s="16" t="s">
        <v>109</v>
      </c>
    </row>
    <row r="5" spans="1:8" x14ac:dyDescent="0.25">
      <c r="A5" s="16">
        <f>'Non-Rebalanced Portfolio'!A4</f>
        <v>2000</v>
      </c>
      <c r="B5" s="60">
        <f>('Non-Rebalanced Portfolio'!B4/100)+1</f>
        <v>0.90939999999999999</v>
      </c>
      <c r="C5" s="16"/>
      <c r="D5" s="60">
        <f>('Non-Rebalanced Portfolio'!D4/100)+1</f>
        <v>1.1809799999999999</v>
      </c>
      <c r="E5" s="60">
        <f>('Non-Rebalanced Portfolio'!E4/100)+1</f>
        <v>0.97335000000000005</v>
      </c>
      <c r="F5" s="16"/>
      <c r="G5" s="60">
        <f>('Non-Rebalanced Portfolio'!G4/100)+1</f>
        <v>0.84386000000000005</v>
      </c>
      <c r="H5" s="60">
        <f>('Non-Rebalanced Portfolio'!H4/100)+1</f>
        <v>1.1139000000000001</v>
      </c>
    </row>
    <row r="6" spans="1:8" x14ac:dyDescent="0.25">
      <c r="A6" s="16">
        <f>'Non-Rebalanced Portfolio'!A5</f>
        <v>2001</v>
      </c>
      <c r="B6" s="60">
        <f>('Non-Rebalanced Portfolio'!B5/100)+1</f>
        <v>0.87980000000000003</v>
      </c>
      <c r="C6" s="16"/>
      <c r="D6" s="60">
        <f>('Non-Rebalanced Portfolio'!D5/100)+1</f>
        <v>0.99500999999999995</v>
      </c>
      <c r="E6" s="60">
        <f>('Non-Rebalanced Portfolio'!E5/100)+1</f>
        <v>1.0309999999999999</v>
      </c>
      <c r="F6" s="16"/>
      <c r="G6" s="60">
        <f>('Non-Rebalanced Portfolio'!G5/100)+1</f>
        <v>0.79847000000000001</v>
      </c>
      <c r="H6" s="60">
        <f>('Non-Rebalanced Portfolio'!H5/100)+1</f>
        <v>1.0843</v>
      </c>
    </row>
    <row r="7" spans="1:8" x14ac:dyDescent="0.25">
      <c r="A7" s="16">
        <f>'Non-Rebalanced Portfolio'!A6</f>
        <v>2002</v>
      </c>
      <c r="B7" s="60">
        <f>('Non-Rebalanced Portfolio'!B6/100)+1</f>
        <v>0.77849999999999997</v>
      </c>
      <c r="C7" s="16"/>
      <c r="D7" s="60">
        <f>('Non-Rebalanced Portfolio'!D6/100)+1</f>
        <v>0.85392000000000001</v>
      </c>
      <c r="E7" s="60">
        <f>('Non-Rebalanced Portfolio'!E6/100)+1</f>
        <v>0.79978000000000005</v>
      </c>
      <c r="F7" s="16"/>
      <c r="G7" s="60">
        <f>('Non-Rebalanced Portfolio'!G6/100)+1</f>
        <v>0.84916999999999998</v>
      </c>
      <c r="H7" s="60">
        <f>('Non-Rebalanced Portfolio'!H6/100)+1</f>
        <v>1.0826</v>
      </c>
    </row>
    <row r="8" spans="1:8" x14ac:dyDescent="0.25">
      <c r="A8" s="16">
        <f>'Non-Rebalanced Portfolio'!A7</f>
        <v>2003</v>
      </c>
      <c r="B8" s="60">
        <f>('Non-Rebalanced Portfolio'!B7/100)+1</f>
        <v>1.2849999999999999</v>
      </c>
      <c r="C8" s="16"/>
      <c r="D8" s="60">
        <f>('Non-Rebalanced Portfolio'!D7/100)+1</f>
        <v>1.3414200000000001</v>
      </c>
      <c r="E8" s="60">
        <f>('Non-Rebalanced Portfolio'!E7/100)+1</f>
        <v>1.45628</v>
      </c>
      <c r="F8" s="16"/>
      <c r="G8" s="60">
        <f>('Non-Rebalanced Portfolio'!G7/100)+1</f>
        <v>1.4034</v>
      </c>
      <c r="H8" s="60">
        <f>('Non-Rebalanced Portfolio'!H7/100)+1</f>
        <v>1.0397000000000001</v>
      </c>
    </row>
    <row r="9" spans="1:8" x14ac:dyDescent="0.25">
      <c r="A9" s="16">
        <f>'Non-Rebalanced Portfolio'!A8</f>
        <v>2004</v>
      </c>
      <c r="B9" s="60">
        <f>('Non-Rebalanced Portfolio'!B8/100)+1</f>
        <v>1.1073999999999999</v>
      </c>
      <c r="C9" s="16"/>
      <c r="D9" s="60">
        <f>('Non-Rebalanced Portfolio'!D8/100)+1</f>
        <v>1.20353</v>
      </c>
      <c r="E9" s="60">
        <f>('Non-Rebalanced Portfolio'!E8/100)+1</f>
        <v>1.1989700000000001</v>
      </c>
      <c r="F9" s="16"/>
      <c r="G9" s="60">
        <f>('Non-Rebalanced Portfolio'!G8/100)+1</f>
        <v>1.2083699999999999</v>
      </c>
      <c r="H9" s="60">
        <f>('Non-Rebalanced Portfolio'!H8/100)+1</f>
        <v>1.0424</v>
      </c>
    </row>
    <row r="10" spans="1:8" x14ac:dyDescent="0.25">
      <c r="A10" s="16">
        <f>'Non-Rebalanced Portfolio'!A9</f>
        <v>2005</v>
      </c>
      <c r="B10" s="60">
        <f>('Non-Rebalanced Portfolio'!B9/100)+1</f>
        <v>1.0477000000000001</v>
      </c>
      <c r="C10" s="16"/>
      <c r="D10" s="60">
        <f>('Non-Rebalanced Portfolio'!D9/100)+1</f>
        <v>1.13931</v>
      </c>
      <c r="E10" s="60">
        <f>('Non-Rebalanced Portfolio'!E9/100)+1</f>
        <v>1.0736300000000001</v>
      </c>
      <c r="F10" s="16"/>
      <c r="G10" s="60">
        <f>('Non-Rebalanced Portfolio'!G9/100)+1</f>
        <v>1.15571</v>
      </c>
      <c r="H10" s="60">
        <f>('Non-Rebalanced Portfolio'!H9/100)+1</f>
        <v>1.024</v>
      </c>
    </row>
    <row r="11" spans="1:8" x14ac:dyDescent="0.25">
      <c r="A11" s="16">
        <f>'Non-Rebalanced Portfolio'!A10</f>
        <v>2006</v>
      </c>
      <c r="B11" s="60">
        <f>('Non-Rebalanced Portfolio'!B10/100)+1</f>
        <v>1.1564000000000001</v>
      </c>
      <c r="C11" s="16"/>
      <c r="D11" s="60">
        <f>('Non-Rebalanced Portfolio'!D10/100)+1</f>
        <v>1.1359699999999999</v>
      </c>
      <c r="E11" s="60">
        <f>('Non-Rebalanced Portfolio'!E10/100)+1</f>
        <v>1.15656</v>
      </c>
      <c r="F11" s="16"/>
      <c r="G11" s="60">
        <f>('Non-Rebalanced Portfolio'!G10/100)+1</f>
        <v>1.26637</v>
      </c>
      <c r="H11" s="60">
        <f>('Non-Rebalanced Portfolio'!H10/100)+1</f>
        <v>1.0427</v>
      </c>
    </row>
    <row r="12" spans="1:8" x14ac:dyDescent="0.25">
      <c r="A12" s="16">
        <f>'Non-Rebalanced Portfolio'!A11</f>
        <v>2007</v>
      </c>
      <c r="B12" s="60">
        <f>('Non-Rebalanced Portfolio'!B11/100)+1</f>
        <v>1.0539000000000001</v>
      </c>
      <c r="C12" s="16"/>
      <c r="D12" s="60">
        <f>('Non-Rebalanced Portfolio'!D11/100)+1</f>
        <v>1.0602100000000001</v>
      </c>
      <c r="E12" s="60">
        <f>('Non-Rebalanced Portfolio'!E11/100)+1</f>
        <v>1.01156</v>
      </c>
      <c r="F12" s="16"/>
      <c r="G12" s="60">
        <f>('Non-Rebalanced Portfolio'!G11/100)+1</f>
        <v>1.1552199999999999</v>
      </c>
      <c r="H12" s="60">
        <f>('Non-Rebalanced Portfolio'!H11/100)+1</f>
        <v>1.0691999999999999</v>
      </c>
    </row>
    <row r="13" spans="1:8" x14ac:dyDescent="0.25">
      <c r="A13" s="16">
        <f>'Non-Rebalanced Portfolio'!A12</f>
        <v>2008</v>
      </c>
      <c r="B13" s="60">
        <f>('Non-Rebalanced Portfolio'!B12/100)+1</f>
        <v>0.62979999999999992</v>
      </c>
      <c r="C13" s="16"/>
      <c r="D13" s="60">
        <f>('Non-Rebalanced Portfolio'!D12/100)+1</f>
        <v>0.58176000000000005</v>
      </c>
      <c r="E13" s="60">
        <f>('Non-Rebalanced Portfolio'!E12/100)+1</f>
        <v>0.63929999999999998</v>
      </c>
      <c r="F13" s="16"/>
      <c r="G13" s="60">
        <f>('Non-Rebalanced Portfolio'!G12/100)+1</f>
        <v>0.55898999999999999</v>
      </c>
      <c r="H13" s="60">
        <f>('Non-Rebalanced Portfolio'!H12/100)+1</f>
        <v>1.0505</v>
      </c>
    </row>
    <row r="14" spans="1:8" x14ac:dyDescent="0.25">
      <c r="A14" s="16">
        <f>'Non-Rebalanced Portfolio'!A13</f>
        <v>2009</v>
      </c>
      <c r="B14" s="60">
        <f>('Non-Rebalanced Portfolio'!B13/100)+1</f>
        <v>1.2648999999999999</v>
      </c>
      <c r="C14" s="16"/>
      <c r="D14" s="60">
        <f>('Non-Rebalanced Portfolio'!D13/100)+1</f>
        <v>1.40218</v>
      </c>
      <c r="E14" s="60">
        <f>('Non-Rebalanced Portfolio'!E13/100)+1</f>
        <v>1.3611800000000001</v>
      </c>
      <c r="F14" s="16"/>
      <c r="G14" s="60">
        <f>('Non-Rebalanced Portfolio'!G13/100)+1</f>
        <v>1.36727</v>
      </c>
      <c r="H14" s="60">
        <f>('Non-Rebalanced Portfolio'!H13/100)+1</f>
        <v>1.0592999999999999</v>
      </c>
    </row>
    <row r="15" spans="1:8" x14ac:dyDescent="0.25">
      <c r="A15" s="16">
        <f>'Non-Rebalanced Portfolio'!A14</f>
        <v>2010</v>
      </c>
      <c r="B15" s="60">
        <f>('Non-Rebalanced Portfolio'!B14/100)+1</f>
        <v>1.1491</v>
      </c>
      <c r="C15" s="16"/>
      <c r="D15" s="60">
        <f>('Non-Rebalanced Portfolio'!D14/100)+1</f>
        <v>1.2545999999999999</v>
      </c>
      <c r="E15" s="60">
        <f>('Non-Rebalanced Portfolio'!E14/100)+1</f>
        <v>1.2772000000000001</v>
      </c>
      <c r="F15" s="16"/>
      <c r="G15" s="60">
        <f>('Non-Rebalanced Portfolio'!G14/100)+1</f>
        <v>1.1112</v>
      </c>
      <c r="H15" s="60">
        <f>('Non-Rebalanced Portfolio'!H14/100)+1</f>
        <v>1.0642</v>
      </c>
    </row>
    <row r="16" spans="1:8" x14ac:dyDescent="0.25">
      <c r="A16" s="16">
        <f>'Non-Rebalanced Portfolio'!A15</f>
        <v>2011</v>
      </c>
      <c r="B16" s="60">
        <f>('Non-Rebalanced Portfolio'!B15/100)+1</f>
        <v>1.0197000000000001</v>
      </c>
      <c r="C16" s="16"/>
      <c r="D16" s="60">
        <f>('Non-Rebalanced Portfolio'!D15/100)+1</f>
        <v>0.97889999999999999</v>
      </c>
      <c r="E16" s="60">
        <f>('Non-Rebalanced Portfolio'!E15/100)+1</f>
        <v>0.97199999999999998</v>
      </c>
      <c r="F16" s="16"/>
      <c r="G16" s="60">
        <f>('Non-Rebalanced Portfolio'!G15/100)+1</f>
        <v>0.85440000000000005</v>
      </c>
      <c r="H16" s="60">
        <f>('Non-Rebalanced Portfolio'!H15/100)+1</f>
        <v>1.0756000000000001</v>
      </c>
    </row>
    <row r="17" spans="1:8" x14ac:dyDescent="0.25">
      <c r="A17" s="16">
        <f>'Non-Rebalanced Portfolio'!A16</f>
        <v>2012</v>
      </c>
      <c r="B17" s="60">
        <f>('Non-Rebalanced Portfolio'!B16/100)+1</f>
        <v>1.1581999999999999</v>
      </c>
      <c r="C17" s="16"/>
      <c r="D17" s="60">
        <f>('Non-Rebalanced Portfolio'!D16/100)+1</f>
        <v>1.1579999999999999</v>
      </c>
      <c r="E17" s="60">
        <f>('Non-Rebalanced Portfolio'!E16/100)+1</f>
        <v>1.1804000000000001</v>
      </c>
      <c r="F17" s="16"/>
      <c r="G17" s="60">
        <f>('Non-Rebalanced Portfolio'!G16/100)+1</f>
        <v>1.1814</v>
      </c>
      <c r="H17" s="60">
        <f>('Non-Rebalanced Portfolio'!H16/100)+1</f>
        <v>1.0405</v>
      </c>
    </row>
    <row r="18" spans="1:8" x14ac:dyDescent="0.25">
      <c r="A18" s="16">
        <f>'Non-Rebalanced Portfolio'!A17</f>
        <v>2013</v>
      </c>
      <c r="B18" s="60">
        <f>('Non-Rebalanced Portfolio'!B17/100)+1</f>
        <v>1.3218000000000001</v>
      </c>
      <c r="C18" s="16"/>
      <c r="D18" s="60">
        <f>('Non-Rebalanced Portfolio'!D17/100)+1</f>
        <v>1.35</v>
      </c>
      <c r="E18" s="60">
        <f>('Non-Rebalanced Portfolio'!E17/100)+1</f>
        <v>1.3761999999999999</v>
      </c>
      <c r="F18" s="16"/>
      <c r="G18" s="60">
        <f>('Non-Rebalanced Portfolio'!G17/100)+1</f>
        <v>1.1503999999999999</v>
      </c>
      <c r="H18" s="60">
        <f>('Non-Rebalanced Portfolio'!H17/100)+1</f>
        <v>0.97740000000000005</v>
      </c>
    </row>
    <row r="19" spans="1:8" x14ac:dyDescent="0.25">
      <c r="A19" s="16">
        <f>'Non-Rebalanced Portfolio'!A18</f>
        <v>2014</v>
      </c>
      <c r="B19" s="60">
        <f>('Non-Rebalanced Portfolio'!B18/100)+1</f>
        <v>1.1351</v>
      </c>
      <c r="C19" s="16"/>
      <c r="D19" s="60">
        <f>('Non-Rebalanced Portfolio'!D18/100)+1</f>
        <v>1.1360000000000001</v>
      </c>
      <c r="E19" s="60">
        <f>('Non-Rebalanced Portfolio'!E18/100)+1</f>
        <v>1.0737000000000001</v>
      </c>
      <c r="F19" s="16"/>
      <c r="G19" s="60">
        <f>('Non-Rebalanced Portfolio'!G18/100)+1</f>
        <v>0.95760000000000001</v>
      </c>
      <c r="H19" s="60">
        <f>('Non-Rebalanced Portfolio'!H18/100)+1</f>
        <v>1.0576000000000001</v>
      </c>
    </row>
    <row r="20" spans="1:8" x14ac:dyDescent="0.25">
      <c r="A20" s="16">
        <f>'Non-Rebalanced Portfolio'!A19</f>
        <v>2015</v>
      </c>
      <c r="B20" s="60">
        <f>('Non-Rebalanced Portfolio'!B19/100)+1</f>
        <v>1.0125</v>
      </c>
      <c r="C20" s="16"/>
      <c r="D20" s="60">
        <f>('Non-Rebalanced Portfolio'!D19/100)+1</f>
        <v>0.98540000000000005</v>
      </c>
      <c r="E20" s="60">
        <f>('Non-Rebalanced Portfolio'!E19/100)+1</f>
        <v>0.96219999999999994</v>
      </c>
      <c r="F20" s="16"/>
      <c r="G20" s="60">
        <f>('Non-Rebalanced Portfolio'!G19/100)+1</f>
        <v>0.95630000000000004</v>
      </c>
      <c r="H20" s="60">
        <f>('Non-Rebalanced Portfolio'!H19/100)+1</f>
        <v>1.0029999999999999</v>
      </c>
    </row>
    <row r="21" spans="1:8" x14ac:dyDescent="0.25">
      <c r="A21" s="16">
        <f>'Non-Rebalanced Portfolio'!A21</f>
        <v>2017</v>
      </c>
      <c r="B21" s="60">
        <f>('Non-Rebalanced Portfolio'!B21/100)+1</f>
        <v>1.2166999999999999</v>
      </c>
      <c r="C21" s="16"/>
      <c r="D21" s="60">
        <f>('Non-Rebalanced Portfolio'!D21/100)+1</f>
        <v>1.196</v>
      </c>
      <c r="E21" s="60">
        <f>('Non-Rebalanced Portfolio'!E21/100)+1</f>
        <v>1.161</v>
      </c>
      <c r="F21" s="16"/>
      <c r="G21" s="60">
        <f>('Non-Rebalanced Portfolio'!G21/100)+1</f>
        <v>1.274</v>
      </c>
      <c r="H21" s="60">
        <f>('Non-Rebalanced Portfolio'!H21/100)+1</f>
        <v>1.0346</v>
      </c>
    </row>
    <row r="22" spans="1:8" x14ac:dyDescent="0.25">
      <c r="A22" s="16"/>
      <c r="B22" s="60"/>
      <c r="C22" s="16"/>
      <c r="D22" s="60"/>
      <c r="E22" s="60"/>
      <c r="F22" s="16"/>
      <c r="G22" s="60"/>
      <c r="H22" s="60"/>
    </row>
    <row r="23" spans="1:8" x14ac:dyDescent="0.25">
      <c r="A23" s="16"/>
      <c r="B23" s="60"/>
      <c r="C23" s="16"/>
      <c r="D23" s="60"/>
      <c r="E23" s="60"/>
      <c r="F23" s="16"/>
      <c r="G23" s="60"/>
      <c r="H23" s="60"/>
    </row>
    <row r="24" spans="1:8" x14ac:dyDescent="0.25">
      <c r="A24" s="61" t="s">
        <v>43</v>
      </c>
      <c r="B24" s="60">
        <f>STDEV(B5:B21)</f>
        <v>0.18427912851400699</v>
      </c>
      <c r="C24" s="60"/>
      <c r="D24" s="60">
        <f>STDEV(D5:D21)</f>
        <v>0.19933491800676845</v>
      </c>
      <c r="E24" s="60">
        <f>STDEV(E5:E21)</f>
        <v>0.20823276849301176</v>
      </c>
      <c r="F24" s="60"/>
      <c r="G24" s="60">
        <f>STDEV(G5:G21)</f>
        <v>0.22916628451750756</v>
      </c>
      <c r="H24" s="60">
        <f>STDEV(H5:H21)</f>
        <v>3.2001104071027103E-2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4"/>
  <sheetViews>
    <sheetView topLeftCell="A15" workbookViewId="0">
      <selection activeCell="H28" sqref="H28"/>
    </sheetView>
  </sheetViews>
  <sheetFormatPr defaultColWidth="8.85546875" defaultRowHeight="15" x14ac:dyDescent="0.25"/>
  <cols>
    <col min="1" max="1" width="25.42578125" customWidth="1"/>
    <col min="4" max="4" width="10" customWidth="1"/>
    <col min="9" max="9" width="11.7109375" customWidth="1"/>
    <col min="10" max="10" width="10" bestFit="1" customWidth="1"/>
  </cols>
  <sheetData>
    <row r="1" spans="1:8" x14ac:dyDescent="0.25">
      <c r="A1" t="s">
        <v>95</v>
      </c>
    </row>
    <row r="2" spans="1:8" x14ac:dyDescent="0.25">
      <c r="A2" s="14"/>
      <c r="B2" s="14" t="s">
        <v>96</v>
      </c>
      <c r="C2" s="14" t="s">
        <v>97</v>
      </c>
      <c r="D2" s="14" t="s">
        <v>98</v>
      </c>
      <c r="E2" s="14" t="s">
        <v>99</v>
      </c>
      <c r="F2" s="14" t="s">
        <v>104</v>
      </c>
      <c r="G2" s="14" t="s">
        <v>106</v>
      </c>
      <c r="H2" s="14" t="s">
        <v>107</v>
      </c>
    </row>
    <row r="3" spans="1:8" x14ac:dyDescent="0.25">
      <c r="A3" s="14" t="s">
        <v>94</v>
      </c>
      <c r="B3" s="14" t="s">
        <v>100</v>
      </c>
      <c r="C3" s="14" t="s">
        <v>101</v>
      </c>
      <c r="D3" s="14" t="s">
        <v>102</v>
      </c>
      <c r="E3" s="14" t="s">
        <v>103</v>
      </c>
      <c r="F3" s="14" t="s">
        <v>105</v>
      </c>
      <c r="G3" s="14" t="s">
        <v>108</v>
      </c>
      <c r="H3" s="14" t="s">
        <v>109</v>
      </c>
    </row>
    <row r="4" spans="1:8" x14ac:dyDescent="0.25">
      <c r="A4" s="14">
        <v>2000</v>
      </c>
      <c r="B4" s="14">
        <v>-9.06</v>
      </c>
      <c r="C4" s="14"/>
      <c r="D4" s="14">
        <v>18.097999999999999</v>
      </c>
      <c r="E4" s="14">
        <v>-2.665</v>
      </c>
      <c r="F4" s="14"/>
      <c r="G4" s="14">
        <v>-15.614000000000001</v>
      </c>
      <c r="H4" s="14">
        <v>11.39</v>
      </c>
    </row>
    <row r="5" spans="1:8" x14ac:dyDescent="0.25">
      <c r="A5" s="14">
        <v>2001</v>
      </c>
      <c r="B5" s="14">
        <v>-12.02</v>
      </c>
      <c r="C5" s="14"/>
      <c r="D5" s="14">
        <v>-0.499</v>
      </c>
      <c r="E5" s="14">
        <v>3.1</v>
      </c>
      <c r="F5" s="14"/>
      <c r="G5" s="14">
        <v>-20.152999999999999</v>
      </c>
      <c r="H5" s="14">
        <v>8.43</v>
      </c>
    </row>
    <row r="6" spans="1:8" x14ac:dyDescent="0.25">
      <c r="A6" s="14">
        <v>2002</v>
      </c>
      <c r="B6" s="14">
        <v>-22.15</v>
      </c>
      <c r="C6" s="14"/>
      <c r="D6" s="14">
        <v>-14.608000000000001</v>
      </c>
      <c r="E6" s="14">
        <v>-20.021999999999998</v>
      </c>
      <c r="F6" s="14"/>
      <c r="G6" s="14">
        <v>-15.083</v>
      </c>
      <c r="H6" s="14">
        <v>8.26</v>
      </c>
    </row>
    <row r="7" spans="1:8" x14ac:dyDescent="0.25">
      <c r="A7" s="14">
        <v>2003</v>
      </c>
      <c r="B7" s="14">
        <v>28.5</v>
      </c>
      <c r="C7" s="14"/>
      <c r="D7" s="14">
        <v>34.142000000000003</v>
      </c>
      <c r="E7" s="14">
        <v>45.628</v>
      </c>
      <c r="F7" s="14"/>
      <c r="G7" s="14">
        <v>40.340000000000003</v>
      </c>
      <c r="H7" s="14">
        <v>3.97</v>
      </c>
    </row>
    <row r="8" spans="1:8" x14ac:dyDescent="0.25">
      <c r="A8" s="14">
        <v>2004</v>
      </c>
      <c r="B8" s="14">
        <v>10.74</v>
      </c>
      <c r="C8" s="14"/>
      <c r="D8" s="14">
        <v>20.353000000000002</v>
      </c>
      <c r="E8" s="14">
        <v>19.896999999999998</v>
      </c>
      <c r="F8" s="14"/>
      <c r="G8" s="14">
        <v>20.837</v>
      </c>
      <c r="H8" s="14">
        <v>4.24</v>
      </c>
    </row>
    <row r="9" spans="1:8" x14ac:dyDescent="0.25">
      <c r="A9" s="14">
        <v>2005</v>
      </c>
      <c r="B9" s="14">
        <v>4.7699999999999996</v>
      </c>
      <c r="C9" s="14"/>
      <c r="D9" s="14">
        <v>13.930999999999999</v>
      </c>
      <c r="E9" s="14">
        <v>7.3630000000000004</v>
      </c>
      <c r="F9" s="14"/>
      <c r="G9" s="14">
        <v>15.571</v>
      </c>
      <c r="H9" s="14">
        <v>2.4</v>
      </c>
    </row>
    <row r="10" spans="1:8" x14ac:dyDescent="0.25">
      <c r="A10" s="14">
        <v>2006</v>
      </c>
      <c r="B10" s="14">
        <v>15.64</v>
      </c>
      <c r="C10" s="14"/>
      <c r="D10" s="14">
        <v>13.597</v>
      </c>
      <c r="E10" s="14">
        <v>15.656000000000001</v>
      </c>
      <c r="F10" s="14"/>
      <c r="G10" s="14">
        <v>26.637</v>
      </c>
      <c r="H10" s="14">
        <v>4.2699999999999996</v>
      </c>
    </row>
    <row r="11" spans="1:8" x14ac:dyDescent="0.25">
      <c r="A11" s="14">
        <v>2007</v>
      </c>
      <c r="B11" s="14">
        <v>5.39</v>
      </c>
      <c r="C11" s="14"/>
      <c r="D11" s="14">
        <v>6.0209999999999999</v>
      </c>
      <c r="E11" s="14">
        <v>1.1559999999999999</v>
      </c>
      <c r="F11" s="14"/>
      <c r="G11" s="14">
        <v>15.522</v>
      </c>
      <c r="H11" s="14">
        <v>6.92</v>
      </c>
    </row>
    <row r="12" spans="1:8" x14ac:dyDescent="0.25">
      <c r="A12" s="14">
        <v>2008</v>
      </c>
      <c r="B12" s="14">
        <v>-37.020000000000003</v>
      </c>
      <c r="C12" s="14"/>
      <c r="D12" s="14">
        <v>-41.823999999999998</v>
      </c>
      <c r="E12" s="14">
        <v>-36.07</v>
      </c>
      <c r="F12" s="14"/>
      <c r="G12" s="14">
        <v>-44.100999999999999</v>
      </c>
      <c r="H12" s="14">
        <v>5.05</v>
      </c>
    </row>
    <row r="13" spans="1:8" x14ac:dyDescent="0.25">
      <c r="A13" s="14">
        <v>2009</v>
      </c>
      <c r="B13" s="14">
        <v>26.49</v>
      </c>
      <c r="C13" s="14"/>
      <c r="D13" s="14">
        <v>40.218000000000004</v>
      </c>
      <c r="E13" s="14">
        <v>36.118000000000002</v>
      </c>
      <c r="F13" s="14"/>
      <c r="G13" s="14">
        <v>36.726999999999997</v>
      </c>
      <c r="H13" s="14">
        <v>5.93</v>
      </c>
    </row>
    <row r="14" spans="1:8" x14ac:dyDescent="0.25">
      <c r="A14" s="14">
        <v>2010</v>
      </c>
      <c r="B14" s="14">
        <v>14.91</v>
      </c>
      <c r="C14" s="14"/>
      <c r="D14" s="14">
        <v>25.46</v>
      </c>
      <c r="E14" s="14">
        <v>27.72</v>
      </c>
      <c r="F14" s="14"/>
      <c r="G14" s="14">
        <v>11.12</v>
      </c>
      <c r="H14" s="14">
        <v>6.42</v>
      </c>
    </row>
    <row r="15" spans="1:8" x14ac:dyDescent="0.25">
      <c r="A15" s="14">
        <v>2011</v>
      </c>
      <c r="B15" s="14">
        <v>1.97</v>
      </c>
      <c r="C15" s="14"/>
      <c r="D15" s="14">
        <v>-2.11</v>
      </c>
      <c r="E15" s="15">
        <v>-2.8</v>
      </c>
      <c r="F15" s="14"/>
      <c r="G15" s="14">
        <v>-14.56</v>
      </c>
      <c r="H15" s="14">
        <v>7.56</v>
      </c>
    </row>
    <row r="16" spans="1:8" x14ac:dyDescent="0.25">
      <c r="A16" s="14">
        <v>2012</v>
      </c>
      <c r="B16" s="15">
        <v>15.82</v>
      </c>
      <c r="C16" s="15"/>
      <c r="D16" s="15">
        <v>15.8</v>
      </c>
      <c r="E16" s="15">
        <v>18.04</v>
      </c>
      <c r="F16" s="15"/>
      <c r="G16" s="15">
        <v>18.14</v>
      </c>
      <c r="H16" s="15">
        <v>4.05</v>
      </c>
    </row>
    <row r="17" spans="1:25" x14ac:dyDescent="0.25">
      <c r="A17" s="14">
        <v>2013</v>
      </c>
      <c r="B17" s="15">
        <v>32.18</v>
      </c>
      <c r="C17" s="15"/>
      <c r="D17" s="15">
        <v>35</v>
      </c>
      <c r="E17" s="15">
        <v>37.619999999999997</v>
      </c>
      <c r="F17" s="15"/>
      <c r="G17" s="15">
        <v>15.04</v>
      </c>
      <c r="H17" s="15">
        <v>-2.2599999999999998</v>
      </c>
    </row>
    <row r="18" spans="1:25" x14ac:dyDescent="0.25">
      <c r="A18" s="14">
        <v>2014</v>
      </c>
      <c r="B18" s="15">
        <v>13.51</v>
      </c>
      <c r="C18" s="15"/>
      <c r="D18" s="15">
        <v>13.6</v>
      </c>
      <c r="E18" s="15">
        <v>7.37</v>
      </c>
      <c r="F18" s="15"/>
      <c r="G18" s="15">
        <v>-4.24</v>
      </c>
      <c r="H18" s="15">
        <v>5.76</v>
      </c>
    </row>
    <row r="19" spans="1:25" x14ac:dyDescent="0.25">
      <c r="A19" s="14">
        <v>2015</v>
      </c>
      <c r="B19" s="15">
        <v>1.25</v>
      </c>
      <c r="C19" s="15"/>
      <c r="D19" s="15">
        <v>-1.46</v>
      </c>
      <c r="E19" s="15">
        <v>-3.78</v>
      </c>
      <c r="F19" s="15"/>
      <c r="G19" s="15">
        <v>-4.37</v>
      </c>
      <c r="H19" s="15">
        <v>0.3</v>
      </c>
    </row>
    <row r="20" spans="1:25" x14ac:dyDescent="0.25">
      <c r="A20" s="14">
        <v>2016</v>
      </c>
      <c r="B20" s="15">
        <v>11.82</v>
      </c>
      <c r="C20" s="15"/>
      <c r="D20" s="15">
        <v>11.07</v>
      </c>
      <c r="E20" s="15">
        <v>18.170000000000002</v>
      </c>
      <c r="F20" s="15"/>
      <c r="G20" s="15">
        <v>4.6500000000000004</v>
      </c>
      <c r="H20" s="15">
        <v>2.5</v>
      </c>
    </row>
    <row r="21" spans="1:25" x14ac:dyDescent="0.25">
      <c r="A21" s="14">
        <v>2017</v>
      </c>
      <c r="B21" s="15">
        <v>21.67</v>
      </c>
      <c r="C21" s="15"/>
      <c r="D21" s="15">
        <v>19.600000000000001</v>
      </c>
      <c r="E21" s="15">
        <v>16.100000000000001</v>
      </c>
      <c r="F21" s="15"/>
      <c r="G21" s="15">
        <v>27.4</v>
      </c>
      <c r="H21" s="15">
        <v>3.46</v>
      </c>
    </row>
    <row r="24" spans="1:25" x14ac:dyDescent="0.25">
      <c r="A24" s="18" t="s">
        <v>11</v>
      </c>
      <c r="O24" s="18" t="s">
        <v>126</v>
      </c>
    </row>
    <row r="25" spans="1:25"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P25" s="4" t="str">
        <f>B25</f>
        <v>LC Stocks</v>
      </c>
      <c r="Q25" s="4" t="str">
        <f t="shared" ref="Q25:V26" si="1">C25</f>
        <v>Ext Mkt</v>
      </c>
      <c r="R25" s="4" t="str">
        <f t="shared" si="1"/>
        <v>Mcap Stk</v>
      </c>
      <c r="S25" s="4" t="str">
        <f t="shared" si="1"/>
        <v>Small Cap</v>
      </c>
      <c r="T25" s="4" t="str">
        <f t="shared" si="1"/>
        <v>Intl Val</v>
      </c>
      <c r="U25" s="4" t="str">
        <f t="shared" si="1"/>
        <v>Tot Int Stk</v>
      </c>
      <c r="V25" s="4" t="str">
        <f t="shared" si="1"/>
        <v>Bonds</v>
      </c>
      <c r="W25" s="5"/>
      <c r="X25" s="5" t="s">
        <v>6</v>
      </c>
      <c r="Y25" s="3" t="s">
        <v>7</v>
      </c>
    </row>
    <row r="26" spans="1:25"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O26" t="s">
        <v>116</v>
      </c>
      <c r="P26" s="4" t="str">
        <f>B26</f>
        <v>VFINX</v>
      </c>
      <c r="Q26" s="4" t="str">
        <f t="shared" si="1"/>
        <v>VEXMX</v>
      </c>
      <c r="R26" s="4" t="str">
        <f t="shared" si="1"/>
        <v>VIMSX</v>
      </c>
      <c r="S26" s="4" t="str">
        <f t="shared" si="1"/>
        <v>NAESX</v>
      </c>
      <c r="T26" s="4" t="str">
        <f t="shared" si="1"/>
        <v>VTRIX</v>
      </c>
      <c r="U26" s="4" t="str">
        <f t="shared" si="1"/>
        <v>VGTSX</v>
      </c>
      <c r="V26" s="4" t="str">
        <f t="shared" si="1"/>
        <v>VBMFX</v>
      </c>
      <c r="W26" s="5" t="s">
        <v>114</v>
      </c>
      <c r="X26" s="5" t="s">
        <v>7</v>
      </c>
      <c r="Y26" s="3" t="s">
        <v>50</v>
      </c>
    </row>
    <row r="27" spans="1:25" x14ac:dyDescent="0.25">
      <c r="A27" t="s">
        <v>115</v>
      </c>
      <c r="B27" s="28">
        <v>20000</v>
      </c>
      <c r="C27" s="54"/>
      <c r="D27" s="28">
        <v>20000</v>
      </c>
      <c r="E27" s="28">
        <v>10000</v>
      </c>
      <c r="F27" s="54"/>
      <c r="G27" s="28">
        <v>20000</v>
      </c>
      <c r="H27" s="28">
        <v>30000</v>
      </c>
      <c r="I27" s="2">
        <f>SUM(B27:H27)</f>
        <v>100000</v>
      </c>
      <c r="O27" s="19" t="s">
        <v>49</v>
      </c>
      <c r="P27" s="20">
        <f>B27/$I27</f>
        <v>0.2</v>
      </c>
      <c r="Q27" s="20">
        <f>C27/$I27</f>
        <v>0</v>
      </c>
      <c r="R27" s="21">
        <v>0.2</v>
      </c>
      <c r="S27" s="21">
        <v>0.1</v>
      </c>
      <c r="T27" s="20">
        <f>F27/$I27</f>
        <v>0</v>
      </c>
      <c r="U27" s="21">
        <v>0.2</v>
      </c>
      <c r="V27" s="20">
        <f>H27/$I27</f>
        <v>0.3</v>
      </c>
      <c r="W27" s="20">
        <f>I27/$I27</f>
        <v>1</v>
      </c>
      <c r="X27" s="22"/>
    </row>
    <row r="28" spans="1:25" x14ac:dyDescent="0.25">
      <c r="A28">
        <f t="shared" ref="A28:A43" si="2">A4</f>
        <v>2000</v>
      </c>
      <c r="B28" s="2">
        <f t="shared" ref="B28:B43" si="3">B27*(1+(B4/100))</f>
        <v>18188</v>
      </c>
      <c r="C28" s="2"/>
      <c r="D28" s="2">
        <f t="shared" ref="D28:D42" si="4">D27*(1+(D4/100))</f>
        <v>23619.599999999999</v>
      </c>
      <c r="E28" s="2">
        <f t="shared" ref="E28:E42" si="5">E27*(1+(E4/100))</f>
        <v>9733.5</v>
      </c>
      <c r="F28" s="2"/>
      <c r="G28" s="2">
        <f t="shared" ref="G28:G42" si="6">G27*(1+(G4/100))</f>
        <v>16877.2</v>
      </c>
      <c r="H28" s="2">
        <f t="shared" ref="H28:H42" si="7">H27*(1+(H4/100))</f>
        <v>33417</v>
      </c>
      <c r="I28" s="2">
        <f>SUM(B28:H28)</f>
        <v>101835.3</v>
      </c>
      <c r="J28" s="2">
        <f>I28-I27</f>
        <v>1835.3000000000029</v>
      </c>
      <c r="K28" s="6">
        <f>(J28/I27)</f>
        <v>1.8353000000000029E-2</v>
      </c>
      <c r="L28" s="7">
        <f>K28+1</f>
        <v>1.0183530000000001</v>
      </c>
      <c r="O28">
        <f>A28</f>
        <v>2000</v>
      </c>
      <c r="P28" s="7">
        <f>B28/$I28</f>
        <v>0.17860211537649517</v>
      </c>
      <c r="Q28" s="6"/>
      <c r="R28" s="7">
        <f>D28/$I28</f>
        <v>0.23193921950443508</v>
      </c>
      <c r="S28" s="7">
        <f>E28/$I28</f>
        <v>9.5580805477079159E-2</v>
      </c>
      <c r="T28" s="6"/>
      <c r="U28" s="7">
        <f>G28/$I28</f>
        <v>0.16573035087047419</v>
      </c>
      <c r="V28" s="7">
        <f>H28/$I28</f>
        <v>0.32814750877151633</v>
      </c>
      <c r="W28" s="6">
        <f>SUM(P28:V28)</f>
        <v>0.99999999999999989</v>
      </c>
      <c r="X28" s="7">
        <f>SUM(P28:U28)</f>
        <v>0.67185249122848356</v>
      </c>
      <c r="Y28" s="7">
        <f>W28-(X28+V28)</f>
        <v>0</v>
      </c>
    </row>
    <row r="29" spans="1:25" x14ac:dyDescent="0.25">
      <c r="A29">
        <f t="shared" si="2"/>
        <v>2001</v>
      </c>
      <c r="B29" s="2">
        <f t="shared" si="3"/>
        <v>16001.8024</v>
      </c>
      <c r="C29" s="2"/>
      <c r="D29" s="2">
        <f t="shared" si="4"/>
        <v>23501.738195999998</v>
      </c>
      <c r="E29" s="2">
        <f t="shared" si="5"/>
        <v>10035.238499999999</v>
      </c>
      <c r="F29" s="2"/>
      <c r="G29" s="2">
        <f t="shared" si="6"/>
        <v>13475.937884000001</v>
      </c>
      <c r="H29" s="2">
        <f t="shared" si="7"/>
        <v>36234.053100000005</v>
      </c>
      <c r="I29" s="2">
        <f t="shared" ref="I29:I36" si="8">SUM(B29:H29)</f>
        <v>99248.770080000002</v>
      </c>
      <c r="J29" s="2">
        <f t="shared" ref="J29:J40" si="9">I29-I28</f>
        <v>-2586.5299200000009</v>
      </c>
      <c r="K29" s="6">
        <f t="shared" ref="K29:K36" si="10">(J29/I28)</f>
        <v>-2.5399148625280241E-2</v>
      </c>
      <c r="L29" s="7">
        <f t="shared" ref="L29:L40" si="11">K29+1</f>
        <v>0.97460085137471975</v>
      </c>
      <c r="O29">
        <f t="shared" ref="O29:O40" si="12">A29</f>
        <v>2001</v>
      </c>
      <c r="P29" s="7">
        <f t="shared" ref="P29:R40" si="13">B29/$I29</f>
        <v>0.16122922618690047</v>
      </c>
      <c r="Q29" s="6"/>
      <c r="R29" s="7">
        <f t="shared" si="13"/>
        <v>0.2367962663623569</v>
      </c>
      <c r="S29" s="7">
        <f t="shared" ref="S29:S40" si="14">E29/$I29</f>
        <v>0.10111196835901384</v>
      </c>
      <c r="T29" s="6"/>
      <c r="U29" s="7">
        <f t="shared" ref="U29:V40" si="15">G29/$I29</f>
        <v>0.13577939427498847</v>
      </c>
      <c r="V29" s="7">
        <f t="shared" si="15"/>
        <v>0.36508314481674031</v>
      </c>
      <c r="W29" s="6">
        <f t="shared" ref="W29:W40" si="16">SUM(P29:V29)</f>
        <v>0.99999999999999989</v>
      </c>
      <c r="X29" s="7">
        <f t="shared" ref="X29:X40" si="17">SUM(P29:U29)</f>
        <v>0.63491685518325958</v>
      </c>
      <c r="Y29" s="7">
        <f t="shared" ref="Y29:Y40" si="18">W29-(X29+V29)</f>
        <v>0</v>
      </c>
    </row>
    <row r="30" spans="1:25" x14ac:dyDescent="0.25">
      <c r="A30">
        <f t="shared" si="2"/>
        <v>2002</v>
      </c>
      <c r="B30" s="2">
        <f t="shared" si="3"/>
        <v>12457.4031684</v>
      </c>
      <c r="C30" s="2"/>
      <c r="D30" s="2">
        <f t="shared" si="4"/>
        <v>20068.60428032832</v>
      </c>
      <c r="E30" s="2">
        <f t="shared" si="5"/>
        <v>8025.9830475300005</v>
      </c>
      <c r="F30" s="2"/>
      <c r="G30" s="2">
        <f t="shared" si="6"/>
        <v>11443.36217295628</v>
      </c>
      <c r="H30" s="2">
        <f t="shared" si="7"/>
        <v>39226.985886060007</v>
      </c>
      <c r="I30" s="2">
        <f t="shared" si="8"/>
        <v>91222.338555274619</v>
      </c>
      <c r="J30" s="2">
        <f t="shared" si="9"/>
        <v>-8026.4315247253835</v>
      </c>
      <c r="K30" s="6">
        <f t="shared" si="10"/>
        <v>-8.0871848772086904E-2</v>
      </c>
      <c r="L30" s="7">
        <f t="shared" si="11"/>
        <v>0.91912815122791314</v>
      </c>
      <c r="O30">
        <f t="shared" si="12"/>
        <v>2002</v>
      </c>
      <c r="P30" s="7">
        <f t="shared" si="13"/>
        <v>0.13656088372314254</v>
      </c>
      <c r="Q30" s="6"/>
      <c r="R30" s="7">
        <f t="shared" si="13"/>
        <v>0.21999659949704195</v>
      </c>
      <c r="S30" s="7">
        <f t="shared" si="14"/>
        <v>8.7982649586063763E-2</v>
      </c>
      <c r="T30" s="6"/>
      <c r="U30" s="7">
        <f t="shared" si="15"/>
        <v>0.12544473595162625</v>
      </c>
      <c r="V30" s="7">
        <f t="shared" si="15"/>
        <v>0.43001513124212537</v>
      </c>
      <c r="W30" s="6">
        <f t="shared" si="16"/>
        <v>1</v>
      </c>
      <c r="X30" s="7">
        <f t="shared" si="17"/>
        <v>0.56998486875787457</v>
      </c>
      <c r="Y30" s="7">
        <f t="shared" si="18"/>
        <v>0</v>
      </c>
    </row>
    <row r="31" spans="1:25" x14ac:dyDescent="0.25">
      <c r="A31">
        <f t="shared" si="2"/>
        <v>2003</v>
      </c>
      <c r="B31" s="2">
        <f t="shared" si="3"/>
        <v>16007.763071394</v>
      </c>
      <c r="C31" s="2"/>
      <c r="D31" s="2">
        <f t="shared" si="4"/>
        <v>26920.427153718018</v>
      </c>
      <c r="E31" s="2">
        <f t="shared" si="5"/>
        <v>11688.07859245699</v>
      </c>
      <c r="F31" s="2"/>
      <c r="G31" s="2">
        <f t="shared" si="6"/>
        <v>16059.614473526843</v>
      </c>
      <c r="H31" s="2">
        <f t="shared" si="7"/>
        <v>40784.297225736591</v>
      </c>
      <c r="I31" s="2">
        <f t="shared" si="8"/>
        <v>111460.18051683245</v>
      </c>
      <c r="J31" s="2">
        <f t="shared" si="9"/>
        <v>20237.841961557831</v>
      </c>
      <c r="K31" s="6">
        <f t="shared" si="10"/>
        <v>0.22185182140770329</v>
      </c>
      <c r="L31" s="7">
        <f t="shared" si="11"/>
        <v>1.2218518214077032</v>
      </c>
      <c r="O31">
        <f t="shared" si="12"/>
        <v>2003</v>
      </c>
      <c r="P31" s="7">
        <f t="shared" si="13"/>
        <v>0.14361867168317161</v>
      </c>
      <c r="Q31" s="6"/>
      <c r="R31" s="7">
        <f t="shared" si="13"/>
        <v>0.241525063290675</v>
      </c>
      <c r="S31" s="7">
        <f t="shared" si="14"/>
        <v>0.10486326630963858</v>
      </c>
      <c r="T31" s="6"/>
      <c r="U31" s="7">
        <f t="shared" si="15"/>
        <v>0.14408387281502347</v>
      </c>
      <c r="V31" s="7">
        <f t="shared" si="15"/>
        <v>0.36590912590149127</v>
      </c>
      <c r="W31" s="6">
        <f t="shared" si="16"/>
        <v>0.99999999999999989</v>
      </c>
      <c r="X31" s="7">
        <f t="shared" si="17"/>
        <v>0.63409087409850862</v>
      </c>
      <c r="Y31" s="7">
        <f t="shared" si="18"/>
        <v>0</v>
      </c>
    </row>
    <row r="32" spans="1:25" x14ac:dyDescent="0.25">
      <c r="A32">
        <f t="shared" si="2"/>
        <v>2004</v>
      </c>
      <c r="B32" s="2">
        <f t="shared" si="3"/>
        <v>17726.996825261715</v>
      </c>
      <c r="C32" s="2"/>
      <c r="D32" s="2">
        <f t="shared" si="4"/>
        <v>32399.541692314244</v>
      </c>
      <c r="E32" s="2">
        <f t="shared" si="5"/>
        <v>14013.655589998158</v>
      </c>
      <c r="F32" s="2"/>
      <c r="G32" s="2">
        <f t="shared" si="6"/>
        <v>19405.95634137563</v>
      </c>
      <c r="H32" s="2">
        <f t="shared" si="7"/>
        <v>42513.551428107821</v>
      </c>
      <c r="I32" s="2">
        <f t="shared" si="8"/>
        <v>126059.70187705757</v>
      </c>
      <c r="J32" s="2">
        <f t="shared" si="9"/>
        <v>14599.521360225117</v>
      </c>
      <c r="K32" s="6">
        <f t="shared" si="10"/>
        <v>0.13098418908464204</v>
      </c>
      <c r="L32" s="7">
        <f t="shared" si="11"/>
        <v>1.1309841890846419</v>
      </c>
      <c r="O32">
        <f t="shared" si="12"/>
        <v>2004</v>
      </c>
      <c r="P32" s="7">
        <f t="shared" si="13"/>
        <v>0.14062381999404019</v>
      </c>
      <c r="Q32" s="6"/>
      <c r="R32" s="7">
        <f t="shared" si="13"/>
        <v>0.25701743864119714</v>
      </c>
      <c r="S32" s="7">
        <f t="shared" si="14"/>
        <v>0.11116681525762512</v>
      </c>
      <c r="T32" s="6"/>
      <c r="U32" s="7">
        <f t="shared" si="15"/>
        <v>0.15394258476274761</v>
      </c>
      <c r="V32" s="7">
        <f t="shared" si="15"/>
        <v>0.33724934134438994</v>
      </c>
      <c r="W32" s="6">
        <f t="shared" si="16"/>
        <v>1</v>
      </c>
      <c r="X32" s="7">
        <f t="shared" si="17"/>
        <v>0.66275065865561</v>
      </c>
      <c r="Y32" s="7">
        <f t="shared" si="18"/>
        <v>0</v>
      </c>
    </row>
    <row r="33" spans="1:25" x14ac:dyDescent="0.25">
      <c r="A33">
        <f t="shared" si="2"/>
        <v>2005</v>
      </c>
      <c r="B33" s="2">
        <f t="shared" si="3"/>
        <v>18572.5745738267</v>
      </c>
      <c r="C33" s="2"/>
      <c r="D33" s="2">
        <f t="shared" si="4"/>
        <v>36913.121845470545</v>
      </c>
      <c r="E33" s="2">
        <f t="shared" si="5"/>
        <v>15045.481051089722</v>
      </c>
      <c r="F33" s="2"/>
      <c r="G33" s="2">
        <f t="shared" si="6"/>
        <v>22427.657803291229</v>
      </c>
      <c r="H33" s="2">
        <f t="shared" si="7"/>
        <v>43533.876662382412</v>
      </c>
      <c r="I33" s="2">
        <f t="shared" si="8"/>
        <v>136492.7119360606</v>
      </c>
      <c r="J33" s="2">
        <f t="shared" si="9"/>
        <v>10433.010059003034</v>
      </c>
      <c r="K33" s="6">
        <f t="shared" si="10"/>
        <v>8.2762452263912628E-2</v>
      </c>
      <c r="L33" s="7">
        <f t="shared" si="11"/>
        <v>1.0827624522639125</v>
      </c>
      <c r="O33">
        <f t="shared" si="12"/>
        <v>2005</v>
      </c>
      <c r="P33" s="7">
        <f t="shared" si="13"/>
        <v>0.13607008250027985</v>
      </c>
      <c r="Q33" s="6"/>
      <c r="R33" s="7">
        <f t="shared" si="13"/>
        <v>0.27044024052186999</v>
      </c>
      <c r="S33" s="7">
        <f t="shared" si="14"/>
        <v>0.11022918980566311</v>
      </c>
      <c r="T33" s="6"/>
      <c r="U33" s="7">
        <f t="shared" si="15"/>
        <v>0.16431395849030653</v>
      </c>
      <c r="V33" s="7">
        <f t="shared" si="15"/>
        <v>0.31894652868188056</v>
      </c>
      <c r="W33" s="6">
        <f t="shared" si="16"/>
        <v>1</v>
      </c>
      <c r="X33" s="7">
        <f t="shared" si="17"/>
        <v>0.68105347131811944</v>
      </c>
      <c r="Y33" s="7">
        <f t="shared" si="18"/>
        <v>0</v>
      </c>
    </row>
    <row r="34" spans="1:25" x14ac:dyDescent="0.25">
      <c r="A34">
        <f t="shared" si="2"/>
        <v>2006</v>
      </c>
      <c r="B34" s="2">
        <f t="shared" si="3"/>
        <v>21477.325237173198</v>
      </c>
      <c r="C34" s="2"/>
      <c r="D34" s="2">
        <f t="shared" si="4"/>
        <v>41932.19902279917</v>
      </c>
      <c r="E34" s="2">
        <f t="shared" si="5"/>
        <v>17401.001564448328</v>
      </c>
      <c r="F34" s="2"/>
      <c r="G34" s="2">
        <f t="shared" si="6"/>
        <v>28401.713012353914</v>
      </c>
      <c r="H34" s="2">
        <f t="shared" si="7"/>
        <v>45392.773195866139</v>
      </c>
      <c r="I34" s="2">
        <f t="shared" si="8"/>
        <v>154605.01203264075</v>
      </c>
      <c r="J34" s="2">
        <f t="shared" si="9"/>
        <v>18112.300096580148</v>
      </c>
      <c r="K34" s="6">
        <f t="shared" si="10"/>
        <v>0.13269792826055632</v>
      </c>
      <c r="L34" s="7">
        <f t="shared" si="11"/>
        <v>1.1326979282605563</v>
      </c>
      <c r="O34">
        <f t="shared" si="12"/>
        <v>2006</v>
      </c>
      <c r="P34" s="7">
        <f t="shared" si="13"/>
        <v>0.13891739313495755</v>
      </c>
      <c r="Q34" s="6"/>
      <c r="R34" s="7">
        <f t="shared" si="13"/>
        <v>0.2712214725221605</v>
      </c>
      <c r="S34" s="7">
        <f t="shared" si="14"/>
        <v>0.11255134187224518</v>
      </c>
      <c r="T34" s="6"/>
      <c r="U34" s="7">
        <f t="shared" si="15"/>
        <v>0.18370499532290482</v>
      </c>
      <c r="V34" s="7">
        <f t="shared" si="15"/>
        <v>0.29360479714773191</v>
      </c>
      <c r="W34" s="6">
        <f t="shared" si="16"/>
        <v>1</v>
      </c>
      <c r="X34" s="7">
        <f t="shared" si="17"/>
        <v>0.70639520285226809</v>
      </c>
      <c r="Y34" s="7">
        <f t="shared" si="18"/>
        <v>0</v>
      </c>
    </row>
    <row r="35" spans="1:25" x14ac:dyDescent="0.25">
      <c r="A35">
        <f t="shared" si="2"/>
        <v>2007</v>
      </c>
      <c r="B35" s="2">
        <f t="shared" si="3"/>
        <v>22634.953067456834</v>
      </c>
      <c r="C35" s="2"/>
      <c r="D35" s="2">
        <f t="shared" si="4"/>
        <v>44456.93672596191</v>
      </c>
      <c r="E35" s="2">
        <f t="shared" si="5"/>
        <v>17602.15714253335</v>
      </c>
      <c r="F35" s="2"/>
      <c r="G35" s="2">
        <f t="shared" si="6"/>
        <v>32810.226906131487</v>
      </c>
      <c r="H35" s="2">
        <f t="shared" si="7"/>
        <v>48533.953101020074</v>
      </c>
      <c r="I35" s="2">
        <f t="shared" si="8"/>
        <v>166038.22694310365</v>
      </c>
      <c r="J35" s="2">
        <f t="shared" si="9"/>
        <v>11433.214910462906</v>
      </c>
      <c r="K35" s="6">
        <f t="shared" si="10"/>
        <v>7.3951127199220978E-2</v>
      </c>
      <c r="L35" s="7">
        <f t="shared" si="11"/>
        <v>1.073951127199221</v>
      </c>
      <c r="O35">
        <f t="shared" si="12"/>
        <v>2007</v>
      </c>
      <c r="P35" s="7">
        <f t="shared" si="13"/>
        <v>0.13632374594805302</v>
      </c>
      <c r="Q35" s="6"/>
      <c r="R35" s="7">
        <f t="shared" si="13"/>
        <v>0.26775121334676727</v>
      </c>
      <c r="S35" s="7">
        <f t="shared" si="14"/>
        <v>0.10601267832476363</v>
      </c>
      <c r="T35" s="6"/>
      <c r="U35" s="7">
        <f t="shared" si="15"/>
        <v>0.19760646394624878</v>
      </c>
      <c r="V35" s="7">
        <f t="shared" si="15"/>
        <v>0.29230589843416727</v>
      </c>
      <c r="W35" s="6">
        <f t="shared" si="16"/>
        <v>1</v>
      </c>
      <c r="X35" s="7">
        <f t="shared" si="17"/>
        <v>0.70769410156583279</v>
      </c>
      <c r="Y35" s="7">
        <f t="shared" si="18"/>
        <v>0</v>
      </c>
    </row>
    <row r="36" spans="1:25" x14ac:dyDescent="0.25">
      <c r="A36">
        <f t="shared" si="2"/>
        <v>2008</v>
      </c>
      <c r="B36" s="2">
        <f t="shared" si="3"/>
        <v>14255.493441884311</v>
      </c>
      <c r="C36" s="2"/>
      <c r="D36" s="2">
        <f t="shared" si="4"/>
        <v>25863.267509695605</v>
      </c>
      <c r="E36" s="2">
        <f t="shared" si="5"/>
        <v>11253.059061221569</v>
      </c>
      <c r="F36" s="2"/>
      <c r="G36" s="2">
        <f t="shared" si="6"/>
        <v>18340.588738258441</v>
      </c>
      <c r="H36" s="2">
        <f t="shared" si="7"/>
        <v>50984.917732621587</v>
      </c>
      <c r="I36" s="2">
        <f t="shared" si="8"/>
        <v>120697.32648368151</v>
      </c>
      <c r="J36" s="2">
        <f t="shared" si="9"/>
        <v>-45340.900459422148</v>
      </c>
      <c r="K36" s="6">
        <f t="shared" si="10"/>
        <v>-0.27307507008587317</v>
      </c>
      <c r="L36" s="7">
        <f t="shared" si="11"/>
        <v>0.72692492991412683</v>
      </c>
      <c r="O36">
        <f t="shared" si="12"/>
        <v>2008</v>
      </c>
      <c r="P36" s="7">
        <f t="shared" si="13"/>
        <v>0.11810943835455776</v>
      </c>
      <c r="Q36" s="6"/>
      <c r="R36" s="7">
        <f t="shared" si="13"/>
        <v>0.21428202482341119</v>
      </c>
      <c r="S36" s="7">
        <f t="shared" si="14"/>
        <v>9.3233706073373571E-2</v>
      </c>
      <c r="T36" s="6"/>
      <c r="U36" s="7">
        <f t="shared" si="15"/>
        <v>0.15195521949475924</v>
      </c>
      <c r="V36" s="7">
        <f t="shared" si="15"/>
        <v>0.42241961125389832</v>
      </c>
      <c r="W36" s="6">
        <f t="shared" si="16"/>
        <v>1</v>
      </c>
      <c r="X36" s="7">
        <f t="shared" si="17"/>
        <v>0.57758038874610174</v>
      </c>
      <c r="Y36" s="7">
        <f t="shared" si="18"/>
        <v>0</v>
      </c>
    </row>
    <row r="37" spans="1:25" x14ac:dyDescent="0.25">
      <c r="A37">
        <f t="shared" si="2"/>
        <v>2009</v>
      </c>
      <c r="B37" s="2">
        <f t="shared" si="3"/>
        <v>18031.773654639463</v>
      </c>
      <c r="C37" s="2"/>
      <c r="D37" s="2">
        <f t="shared" si="4"/>
        <v>36264.956436744986</v>
      </c>
      <c r="E37" s="2">
        <f t="shared" si="5"/>
        <v>15317.438932953577</v>
      </c>
      <c r="F37" s="2"/>
      <c r="G37" s="2">
        <f t="shared" si="6"/>
        <v>25076.536764158616</v>
      </c>
      <c r="H37" s="2">
        <f t="shared" si="7"/>
        <v>54008.323354166045</v>
      </c>
      <c r="I37" s="2">
        <f t="shared" ref="I37:I40" si="19">SUM(B37:H37)</f>
        <v>148699.02914266271</v>
      </c>
      <c r="J37" s="2">
        <f t="shared" si="9"/>
        <v>28001.702658981201</v>
      </c>
      <c r="K37" s="6">
        <f t="shared" ref="K37:K40" si="20">(J37/I36)</f>
        <v>0.23199936133437951</v>
      </c>
      <c r="L37" s="7">
        <f t="shared" si="11"/>
        <v>1.2319993613343796</v>
      </c>
      <c r="O37">
        <f t="shared" si="12"/>
        <v>2009</v>
      </c>
      <c r="P37" s="7">
        <f t="shared" si="13"/>
        <v>0.12126356008242445</v>
      </c>
      <c r="Q37" s="6"/>
      <c r="R37" s="7">
        <f t="shared" si="13"/>
        <v>0.24388159523188396</v>
      </c>
      <c r="S37" s="7">
        <f t="shared" si="14"/>
        <v>0.10300967680332289</v>
      </c>
      <c r="T37" s="6"/>
      <c r="U37" s="7">
        <f t="shared" si="15"/>
        <v>0.16863954599259717</v>
      </c>
      <c r="V37" s="7">
        <f t="shared" si="15"/>
        <v>0.36320562188977135</v>
      </c>
      <c r="W37" s="6">
        <f t="shared" si="16"/>
        <v>0.99999999999999989</v>
      </c>
      <c r="X37" s="7">
        <f t="shared" si="17"/>
        <v>0.63679437811022854</v>
      </c>
      <c r="Y37" s="7">
        <f t="shared" si="18"/>
        <v>0</v>
      </c>
    </row>
    <row r="38" spans="1:25" x14ac:dyDescent="0.25">
      <c r="A38">
        <f t="shared" si="2"/>
        <v>2010</v>
      </c>
      <c r="B38" s="2">
        <f t="shared" si="3"/>
        <v>20720.311106546207</v>
      </c>
      <c r="C38" s="2"/>
      <c r="D38" s="2">
        <f t="shared" si="4"/>
        <v>45498.014345540258</v>
      </c>
      <c r="E38" s="2">
        <f t="shared" si="5"/>
        <v>19563.43300516831</v>
      </c>
      <c r="F38" s="2"/>
      <c r="G38" s="2">
        <f t="shared" si="6"/>
        <v>27865.047652333054</v>
      </c>
      <c r="H38" s="2">
        <f t="shared" si="7"/>
        <v>57475.657713503504</v>
      </c>
      <c r="I38" s="2">
        <f t="shared" si="19"/>
        <v>171122.46382309133</v>
      </c>
      <c r="J38" s="2">
        <f t="shared" si="9"/>
        <v>22423.434680428618</v>
      </c>
      <c r="K38" s="6">
        <f t="shared" si="20"/>
        <v>0.15079745180390819</v>
      </c>
      <c r="L38" s="7">
        <f t="shared" si="11"/>
        <v>1.1507974518039081</v>
      </c>
      <c r="O38">
        <f t="shared" si="12"/>
        <v>2010</v>
      </c>
      <c r="P38" s="7">
        <f t="shared" si="13"/>
        <v>0.12108469363769295</v>
      </c>
      <c r="Q38" s="6"/>
      <c r="R38" s="7">
        <f t="shared" si="13"/>
        <v>0.26587984610002291</v>
      </c>
      <c r="S38" s="7">
        <f t="shared" si="14"/>
        <v>0.11432416626138137</v>
      </c>
      <c r="T38" s="7"/>
      <c r="U38" s="7">
        <f t="shared" si="15"/>
        <v>0.16283687734382032</v>
      </c>
      <c r="V38" s="7">
        <f t="shared" si="15"/>
        <v>0.33587441665708251</v>
      </c>
      <c r="W38" s="6">
        <f t="shared" si="16"/>
        <v>1</v>
      </c>
      <c r="X38" s="7">
        <f t="shared" si="17"/>
        <v>0.66412558334291749</v>
      </c>
      <c r="Y38" s="7">
        <f t="shared" si="18"/>
        <v>0</v>
      </c>
    </row>
    <row r="39" spans="1:25" x14ac:dyDescent="0.25">
      <c r="A39">
        <f t="shared" si="2"/>
        <v>2011</v>
      </c>
      <c r="B39" s="2">
        <f t="shared" si="3"/>
        <v>21128.501235345168</v>
      </c>
      <c r="C39" s="2"/>
      <c r="D39" s="2">
        <f t="shared" si="4"/>
        <v>44538.006242849355</v>
      </c>
      <c r="E39" s="2">
        <f t="shared" si="5"/>
        <v>19015.656881023599</v>
      </c>
      <c r="F39" s="2"/>
      <c r="G39" s="2">
        <f t="shared" si="6"/>
        <v>23807.896714153361</v>
      </c>
      <c r="H39" s="2">
        <f t="shared" si="7"/>
        <v>61820.817436644378</v>
      </c>
      <c r="I39" s="2">
        <f t="shared" si="19"/>
        <v>170310.87851001587</v>
      </c>
      <c r="J39" s="2">
        <f t="shared" si="9"/>
        <v>-811.58531307545491</v>
      </c>
      <c r="K39" s="6">
        <f t="shared" si="20"/>
        <v>-4.7427163853512684E-3</v>
      </c>
      <c r="L39" s="7">
        <f t="shared" si="11"/>
        <v>0.99525728361464871</v>
      </c>
      <c r="O39">
        <f t="shared" si="12"/>
        <v>2011</v>
      </c>
      <c r="P39" s="7">
        <f t="shared" si="13"/>
        <v>0.12405843607989266</v>
      </c>
      <c r="Q39" s="7"/>
      <c r="R39" s="7">
        <f t="shared" si="13"/>
        <v>0.26151004934326672</v>
      </c>
      <c r="S39" s="7">
        <f t="shared" si="14"/>
        <v>0.11165262634650376</v>
      </c>
      <c r="T39" s="7"/>
      <c r="U39" s="7">
        <f t="shared" si="15"/>
        <v>0.13979081619705952</v>
      </c>
      <c r="V39" s="7">
        <f t="shared" si="15"/>
        <v>0.36298807203327726</v>
      </c>
      <c r="W39" s="6">
        <f t="shared" si="16"/>
        <v>0.99999999999999978</v>
      </c>
      <c r="X39" s="7">
        <f t="shared" si="17"/>
        <v>0.63701192796672257</v>
      </c>
      <c r="Y39" s="7">
        <f t="shared" si="18"/>
        <v>0</v>
      </c>
    </row>
    <row r="40" spans="1:25" x14ac:dyDescent="0.25">
      <c r="A40">
        <f t="shared" si="2"/>
        <v>2012</v>
      </c>
      <c r="B40" s="2">
        <f t="shared" si="3"/>
        <v>24471.03013077677</v>
      </c>
      <c r="C40" s="2"/>
      <c r="D40" s="2">
        <f t="shared" si="4"/>
        <v>51575.011229219548</v>
      </c>
      <c r="E40" s="2">
        <f t="shared" si="5"/>
        <v>22446.081382360258</v>
      </c>
      <c r="F40" s="2"/>
      <c r="G40" s="2">
        <f t="shared" si="6"/>
        <v>28126.649178100783</v>
      </c>
      <c r="H40" s="2">
        <f t="shared" si="7"/>
        <v>64324.560542828476</v>
      </c>
      <c r="I40" s="2">
        <f t="shared" si="19"/>
        <v>190943.33246328583</v>
      </c>
      <c r="J40" s="2">
        <f t="shared" si="9"/>
        <v>20632.453953269956</v>
      </c>
      <c r="K40" s="6">
        <f t="shared" si="20"/>
        <v>0.12114583715247863</v>
      </c>
      <c r="L40" s="7">
        <f t="shared" si="11"/>
        <v>1.1211458371524787</v>
      </c>
      <c r="O40">
        <f t="shared" si="12"/>
        <v>2012</v>
      </c>
      <c r="P40" s="7">
        <f t="shared" si="13"/>
        <v>0.12815859980595032</v>
      </c>
      <c r="Q40" s="7"/>
      <c r="R40" s="7">
        <f t="shared" si="13"/>
        <v>0.27010637430419981</v>
      </c>
      <c r="S40" s="7">
        <f t="shared" si="14"/>
        <v>0.11755362752284709</v>
      </c>
      <c r="T40" s="7"/>
      <c r="U40" s="7">
        <f t="shared" si="15"/>
        <v>0.14730364666443074</v>
      </c>
      <c r="V40" s="7">
        <f t="shared" si="15"/>
        <v>0.33687775170257211</v>
      </c>
      <c r="W40" s="6">
        <f t="shared" si="16"/>
        <v>1.0000000000000002</v>
      </c>
      <c r="X40" s="7">
        <f t="shared" si="17"/>
        <v>0.66312224829742805</v>
      </c>
      <c r="Y40" s="7">
        <f t="shared" si="18"/>
        <v>0</v>
      </c>
    </row>
    <row r="41" spans="1:25" x14ac:dyDescent="0.25">
      <c r="A41">
        <f t="shared" si="2"/>
        <v>2013</v>
      </c>
      <c r="B41" s="2">
        <f t="shared" si="3"/>
        <v>32345.807626860736</v>
      </c>
      <c r="C41" s="2"/>
      <c r="D41" s="2">
        <f t="shared" si="4"/>
        <v>69626.265159446397</v>
      </c>
      <c r="E41" s="2">
        <f t="shared" si="5"/>
        <v>30890.297198404183</v>
      </c>
      <c r="F41" s="2"/>
      <c r="G41" s="2">
        <f t="shared" si="6"/>
        <v>32356.897214487137</v>
      </c>
      <c r="H41" s="2">
        <f t="shared" si="7"/>
        <v>62870.825474560559</v>
      </c>
      <c r="I41" s="2">
        <f t="shared" ref="I41:I42" si="21">SUM(B41:H41)</f>
        <v>228090.09267375901</v>
      </c>
      <c r="J41" s="2">
        <f t="shared" ref="J41:J42" si="22">I41-I40</f>
        <v>37146.760210473178</v>
      </c>
      <c r="K41" s="6">
        <f t="shared" ref="K41:K42" si="23">(J41/I40)</f>
        <v>0.19454337436797212</v>
      </c>
      <c r="L41" s="7">
        <f t="shared" ref="L41:L42" si="24">K41+1</f>
        <v>1.1945433743679721</v>
      </c>
      <c r="O41">
        <f t="shared" ref="O41:O42" si="25">A41</f>
        <v>2013</v>
      </c>
      <c r="P41" s="7">
        <f t="shared" ref="P41:P42" si="26">B41/$I41</f>
        <v>0.1418115414294889</v>
      </c>
      <c r="Q41" s="7"/>
      <c r="R41" s="7">
        <f t="shared" ref="R41:R42" si="27">D41/$I41</f>
        <v>0.30525773541174356</v>
      </c>
      <c r="S41" s="7">
        <f t="shared" ref="S41:S42" si="28">E41/$I41</f>
        <v>0.13543024528727374</v>
      </c>
      <c r="T41" s="7"/>
      <c r="U41" s="7">
        <f t="shared" ref="U41:U42" si="29">G41/$I41</f>
        <v>0.14186016076010691</v>
      </c>
      <c r="V41" s="7">
        <f t="shared" ref="V41:V42" si="30">H41/$I41</f>
        <v>0.27564031711138692</v>
      </c>
      <c r="W41" s="6">
        <f t="shared" ref="W41:W42" si="31">SUM(P41:V41)</f>
        <v>1</v>
      </c>
      <c r="X41" s="7">
        <f t="shared" ref="X41:X42" si="32">SUM(P41:U41)</f>
        <v>0.72435968288861308</v>
      </c>
      <c r="Y41" s="7">
        <f t="shared" ref="Y41:Y42" si="33">W41-(X41+V41)</f>
        <v>0</v>
      </c>
    </row>
    <row r="42" spans="1:25" x14ac:dyDescent="0.25">
      <c r="A42">
        <f t="shared" si="2"/>
        <v>2014</v>
      </c>
      <c r="B42" s="2">
        <f t="shared" si="3"/>
        <v>36715.726237249619</v>
      </c>
      <c r="C42" s="2"/>
      <c r="D42" s="2">
        <f t="shared" si="4"/>
        <v>79095.437221131113</v>
      </c>
      <c r="E42" s="2">
        <f t="shared" si="5"/>
        <v>33166.912101926573</v>
      </c>
      <c r="F42" s="2"/>
      <c r="G42" s="2">
        <f t="shared" si="6"/>
        <v>30984.964772592881</v>
      </c>
      <c r="H42" s="2">
        <f t="shared" si="7"/>
        <v>66492.18502189526</v>
      </c>
      <c r="I42" s="2">
        <f t="shared" si="21"/>
        <v>246455.22535479546</v>
      </c>
      <c r="J42" s="2">
        <f t="shared" si="22"/>
        <v>18365.132681036455</v>
      </c>
      <c r="K42" s="6">
        <f t="shared" si="23"/>
        <v>8.051701179018067E-2</v>
      </c>
      <c r="L42" s="7">
        <f t="shared" si="24"/>
        <v>1.0805170117901808</v>
      </c>
      <c r="O42">
        <f t="shared" si="25"/>
        <v>2014</v>
      </c>
      <c r="P42" s="7">
        <f t="shared" si="26"/>
        <v>0.148975239556775</v>
      </c>
      <c r="Q42" s="7"/>
      <c r="R42" s="7">
        <f t="shared" si="27"/>
        <v>0.32093227931063661</v>
      </c>
      <c r="S42" s="7">
        <f t="shared" si="28"/>
        <v>0.13457581211426817</v>
      </c>
      <c r="T42" s="7"/>
      <c r="U42" s="7">
        <f t="shared" si="29"/>
        <v>0.12572249067954275</v>
      </c>
      <c r="V42" s="7">
        <f t="shared" si="30"/>
        <v>0.26979417833877739</v>
      </c>
      <c r="W42" s="6">
        <f t="shared" si="31"/>
        <v>0.99999999999999989</v>
      </c>
      <c r="X42" s="7">
        <f t="shared" si="32"/>
        <v>0.7302058216612225</v>
      </c>
      <c r="Y42" s="7">
        <f t="shared" si="33"/>
        <v>0</v>
      </c>
    </row>
    <row r="43" spans="1:25" x14ac:dyDescent="0.25">
      <c r="A43">
        <f t="shared" si="2"/>
        <v>2015</v>
      </c>
      <c r="B43" s="2">
        <f t="shared" si="3"/>
        <v>37174.672815215235</v>
      </c>
      <c r="C43" s="2"/>
      <c r="D43" s="2">
        <f t="shared" ref="D43:E43" si="34">D42*(1+(D19/100))</f>
        <v>77940.643837702606</v>
      </c>
      <c r="E43" s="2">
        <f t="shared" si="34"/>
        <v>31913.202824473748</v>
      </c>
      <c r="F43" s="2"/>
      <c r="G43" s="2">
        <f t="shared" ref="G43:H43" si="35">G42*(1+(G19/100))</f>
        <v>29630.921812030574</v>
      </c>
      <c r="H43" s="2">
        <f t="shared" si="35"/>
        <v>66691.661576960934</v>
      </c>
      <c r="I43" s="2">
        <f t="shared" ref="I43" si="36">SUM(B43:H43)</f>
        <v>243351.10286638309</v>
      </c>
      <c r="J43" s="2">
        <f t="shared" ref="J43" si="37">I43-I42</f>
        <v>-3104.1224884123658</v>
      </c>
      <c r="K43" s="6">
        <f t="shared" ref="K43" si="38">(J43/I42)</f>
        <v>-1.2595076789074728E-2</v>
      </c>
      <c r="L43" s="7">
        <f t="shared" ref="L43" si="39">K43+1</f>
        <v>0.98740492321092532</v>
      </c>
      <c r="O43">
        <f t="shared" ref="O43" si="40">A43</f>
        <v>2015</v>
      </c>
      <c r="P43" s="7">
        <f t="shared" ref="P43" si="41">B43/$I43</f>
        <v>0.15276147252813871</v>
      </c>
      <c r="Q43" s="7"/>
      <c r="R43" s="7">
        <f t="shared" ref="R43" si="42">D43/$I43</f>
        <v>0.32028062712539879</v>
      </c>
      <c r="S43" s="7">
        <f t="shared" ref="S43" si="43">E43/$I43</f>
        <v>0.13114057199073531</v>
      </c>
      <c r="T43" s="7"/>
      <c r="U43" s="7">
        <f t="shared" ref="U43" si="44">G43/$I43</f>
        <v>0.12176201982655505</v>
      </c>
      <c r="V43" s="7">
        <f t="shared" ref="V43" si="45">H43/$I43</f>
        <v>0.27405530852917215</v>
      </c>
      <c r="W43" s="6">
        <f t="shared" ref="W43" si="46">SUM(P43:V43)</f>
        <v>1</v>
      </c>
      <c r="X43" s="7">
        <f t="shared" ref="X43" si="47">SUM(P43:U43)</f>
        <v>0.72594469147082785</v>
      </c>
      <c r="Y43" s="7">
        <f t="shared" ref="Y43" si="48">W43-(X43+V43)</f>
        <v>0</v>
      </c>
    </row>
    <row r="44" spans="1:25" x14ac:dyDescent="0.25">
      <c r="A44">
        <f t="shared" ref="A44:A45" si="49">A20</f>
        <v>2016</v>
      </c>
      <c r="B44" s="2">
        <f t="shared" ref="B44:B45" si="50">B43*(1+(B20/100))</f>
        <v>41568.719141973677</v>
      </c>
      <c r="C44" s="2"/>
      <c r="D44" s="2">
        <f t="shared" ref="D44:E44" si="51">D43*(1+(D20/100))</f>
        <v>86568.673110536285</v>
      </c>
      <c r="E44" s="2">
        <f t="shared" si="51"/>
        <v>37711.831777680629</v>
      </c>
      <c r="F44" s="2"/>
      <c r="G44" s="2">
        <f t="shared" ref="G44:H44" si="52">G43*(1+(G20/100))</f>
        <v>31008.759676289996</v>
      </c>
      <c r="H44" s="2">
        <f t="shared" si="52"/>
        <v>68358.953116384946</v>
      </c>
      <c r="I44" s="2">
        <f t="shared" ref="I44:I45" si="53">SUM(B44:H44)</f>
        <v>265216.93682286551</v>
      </c>
      <c r="J44" s="2">
        <f t="shared" ref="J44:J45" si="54">I44-I43</f>
        <v>21865.833956482413</v>
      </c>
      <c r="K44" s="6">
        <f t="shared" ref="K44:K45" si="55">(J44/I43)</f>
        <v>8.985303004148823E-2</v>
      </c>
      <c r="L44" s="7">
        <f t="shared" ref="L44:L45" si="56">K44+1</f>
        <v>1.0898530300414881</v>
      </c>
      <c r="O44">
        <f t="shared" ref="O44:O45" si="57">A44</f>
        <v>2016</v>
      </c>
      <c r="P44" s="7">
        <f t="shared" ref="P44:P45" si="58">B44/$I44</f>
        <v>0.15673478338126201</v>
      </c>
      <c r="Q44" s="7"/>
      <c r="R44" s="7">
        <f t="shared" ref="R44:R45" si="59">D44/$I44</f>
        <v>0.3264070317211839</v>
      </c>
      <c r="S44" s="7">
        <f t="shared" ref="S44:S45" si="60">E44/$I44</f>
        <v>0.14219239626791938</v>
      </c>
      <c r="T44" s="7"/>
      <c r="U44" s="7">
        <f t="shared" ref="U44:U45" si="61">G44/$I44</f>
        <v>0.11691847454297495</v>
      </c>
      <c r="V44" s="7">
        <f t="shared" ref="V44:V45" si="62">H44/$I44</f>
        <v>0.25774731408665991</v>
      </c>
      <c r="W44" s="6">
        <f t="shared" ref="W44:W45" si="63">SUM(P44:V44)</f>
        <v>1.0000000000000002</v>
      </c>
      <c r="X44" s="7">
        <f t="shared" ref="X44:X45" si="64">SUM(P44:U44)</f>
        <v>0.74225268591334026</v>
      </c>
      <c r="Y44" s="7">
        <f t="shared" ref="Y44:Y45" si="65">W44-(X44+V44)</f>
        <v>0</v>
      </c>
    </row>
    <row r="45" spans="1:25" x14ac:dyDescent="0.25">
      <c r="A45">
        <f t="shared" si="49"/>
        <v>2017</v>
      </c>
      <c r="B45" s="2">
        <f t="shared" si="50"/>
        <v>50576.660580039366</v>
      </c>
      <c r="C45" s="2"/>
      <c r="D45" s="2">
        <f t="shared" ref="D45:E45" si="66">D44*(1+(D21/100))</f>
        <v>103536.1330402014</v>
      </c>
      <c r="E45" s="2">
        <f t="shared" si="66"/>
        <v>43783.436693887212</v>
      </c>
      <c r="F45" s="2"/>
      <c r="G45" s="2">
        <f t="shared" ref="G45:H45" si="67">G44*(1+(G21/100))</f>
        <v>39505.159827593452</v>
      </c>
      <c r="H45" s="2">
        <f t="shared" si="67"/>
        <v>70724.172894211864</v>
      </c>
      <c r="I45" s="2">
        <f t="shared" si="53"/>
        <v>308125.5630359333</v>
      </c>
      <c r="J45" s="2">
        <f t="shared" si="54"/>
        <v>42908.626213067793</v>
      </c>
      <c r="K45" s="6">
        <f t="shared" si="55"/>
        <v>0.16178690066738022</v>
      </c>
      <c r="L45" s="7">
        <f t="shared" si="56"/>
        <v>1.1617869006673802</v>
      </c>
      <c r="O45">
        <f t="shared" si="57"/>
        <v>2017</v>
      </c>
      <c r="P45" s="7">
        <f t="shared" si="58"/>
        <v>0.16414302040282575</v>
      </c>
      <c r="Q45" s="7"/>
      <c r="R45" s="7">
        <f t="shared" si="59"/>
        <v>0.33601929038301542</v>
      </c>
      <c r="S45" s="7">
        <f t="shared" si="60"/>
        <v>0.14209608661642018</v>
      </c>
      <c r="T45" s="7"/>
      <c r="U45" s="7">
        <f t="shared" si="61"/>
        <v>0.12821123777706947</v>
      </c>
      <c r="V45" s="7">
        <f t="shared" si="62"/>
        <v>0.22953036482066916</v>
      </c>
      <c r="W45" s="6">
        <f t="shared" si="63"/>
        <v>0.99999999999999989</v>
      </c>
      <c r="X45" s="7">
        <f t="shared" si="64"/>
        <v>0.77046963517933076</v>
      </c>
      <c r="Y45" s="7">
        <f t="shared" si="65"/>
        <v>0</v>
      </c>
    </row>
    <row r="46" spans="1:25" x14ac:dyDescent="0.25">
      <c r="A46" s="9" t="s">
        <v>41</v>
      </c>
      <c r="B46" s="10">
        <f>B45</f>
        <v>50576.660580039366</v>
      </c>
      <c r="C46" s="10"/>
      <c r="D46" s="10">
        <f>D45</f>
        <v>103536.1330402014</v>
      </c>
      <c r="E46" s="10">
        <f>E45</f>
        <v>43783.436693887212</v>
      </c>
      <c r="F46" s="10"/>
      <c r="G46" s="10">
        <f>G45</f>
        <v>39505.159827593452</v>
      </c>
      <c r="H46" s="10">
        <f>H45</f>
        <v>70724.172894211864</v>
      </c>
      <c r="I46" s="49">
        <f>SUM(B46:H46)</f>
        <v>308125.5630359333</v>
      </c>
      <c r="J46" s="10"/>
      <c r="K46" s="10"/>
      <c r="L46" s="65"/>
      <c r="P46" s="6"/>
      <c r="Q46" s="6"/>
      <c r="R46" s="6"/>
      <c r="S46" s="6"/>
      <c r="T46" s="6"/>
      <c r="U46" s="6"/>
      <c r="V46" s="6"/>
    </row>
    <row r="47" spans="1:25" x14ac:dyDescent="0.25">
      <c r="A47" s="11" t="s">
        <v>42</v>
      </c>
      <c r="I47" s="48">
        <f>(I46-I27)/I27</f>
        <v>2.0812556303593328</v>
      </c>
      <c r="K47" s="6"/>
      <c r="P47" s="6"/>
      <c r="Q47" s="6"/>
      <c r="R47" s="6"/>
      <c r="S47" s="6"/>
      <c r="T47" s="6"/>
      <c r="U47" s="6"/>
      <c r="V47" s="6"/>
    </row>
    <row r="48" spans="1:25" x14ac:dyDescent="0.25">
      <c r="A48" s="1" t="s">
        <v>43</v>
      </c>
      <c r="I48" s="26">
        <f>STDEV(L28:L45)</f>
        <v>0.12254397039027919</v>
      </c>
    </row>
    <row r="49" spans="1:9" x14ac:dyDescent="0.25">
      <c r="A49" s="1" t="s">
        <v>44</v>
      </c>
      <c r="I49" s="13">
        <f>((1+I47)^(1/I54))-1</f>
        <v>6.4514399812391598E-2</v>
      </c>
    </row>
    <row r="50" spans="1:9" x14ac:dyDescent="0.25">
      <c r="A50" s="1" t="s">
        <v>45</v>
      </c>
      <c r="I50" s="28">
        <f>J36</f>
        <v>-45340.900459422148</v>
      </c>
    </row>
    <row r="51" spans="1:9" x14ac:dyDescent="0.25">
      <c r="A51" s="1" t="s">
        <v>46</v>
      </c>
      <c r="I51" s="29">
        <f>K36</f>
        <v>-0.27307507008587317</v>
      </c>
    </row>
    <row r="52" spans="1:9" x14ac:dyDescent="0.25">
      <c r="A52" s="3" t="s">
        <v>47</v>
      </c>
      <c r="I52" s="30">
        <f>I46-I45</f>
        <v>0</v>
      </c>
    </row>
    <row r="53" spans="1:9" x14ac:dyDescent="0.25">
      <c r="A53" s="3" t="s">
        <v>146</v>
      </c>
      <c r="I53" s="30">
        <f>((SUM(J28:J45))-(I46-I27))</f>
        <v>0</v>
      </c>
    </row>
    <row r="54" spans="1:9" x14ac:dyDescent="0.25">
      <c r="A54" s="3" t="s">
        <v>153</v>
      </c>
      <c r="I54" s="66">
        <f>COUNTA(I28:I45)</f>
        <v>18</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4"/>
  <sheetViews>
    <sheetView topLeftCell="A21" workbookViewId="0">
      <pane ySplit="855" topLeftCell="A19" activePane="bottomLeft"/>
      <selection activeCell="X21" sqref="X1:Y1048576"/>
      <selection pane="bottomLeft" activeCell="A44" sqref="A44"/>
    </sheetView>
  </sheetViews>
  <sheetFormatPr defaultColWidth="8.85546875" defaultRowHeight="15" x14ac:dyDescent="0.25"/>
  <cols>
    <col min="1" max="1" width="25.425781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95</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4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3" spans="1:46" x14ac:dyDescent="0.25">
      <c r="A23" s="32"/>
    </row>
    <row r="24" spans="1:46" x14ac:dyDescent="0.25">
      <c r="A24" s="18" t="s">
        <v>12</v>
      </c>
      <c r="O24" s="18" t="s">
        <v>13</v>
      </c>
      <c r="AA24" s="18" t="s">
        <v>31</v>
      </c>
      <c r="AK24" s="18" t="s">
        <v>34</v>
      </c>
    </row>
    <row r="25" spans="1:46"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P25" s="4" t="str">
        <f>B25</f>
        <v>LC Stocks</v>
      </c>
      <c r="Q25" s="4" t="str">
        <f t="shared" ref="Q25:V26" si="1">C25</f>
        <v>Ext Mkt</v>
      </c>
      <c r="R25" s="4" t="str">
        <f t="shared" si="1"/>
        <v>Mcap Stk</v>
      </c>
      <c r="S25" s="4" t="str">
        <f t="shared" si="1"/>
        <v>Small Cap</v>
      </c>
      <c r="T25" s="4" t="str">
        <f t="shared" si="1"/>
        <v>Intl Val</v>
      </c>
      <c r="U25" s="4" t="str">
        <f t="shared" si="1"/>
        <v>Tot Int Stk</v>
      </c>
      <c r="V25" s="4" t="str">
        <f t="shared" si="1"/>
        <v>Bonds</v>
      </c>
      <c r="W25" s="5"/>
      <c r="X25" s="5" t="s">
        <v>6</v>
      </c>
      <c r="Y25" s="3" t="s">
        <v>7</v>
      </c>
      <c r="AB25" s="4" t="str">
        <f t="shared" ref="AB25:AH27" si="2">P25</f>
        <v>LC Stocks</v>
      </c>
      <c r="AC25" s="4" t="str">
        <f t="shared" si="2"/>
        <v>Ext Mkt</v>
      </c>
      <c r="AD25" s="4" t="str">
        <f t="shared" si="2"/>
        <v>Mcap Stk</v>
      </c>
      <c r="AE25" s="4" t="str">
        <f t="shared" si="2"/>
        <v>Small Cap</v>
      </c>
      <c r="AF25" s="4" t="str">
        <f t="shared" si="2"/>
        <v>Intl Val</v>
      </c>
      <c r="AG25" s="4" t="str">
        <f t="shared" si="2"/>
        <v>Tot Int Stk</v>
      </c>
      <c r="AH25" s="4" t="str">
        <f t="shared" si="2"/>
        <v>Bonds</v>
      </c>
      <c r="AI25" s="5"/>
      <c r="AL25" s="4" t="str">
        <f>AB25</f>
        <v>LC Stocks</v>
      </c>
      <c r="AM25" s="4" t="str">
        <f t="shared" ref="AM25:AS27" si="3">AC25</f>
        <v>Ext Mkt</v>
      </c>
      <c r="AN25" s="4" t="str">
        <f t="shared" si="3"/>
        <v>Mcap Stk</v>
      </c>
      <c r="AO25" s="4" t="str">
        <f t="shared" si="3"/>
        <v>Small Cap</v>
      </c>
      <c r="AP25" s="4" t="str">
        <f t="shared" si="3"/>
        <v>Intl Val</v>
      </c>
      <c r="AQ25" s="4" t="str">
        <f t="shared" si="3"/>
        <v>Tot Int Stk</v>
      </c>
      <c r="AR25" s="4" t="str">
        <f t="shared" si="3"/>
        <v>Bonds</v>
      </c>
      <c r="AS25" s="4"/>
      <c r="AT25" t="s">
        <v>51</v>
      </c>
    </row>
    <row r="26" spans="1:46"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O26" t="s">
        <v>116</v>
      </c>
      <c r="P26" s="4" t="str">
        <f>B26</f>
        <v>VFINX</v>
      </c>
      <c r="Q26" s="4" t="str">
        <f t="shared" si="1"/>
        <v>VEXMX</v>
      </c>
      <c r="R26" s="4" t="str">
        <f t="shared" si="1"/>
        <v>VIMSX</v>
      </c>
      <c r="S26" s="4" t="str">
        <f t="shared" si="1"/>
        <v>NAESX</v>
      </c>
      <c r="T26" s="4" t="str">
        <f t="shared" si="1"/>
        <v>VTRIX</v>
      </c>
      <c r="U26" s="4" t="str">
        <f t="shared" si="1"/>
        <v>VGTSX</v>
      </c>
      <c r="V26" s="4" t="str">
        <f t="shared" si="1"/>
        <v>VBMFX</v>
      </c>
      <c r="W26" s="5" t="s">
        <v>114</v>
      </c>
      <c r="X26" s="5" t="s">
        <v>7</v>
      </c>
      <c r="Y26" s="3" t="s">
        <v>50</v>
      </c>
      <c r="AA26" t="str">
        <f>O26</f>
        <v>Fund</v>
      </c>
      <c r="AB26" s="4" t="str">
        <f t="shared" si="2"/>
        <v>VFINX</v>
      </c>
      <c r="AC26" s="4" t="str">
        <f t="shared" si="2"/>
        <v>VEXMX</v>
      </c>
      <c r="AD26" s="4" t="str">
        <f t="shared" si="2"/>
        <v>VIMSX</v>
      </c>
      <c r="AE26" s="4" t="str">
        <f t="shared" si="2"/>
        <v>NAESX</v>
      </c>
      <c r="AF26" s="4" t="str">
        <f t="shared" si="2"/>
        <v>VTRIX</v>
      </c>
      <c r="AG26" s="4" t="str">
        <f t="shared" si="2"/>
        <v>VGTSX</v>
      </c>
      <c r="AH26" s="4" t="str">
        <f t="shared" si="2"/>
        <v>VBMFX</v>
      </c>
      <c r="AI26" s="4" t="str">
        <f>W26</f>
        <v>Total</v>
      </c>
      <c r="AK26" t="s">
        <v>116</v>
      </c>
      <c r="AL26" s="4" t="str">
        <f>AB26</f>
        <v>VFINX</v>
      </c>
      <c r="AM26" s="4" t="str">
        <f t="shared" si="3"/>
        <v>VEXMX</v>
      </c>
      <c r="AN26" s="4" t="str">
        <f t="shared" si="3"/>
        <v>VIMSX</v>
      </c>
      <c r="AO26" s="4" t="str">
        <f t="shared" si="3"/>
        <v>NAESX</v>
      </c>
      <c r="AP26" s="4" t="str">
        <f t="shared" si="3"/>
        <v>VTRIX</v>
      </c>
      <c r="AQ26" s="4" t="str">
        <f t="shared" si="3"/>
        <v>VGTSX</v>
      </c>
      <c r="AR26" s="4" t="str">
        <f t="shared" si="3"/>
        <v>VBMFX</v>
      </c>
      <c r="AS26" s="4" t="str">
        <f t="shared" si="3"/>
        <v>Total</v>
      </c>
      <c r="AT26" t="s">
        <v>50</v>
      </c>
    </row>
    <row r="27" spans="1:46" x14ac:dyDescent="0.25">
      <c r="A27" t="s">
        <v>115</v>
      </c>
      <c r="B27" s="2">
        <f>'Non-Rebalanced Portfolio'!B27</f>
        <v>20000</v>
      </c>
      <c r="C27" s="2">
        <f>'Non-Rebalanced Portfolio'!C27</f>
        <v>0</v>
      </c>
      <c r="D27" s="2">
        <f>'Non-Rebalanced Portfolio'!D27</f>
        <v>20000</v>
      </c>
      <c r="E27" s="2">
        <f>'Non-Rebalanced Portfolio'!E27</f>
        <v>10000</v>
      </c>
      <c r="F27" s="2"/>
      <c r="G27" s="2">
        <f>'Non-Rebalanced Portfolio'!G27</f>
        <v>20000</v>
      </c>
      <c r="H27" s="2">
        <f>'Non-Rebalanced Portfolio'!H27</f>
        <v>30000</v>
      </c>
      <c r="I27" s="2">
        <f>SUM(B27:H27)</f>
        <v>100000</v>
      </c>
      <c r="O27" s="19" t="s">
        <v>49</v>
      </c>
      <c r="P27" s="20">
        <f>B27/$I27</f>
        <v>0.2</v>
      </c>
      <c r="Q27" s="20"/>
      <c r="R27" s="53">
        <f>'Non-Rebalanced Portfolio'!R27</f>
        <v>0.2</v>
      </c>
      <c r="S27" s="53">
        <f>'Non-Rebalanced Portfolio'!S27</f>
        <v>0.1</v>
      </c>
      <c r="T27" s="20"/>
      <c r="U27" s="53">
        <f>'Non-Rebalanced Portfolio'!U27</f>
        <v>0.2</v>
      </c>
      <c r="V27" s="20">
        <f>H27/$I27</f>
        <v>0.3</v>
      </c>
      <c r="W27" s="20">
        <f>I27/$I27</f>
        <v>1</v>
      </c>
      <c r="X27" s="22"/>
      <c r="AA27" s="19" t="str">
        <f>O27</f>
        <v>Target Allocation</v>
      </c>
      <c r="AB27" s="22">
        <f t="shared" si="2"/>
        <v>0.2</v>
      </c>
      <c r="AC27" s="22">
        <f t="shared" si="2"/>
        <v>0</v>
      </c>
      <c r="AD27" s="23">
        <f t="shared" si="2"/>
        <v>0.2</v>
      </c>
      <c r="AE27" s="23">
        <f t="shared" si="2"/>
        <v>0.1</v>
      </c>
      <c r="AF27" s="22">
        <f t="shared" si="2"/>
        <v>0</v>
      </c>
      <c r="AG27" s="23">
        <f t="shared" si="2"/>
        <v>0.2</v>
      </c>
      <c r="AH27" s="22">
        <f t="shared" si="2"/>
        <v>0.3</v>
      </c>
      <c r="AI27" s="22">
        <f>W27</f>
        <v>1</v>
      </c>
      <c r="AK27" s="19" t="str">
        <f>AA27</f>
        <v>Target Allocation</v>
      </c>
      <c r="AL27" s="22">
        <f>AB27</f>
        <v>0.2</v>
      </c>
      <c r="AM27" s="22">
        <f t="shared" si="3"/>
        <v>0</v>
      </c>
      <c r="AN27" s="23">
        <f t="shared" si="3"/>
        <v>0.2</v>
      </c>
      <c r="AO27" s="23">
        <f t="shared" si="3"/>
        <v>0.1</v>
      </c>
      <c r="AP27" s="22">
        <f t="shared" si="3"/>
        <v>0</v>
      </c>
      <c r="AQ27" s="23">
        <f t="shared" si="3"/>
        <v>0.2</v>
      </c>
      <c r="AR27" s="22">
        <f t="shared" si="3"/>
        <v>0.3</v>
      </c>
      <c r="AS27" s="22">
        <f t="shared" si="3"/>
        <v>1</v>
      </c>
      <c r="AT27" s="2"/>
    </row>
    <row r="28" spans="1:46" x14ac:dyDescent="0.25">
      <c r="A28">
        <f t="shared" ref="A28:A43" si="4">A4</f>
        <v>2000</v>
      </c>
      <c r="B28" s="2">
        <f>B27*(1+(B4/100))</f>
        <v>18188</v>
      </c>
      <c r="C28" s="2">
        <f>C27*(1+(C4/100))</f>
        <v>0</v>
      </c>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O28">
        <f>A28</f>
        <v>2000</v>
      </c>
      <c r="P28" s="6">
        <f t="shared" ref="P28:U40" si="5">B28/$I28</f>
        <v>0.17860211537649517</v>
      </c>
      <c r="Q28" s="6"/>
      <c r="R28" s="6">
        <f t="shared" ref="R28:U38" si="6">D28/$I28</f>
        <v>0.23193921950443508</v>
      </c>
      <c r="S28" s="6">
        <f t="shared" si="6"/>
        <v>9.5580805477079159E-2</v>
      </c>
      <c r="T28" s="6"/>
      <c r="U28" s="6">
        <f t="shared" si="6"/>
        <v>0.16573035087047419</v>
      </c>
      <c r="V28" s="6">
        <f t="shared" ref="V28:V40" si="7">H28/$I28</f>
        <v>0.32814750877151633</v>
      </c>
      <c r="W28" s="6">
        <f>SUM(P28:V28)</f>
        <v>0.99999999999999989</v>
      </c>
      <c r="X28" s="7">
        <f>SUM(P28:U28)</f>
        <v>0.67185249122848356</v>
      </c>
      <c r="Y28" s="7">
        <f>W28-(X28+V28)</f>
        <v>0</v>
      </c>
      <c r="AA28">
        <f>O28</f>
        <v>2000</v>
      </c>
      <c r="AB28" s="1" t="b">
        <f t="shared" ref="AB28:AB38" si="8">AND((B28/$I28)&gt;0.15,(B28/$I28)&lt;0.25)</f>
        <v>1</v>
      </c>
      <c r="AD28" s="1" t="b">
        <f t="shared" ref="AD28:AD38" si="9">AND((D28/$I28)&gt;0.15,(D28/$I28)&lt;0.25)</f>
        <v>1</v>
      </c>
      <c r="AE28" s="1" t="b">
        <f t="shared" ref="AE28:AE38" si="10">AND((E28/$I28)&gt;0.05,(E28/$I28)&lt;0.15)</f>
        <v>1</v>
      </c>
      <c r="AG28" s="1" t="b">
        <f t="shared" ref="AG28:AG38" si="11">AND((G28/$I28)&gt;0.15,(G28/$I28)&lt;0.25)</f>
        <v>1</v>
      </c>
      <c r="AH28" s="1" t="b">
        <f t="shared" ref="AH28:AH38" si="12">AND((H28/$I28)&gt;0.25,(H28/$I28)&lt;0.35)</f>
        <v>1</v>
      </c>
      <c r="AI28" s="1" t="b">
        <f>AND((I28/$I28)&gt;0.999,(I28/$I28)&lt;1.01)</f>
        <v>1</v>
      </c>
      <c r="AK28">
        <f>A28</f>
        <v>2000</v>
      </c>
      <c r="AL28" s="2">
        <f>B28</f>
        <v>18188</v>
      </c>
      <c r="AM28" s="2"/>
      <c r="AN28" s="2">
        <f>D28</f>
        <v>23619.599999999999</v>
      </c>
      <c r="AO28" s="2">
        <f>E28</f>
        <v>9733.5</v>
      </c>
      <c r="AP28" s="2"/>
      <c r="AQ28" s="2">
        <f>G28</f>
        <v>16877.2</v>
      </c>
      <c r="AR28" s="2">
        <f t="shared" ref="AR28" si="13">H28</f>
        <v>33417</v>
      </c>
      <c r="AS28" s="2">
        <f>I28</f>
        <v>101835.3</v>
      </c>
      <c r="AT28" s="2">
        <f>(SUM(AL28:AR28))-AS28</f>
        <v>0</v>
      </c>
    </row>
    <row r="29" spans="1:46" x14ac:dyDescent="0.25">
      <c r="A29">
        <f t="shared" si="4"/>
        <v>2001</v>
      </c>
      <c r="B29" s="2">
        <f t="shared" ref="B29:B40" si="14">AL28*(1+(B5/100))</f>
        <v>16001.8024</v>
      </c>
      <c r="C29" s="2">
        <f t="shared" ref="C29:C40" si="15">AM28*(1+(C5/100))</f>
        <v>0</v>
      </c>
      <c r="D29" s="2">
        <f t="shared" ref="D29:D40" si="16">AN28*(1+(D5/100))</f>
        <v>23501.738195999998</v>
      </c>
      <c r="E29" s="2">
        <f t="shared" ref="E29:E40" si="17">AO28*(1+(E5/100))</f>
        <v>10035.238499999999</v>
      </c>
      <c r="F29" s="2"/>
      <c r="G29" s="2">
        <f t="shared" ref="G29:G40" si="18">AQ28*(1+(G5/100))</f>
        <v>13475.937884000001</v>
      </c>
      <c r="H29" s="2">
        <f t="shared" ref="H29:H40" si="19">AR28*(1+(H5/100))</f>
        <v>36234.053100000005</v>
      </c>
      <c r="I29" s="2">
        <f t="shared" ref="I29:I40" si="20">SUM(B29:H29)</f>
        <v>99248.770080000002</v>
      </c>
      <c r="J29" s="2">
        <f t="shared" ref="J29:J40" si="21">I29-I28</f>
        <v>-2586.5299200000009</v>
      </c>
      <c r="K29" s="6">
        <f t="shared" ref="K29:K40" si="22">(J29/I28)</f>
        <v>-2.5399148625280241E-2</v>
      </c>
      <c r="L29" s="7">
        <f t="shared" ref="L29:L40" si="23">K29+1</f>
        <v>0.97460085137471975</v>
      </c>
      <c r="O29">
        <f t="shared" ref="O29:O40" si="24">A29</f>
        <v>2001</v>
      </c>
      <c r="P29" s="6">
        <f t="shared" si="5"/>
        <v>0.16122922618690047</v>
      </c>
      <c r="Q29" s="6"/>
      <c r="R29" s="6">
        <f t="shared" si="6"/>
        <v>0.2367962663623569</v>
      </c>
      <c r="S29" s="6">
        <f t="shared" si="6"/>
        <v>0.10111196835901384</v>
      </c>
      <c r="T29" s="6"/>
      <c r="U29" s="57">
        <f t="shared" si="6"/>
        <v>0.13577939427498847</v>
      </c>
      <c r="V29" s="57">
        <f t="shared" si="7"/>
        <v>0.36508314481674031</v>
      </c>
      <c r="W29" s="6">
        <f t="shared" ref="W29:W40" si="25">SUM(P29:V29)</f>
        <v>0.99999999999999989</v>
      </c>
      <c r="X29" s="7">
        <f t="shared" ref="X29:X40" si="26">SUM(P29:U29)</f>
        <v>0.63491685518325958</v>
      </c>
      <c r="Y29" s="7">
        <f t="shared" ref="Y29:Y40" si="27">W29-(X29+V29)</f>
        <v>0</v>
      </c>
      <c r="AA29">
        <f t="shared" ref="AA29:AA40" si="28">O29</f>
        <v>2001</v>
      </c>
      <c r="AB29" s="1" t="b">
        <f t="shared" si="8"/>
        <v>1</v>
      </c>
      <c r="AD29" s="1" t="b">
        <f t="shared" si="9"/>
        <v>1</v>
      </c>
      <c r="AE29" s="1" t="b">
        <f t="shared" si="10"/>
        <v>1</v>
      </c>
      <c r="AG29" s="35" t="b">
        <f t="shared" si="11"/>
        <v>0</v>
      </c>
      <c r="AH29" s="35" t="b">
        <f t="shared" si="12"/>
        <v>0</v>
      </c>
      <c r="AI29" s="1" t="b">
        <f t="shared" ref="AI29:AI40" si="29">AND((I29/$I29)&gt;0.999,(I29/$I29)&lt;1.01)</f>
        <v>1</v>
      </c>
      <c r="AK29">
        <f t="shared" ref="AK29:AK40" si="30">A29</f>
        <v>2001</v>
      </c>
      <c r="AL29" s="36">
        <f>AL$27*$AS29</f>
        <v>19849.754016000003</v>
      </c>
      <c r="AM29" s="2"/>
      <c r="AN29" s="36">
        <f>AN$27*$AS29</f>
        <v>19849.754016000003</v>
      </c>
      <c r="AO29" s="36">
        <f>AO$27*$AS29</f>
        <v>9924.8770080000013</v>
      </c>
      <c r="AP29" s="2"/>
      <c r="AQ29" s="36">
        <f>AQ$27*$AS29</f>
        <v>19849.754016000003</v>
      </c>
      <c r="AR29" s="36">
        <f>AR$27*$AS29</f>
        <v>29774.631023999998</v>
      </c>
      <c r="AS29" s="2">
        <f t="shared" ref="AS29:AS31" si="31">I29</f>
        <v>99248.770080000002</v>
      </c>
      <c r="AT29" s="2">
        <f t="shared" ref="AT29:AT40" si="32">(SUM(AL29:AR29))-AS29</f>
        <v>0</v>
      </c>
    </row>
    <row r="30" spans="1:46" x14ac:dyDescent="0.25">
      <c r="A30">
        <f t="shared" si="4"/>
        <v>2002</v>
      </c>
      <c r="B30" s="2">
        <f t="shared" si="14"/>
        <v>15453.033501456001</v>
      </c>
      <c r="C30" s="2">
        <f t="shared" si="15"/>
        <v>0</v>
      </c>
      <c r="D30" s="2">
        <f t="shared" si="16"/>
        <v>16950.101949342723</v>
      </c>
      <c r="E30" s="2">
        <f t="shared" si="17"/>
        <v>7937.7181334582419</v>
      </c>
      <c r="F30" s="2"/>
      <c r="G30" s="2">
        <f t="shared" si="18"/>
        <v>16855.815617766722</v>
      </c>
      <c r="H30" s="2">
        <f t="shared" si="19"/>
        <v>32234.015546582399</v>
      </c>
      <c r="I30" s="2">
        <f t="shared" ref="I30:I36" si="33">SUM(B30:H30)</f>
        <v>89430.684748606087</v>
      </c>
      <c r="J30" s="2">
        <f t="shared" si="21"/>
        <v>-9818.0853313939151</v>
      </c>
      <c r="K30" s="6">
        <f t="shared" si="22"/>
        <v>-9.8923999999999943E-2</v>
      </c>
      <c r="L30" s="7">
        <f t="shared" si="23"/>
        <v>0.9010760000000001</v>
      </c>
      <c r="O30">
        <f t="shared" si="24"/>
        <v>2002</v>
      </c>
      <c r="P30" s="6">
        <f t="shared" si="5"/>
        <v>0.17279341587169117</v>
      </c>
      <c r="Q30" s="6"/>
      <c r="R30" s="6">
        <f t="shared" si="6"/>
        <v>0.18953340228793134</v>
      </c>
      <c r="S30" s="6">
        <f t="shared" si="6"/>
        <v>8.8758328931188943E-2</v>
      </c>
      <c r="T30" s="6"/>
      <c r="U30" s="6">
        <f t="shared" si="5"/>
        <v>0.18847910720072447</v>
      </c>
      <c r="V30" s="6">
        <f t="shared" si="7"/>
        <v>0.36043574570846404</v>
      </c>
      <c r="W30" s="6">
        <f t="shared" si="25"/>
        <v>1</v>
      </c>
      <c r="X30" s="7">
        <f t="shared" si="26"/>
        <v>0.63956425429153596</v>
      </c>
      <c r="Y30" s="7">
        <f t="shared" si="27"/>
        <v>0</v>
      </c>
      <c r="AA30">
        <f t="shared" si="28"/>
        <v>2002</v>
      </c>
      <c r="AB30" s="1" t="b">
        <f t="shared" si="8"/>
        <v>1</v>
      </c>
      <c r="AD30" s="1" t="b">
        <f t="shared" si="9"/>
        <v>1</v>
      </c>
      <c r="AE30" s="1" t="b">
        <f t="shared" si="10"/>
        <v>1</v>
      </c>
      <c r="AG30" s="1" t="b">
        <f t="shared" si="11"/>
        <v>1</v>
      </c>
      <c r="AH30" s="1" t="b">
        <f t="shared" si="12"/>
        <v>0</v>
      </c>
      <c r="AI30" s="1" t="b">
        <f t="shared" si="29"/>
        <v>1</v>
      </c>
      <c r="AK30">
        <f t="shared" si="30"/>
        <v>2002</v>
      </c>
      <c r="AL30" s="2">
        <f t="shared" ref="AL30:AL31" si="34">B30</f>
        <v>15453.033501456001</v>
      </c>
      <c r="AM30" s="2"/>
      <c r="AN30" s="2">
        <f t="shared" ref="AN30:AN31" si="35">D30</f>
        <v>16950.101949342723</v>
      </c>
      <c r="AO30" s="2">
        <f t="shared" ref="AO30:AO31" si="36">E30</f>
        <v>7937.7181334582419</v>
      </c>
      <c r="AP30" s="2"/>
      <c r="AQ30" s="2">
        <f t="shared" ref="AQ30:AQ31" si="37">G30</f>
        <v>16855.815617766722</v>
      </c>
      <c r="AR30" s="2">
        <f t="shared" ref="AR30:AR31" si="38">H30</f>
        <v>32234.015546582399</v>
      </c>
      <c r="AS30" s="2">
        <f t="shared" si="31"/>
        <v>89430.684748606087</v>
      </c>
      <c r="AT30" s="2">
        <f t="shared" si="32"/>
        <v>0</v>
      </c>
    </row>
    <row r="31" spans="1:46" x14ac:dyDescent="0.25">
      <c r="A31">
        <f t="shared" si="4"/>
        <v>2003</v>
      </c>
      <c r="B31" s="2">
        <f t="shared" si="14"/>
        <v>19857.148049370961</v>
      </c>
      <c r="C31" s="2">
        <f t="shared" si="15"/>
        <v>0</v>
      </c>
      <c r="D31" s="2">
        <f t="shared" si="16"/>
        <v>22737.205756887317</v>
      </c>
      <c r="E31" s="2">
        <f t="shared" si="17"/>
        <v>11559.540163392569</v>
      </c>
      <c r="F31" s="2"/>
      <c r="G31" s="2">
        <f t="shared" si="18"/>
        <v>23655.45163797382</v>
      </c>
      <c r="H31" s="2">
        <f t="shared" si="19"/>
        <v>33513.705963781722</v>
      </c>
      <c r="I31" s="2">
        <f t="shared" si="33"/>
        <v>111323.05157140639</v>
      </c>
      <c r="J31" s="2">
        <f t="shared" si="21"/>
        <v>21892.366822800308</v>
      </c>
      <c r="K31" s="6">
        <f t="shared" si="22"/>
        <v>0.2447970390066988</v>
      </c>
      <c r="L31" s="7">
        <f t="shared" si="23"/>
        <v>1.2447970390066989</v>
      </c>
      <c r="O31">
        <f t="shared" si="24"/>
        <v>2003</v>
      </c>
      <c r="P31" s="6">
        <f t="shared" si="5"/>
        <v>0.17837409026318246</v>
      </c>
      <c r="Q31" s="6"/>
      <c r="R31" s="6">
        <f t="shared" si="6"/>
        <v>0.20424526129974885</v>
      </c>
      <c r="S31" s="6">
        <f t="shared" si="6"/>
        <v>0.10383779460067968</v>
      </c>
      <c r="T31" s="6"/>
      <c r="U31" s="6">
        <f t="shared" si="5"/>
        <v>0.21249374055112394</v>
      </c>
      <c r="V31" s="6">
        <f t="shared" si="7"/>
        <v>0.30104911328526501</v>
      </c>
      <c r="W31" s="6">
        <f t="shared" si="25"/>
        <v>1</v>
      </c>
      <c r="X31" s="7">
        <f t="shared" si="26"/>
        <v>0.69895088671473493</v>
      </c>
      <c r="Y31" s="7">
        <f t="shared" si="27"/>
        <v>0</v>
      </c>
      <c r="AA31">
        <f t="shared" si="28"/>
        <v>2003</v>
      </c>
      <c r="AB31" s="1" t="b">
        <f t="shared" si="8"/>
        <v>1</v>
      </c>
      <c r="AD31" s="1" t="b">
        <f t="shared" si="9"/>
        <v>1</v>
      </c>
      <c r="AE31" s="1" t="b">
        <f t="shared" si="10"/>
        <v>1</v>
      </c>
      <c r="AG31" s="1" t="b">
        <f t="shared" si="11"/>
        <v>1</v>
      </c>
      <c r="AH31" s="1" t="b">
        <f t="shared" si="12"/>
        <v>1</v>
      </c>
      <c r="AI31" s="1" t="b">
        <f t="shared" si="29"/>
        <v>1</v>
      </c>
      <c r="AK31">
        <f t="shared" si="30"/>
        <v>2003</v>
      </c>
      <c r="AL31" s="2">
        <f t="shared" si="34"/>
        <v>19857.148049370961</v>
      </c>
      <c r="AM31" s="2"/>
      <c r="AN31" s="2">
        <f t="shared" si="35"/>
        <v>22737.205756887317</v>
      </c>
      <c r="AO31" s="2">
        <f t="shared" si="36"/>
        <v>11559.540163392569</v>
      </c>
      <c r="AP31" s="2"/>
      <c r="AQ31" s="2">
        <f t="shared" si="37"/>
        <v>23655.45163797382</v>
      </c>
      <c r="AR31" s="2">
        <f t="shared" si="38"/>
        <v>33513.705963781722</v>
      </c>
      <c r="AS31" s="2">
        <f t="shared" si="31"/>
        <v>111323.05157140639</v>
      </c>
      <c r="AT31" s="2">
        <f t="shared" si="32"/>
        <v>0</v>
      </c>
    </row>
    <row r="32" spans="1:46" x14ac:dyDescent="0.25">
      <c r="A32">
        <f t="shared" si="4"/>
        <v>2004</v>
      </c>
      <c r="B32" s="2">
        <f t="shared" si="14"/>
        <v>21989.805749873402</v>
      </c>
      <c r="C32" s="2">
        <f t="shared" si="15"/>
        <v>0</v>
      </c>
      <c r="D32" s="2">
        <f t="shared" si="16"/>
        <v>27364.909244586594</v>
      </c>
      <c r="E32" s="2">
        <f t="shared" si="17"/>
        <v>13859.541869702789</v>
      </c>
      <c r="F32" s="2"/>
      <c r="G32" s="2">
        <f t="shared" si="18"/>
        <v>28584.538095778422</v>
      </c>
      <c r="H32" s="2">
        <f t="shared" si="19"/>
        <v>34934.68709664607</v>
      </c>
      <c r="I32" s="2">
        <f t="shared" si="33"/>
        <v>126733.48205658728</v>
      </c>
      <c r="J32" s="2">
        <f t="shared" si="21"/>
        <v>15410.430485180885</v>
      </c>
      <c r="K32" s="6">
        <f t="shared" si="22"/>
        <v>0.13842982444023383</v>
      </c>
      <c r="L32" s="7">
        <f t="shared" si="23"/>
        <v>1.1384298244402338</v>
      </c>
      <c r="O32">
        <f t="shared" si="24"/>
        <v>2004</v>
      </c>
      <c r="P32" s="6">
        <f t="shared" si="5"/>
        <v>0.17351220366575912</v>
      </c>
      <c r="Q32" s="6"/>
      <c r="R32" s="6">
        <f t="shared" si="6"/>
        <v>0.2159248590074089</v>
      </c>
      <c r="S32" s="6">
        <f t="shared" si="6"/>
        <v>0.10935974964780355</v>
      </c>
      <c r="T32" s="56"/>
      <c r="U32" s="6">
        <f t="shared" si="5"/>
        <v>0.22554843149512177</v>
      </c>
      <c r="V32" s="6">
        <f t="shared" si="7"/>
        <v>0.27565475618390661</v>
      </c>
      <c r="W32" s="6">
        <f t="shared" si="25"/>
        <v>1</v>
      </c>
      <c r="X32" s="7">
        <f t="shared" si="26"/>
        <v>0.72434524381609333</v>
      </c>
      <c r="Y32" s="7">
        <f t="shared" si="27"/>
        <v>0</v>
      </c>
      <c r="AA32">
        <f t="shared" si="28"/>
        <v>2004</v>
      </c>
      <c r="AB32" s="1" t="b">
        <f t="shared" si="8"/>
        <v>1</v>
      </c>
      <c r="AD32" s="1" t="b">
        <f t="shared" si="9"/>
        <v>1</v>
      </c>
      <c r="AE32" s="1" t="b">
        <f t="shared" si="10"/>
        <v>1</v>
      </c>
      <c r="AG32" s="1" t="b">
        <f t="shared" si="11"/>
        <v>1</v>
      </c>
      <c r="AH32" s="1" t="b">
        <f t="shared" si="12"/>
        <v>1</v>
      </c>
      <c r="AI32" s="1" t="b">
        <f t="shared" si="29"/>
        <v>1</v>
      </c>
      <c r="AK32">
        <f t="shared" si="30"/>
        <v>2004</v>
      </c>
      <c r="AL32" s="2">
        <f t="shared" ref="AL32:AL40" si="39">B32</f>
        <v>21989.805749873402</v>
      </c>
      <c r="AM32" s="2"/>
      <c r="AN32" s="2">
        <f t="shared" ref="AN32:AN40" si="40">D32</f>
        <v>27364.909244586594</v>
      </c>
      <c r="AO32" s="2">
        <f t="shared" ref="AO32:AO40" si="41">E32</f>
        <v>13859.541869702789</v>
      </c>
      <c r="AP32" s="2"/>
      <c r="AQ32" s="2">
        <f t="shared" ref="AQ32:AQ40" si="42">G32</f>
        <v>28584.538095778422</v>
      </c>
      <c r="AR32" s="2">
        <f t="shared" ref="AR32:AR40" si="43">H32</f>
        <v>34934.68709664607</v>
      </c>
      <c r="AS32" s="2">
        <f t="shared" ref="AS32:AS40" si="44">I32</f>
        <v>126733.48205658728</v>
      </c>
      <c r="AT32" s="2">
        <f t="shared" si="32"/>
        <v>0</v>
      </c>
    </row>
    <row r="33" spans="1:47" x14ac:dyDescent="0.25">
      <c r="A33">
        <f t="shared" si="4"/>
        <v>2005</v>
      </c>
      <c r="B33" s="2">
        <f t="shared" si="14"/>
        <v>23038.719484142366</v>
      </c>
      <c r="C33" s="2">
        <f t="shared" si="15"/>
        <v>0</v>
      </c>
      <c r="D33" s="2">
        <f t="shared" si="16"/>
        <v>31177.114751449953</v>
      </c>
      <c r="E33" s="2">
        <f t="shared" si="17"/>
        <v>14880.019937569006</v>
      </c>
      <c r="F33" s="2"/>
      <c r="G33" s="2">
        <f t="shared" si="18"/>
        <v>33035.436522672084</v>
      </c>
      <c r="H33" s="2">
        <f t="shared" si="19"/>
        <v>35773.119586965578</v>
      </c>
      <c r="I33" s="2">
        <f t="shared" ref="I33" si="45">SUM(B33:H33)</f>
        <v>137904.41028279898</v>
      </c>
      <c r="J33" s="2">
        <f t="shared" si="21"/>
        <v>11170.928226211705</v>
      </c>
      <c r="K33" s="6">
        <f t="shared" si="22"/>
        <v>8.8145043006265827E-2</v>
      </c>
      <c r="L33" s="7">
        <f t="shared" si="23"/>
        <v>1.0881450430062658</v>
      </c>
      <c r="O33">
        <f t="shared" si="24"/>
        <v>2005</v>
      </c>
      <c r="P33" s="6">
        <f t="shared" si="5"/>
        <v>0.16706296366372278</v>
      </c>
      <c r="Q33" s="6"/>
      <c r="R33" s="6">
        <f t="shared" si="6"/>
        <v>0.22607772070171941</v>
      </c>
      <c r="S33" s="6">
        <f t="shared" si="6"/>
        <v>0.10790097218105441</v>
      </c>
      <c r="T33" s="56"/>
      <c r="U33" s="6">
        <f t="shared" si="5"/>
        <v>0.23955315464477672</v>
      </c>
      <c r="V33" s="6">
        <f t="shared" si="7"/>
        <v>0.25940518880872665</v>
      </c>
      <c r="W33" s="6">
        <f t="shared" si="25"/>
        <v>0.99999999999999989</v>
      </c>
      <c r="X33" s="7">
        <f t="shared" si="26"/>
        <v>0.74059481119127324</v>
      </c>
      <c r="Y33" s="7">
        <f t="shared" si="27"/>
        <v>0</v>
      </c>
      <c r="AA33">
        <f t="shared" si="28"/>
        <v>2005</v>
      </c>
      <c r="AB33" s="1" t="b">
        <f t="shared" si="8"/>
        <v>1</v>
      </c>
      <c r="AD33" s="1" t="b">
        <f t="shared" si="9"/>
        <v>1</v>
      </c>
      <c r="AE33" s="1" t="b">
        <f t="shared" si="10"/>
        <v>1</v>
      </c>
      <c r="AG33" s="1" t="b">
        <f t="shared" si="11"/>
        <v>1</v>
      </c>
      <c r="AH33" s="1" t="b">
        <f t="shared" si="12"/>
        <v>1</v>
      </c>
      <c r="AI33" s="1" t="b">
        <f t="shared" si="29"/>
        <v>1</v>
      </c>
      <c r="AK33">
        <f t="shared" si="30"/>
        <v>2005</v>
      </c>
      <c r="AL33" s="2">
        <f t="shared" si="39"/>
        <v>23038.719484142366</v>
      </c>
      <c r="AM33" s="2"/>
      <c r="AN33" s="2">
        <f t="shared" si="40"/>
        <v>31177.114751449953</v>
      </c>
      <c r="AO33" s="2">
        <f t="shared" si="41"/>
        <v>14880.019937569006</v>
      </c>
      <c r="AP33" s="2"/>
      <c r="AQ33" s="2">
        <f t="shared" si="42"/>
        <v>33035.436522672084</v>
      </c>
      <c r="AR33" s="2">
        <f t="shared" si="43"/>
        <v>35773.119586965578</v>
      </c>
      <c r="AS33" s="2">
        <f t="shared" si="44"/>
        <v>137904.41028279898</v>
      </c>
      <c r="AT33" s="2">
        <f t="shared" si="32"/>
        <v>0</v>
      </c>
    </row>
    <row r="34" spans="1:47" x14ac:dyDescent="0.25">
      <c r="A34">
        <f t="shared" si="4"/>
        <v>2006</v>
      </c>
      <c r="B34" s="2">
        <f t="shared" si="14"/>
        <v>26641.975211462235</v>
      </c>
      <c r="C34" s="2">
        <f t="shared" si="15"/>
        <v>0</v>
      </c>
      <c r="D34" s="2">
        <f t="shared" si="16"/>
        <v>35416.2670442046</v>
      </c>
      <c r="E34" s="2">
        <f t="shared" si="17"/>
        <v>17209.63585899481</v>
      </c>
      <c r="F34" s="2"/>
      <c r="G34" s="2">
        <f t="shared" si="18"/>
        <v>41835.085749216247</v>
      </c>
      <c r="H34" s="2">
        <f t="shared" si="19"/>
        <v>37300.631793329005</v>
      </c>
      <c r="I34" s="2">
        <f t="shared" si="33"/>
        <v>158403.5956572069</v>
      </c>
      <c r="J34" s="2">
        <f t="shared" si="21"/>
        <v>20499.185374407913</v>
      </c>
      <c r="K34" s="6">
        <f t="shared" si="22"/>
        <v>0.14864778677034671</v>
      </c>
      <c r="L34" s="7">
        <f t="shared" si="23"/>
        <v>1.1486477867703466</v>
      </c>
      <c r="O34">
        <f t="shared" si="24"/>
        <v>2006</v>
      </c>
      <c r="P34" s="6">
        <f t="shared" si="5"/>
        <v>0.16819047005168222</v>
      </c>
      <c r="Q34" s="6"/>
      <c r="R34" s="6">
        <f t="shared" si="6"/>
        <v>0.22358246918111083</v>
      </c>
      <c r="S34" s="6">
        <f t="shared" si="6"/>
        <v>0.10864422482073767</v>
      </c>
      <c r="T34" s="6"/>
      <c r="U34" s="57">
        <f t="shared" si="5"/>
        <v>0.26410439469915453</v>
      </c>
      <c r="V34" s="57">
        <f t="shared" si="7"/>
        <v>0.23547844124731479</v>
      </c>
      <c r="W34" s="6">
        <f t="shared" si="25"/>
        <v>1</v>
      </c>
      <c r="X34" s="7">
        <f t="shared" si="26"/>
        <v>0.76452155875268524</v>
      </c>
      <c r="Y34" s="7">
        <f t="shared" si="27"/>
        <v>0</v>
      </c>
      <c r="AA34">
        <f t="shared" si="28"/>
        <v>2006</v>
      </c>
      <c r="AB34" s="1" t="b">
        <f t="shared" si="8"/>
        <v>1</v>
      </c>
      <c r="AD34" s="1" t="b">
        <f t="shared" si="9"/>
        <v>1</v>
      </c>
      <c r="AE34" s="1" t="b">
        <f t="shared" si="10"/>
        <v>1</v>
      </c>
      <c r="AG34" s="35" t="b">
        <f t="shared" si="11"/>
        <v>0</v>
      </c>
      <c r="AH34" s="35" t="b">
        <f t="shared" si="12"/>
        <v>0</v>
      </c>
      <c r="AI34" s="1" t="b">
        <f t="shared" si="29"/>
        <v>1</v>
      </c>
      <c r="AK34">
        <f t="shared" si="30"/>
        <v>2006</v>
      </c>
      <c r="AL34" s="36">
        <f>AL$27*$AS34</f>
        <v>31680.719131441379</v>
      </c>
      <c r="AM34" s="2"/>
      <c r="AN34" s="36">
        <f>AN$27*$AS34</f>
        <v>31680.719131441379</v>
      </c>
      <c r="AO34" s="36">
        <f>AO$27*$AS34</f>
        <v>15840.35956572069</v>
      </c>
      <c r="AP34" s="2"/>
      <c r="AQ34" s="36">
        <f>AQ$27*$AS34</f>
        <v>31680.719131441379</v>
      </c>
      <c r="AR34" s="36">
        <f>AR$27*$AS34</f>
        <v>47521.078697162069</v>
      </c>
      <c r="AS34" s="2">
        <f t="shared" si="44"/>
        <v>158403.5956572069</v>
      </c>
      <c r="AT34" s="2">
        <f t="shared" si="32"/>
        <v>0</v>
      </c>
    </row>
    <row r="35" spans="1:47" x14ac:dyDescent="0.25">
      <c r="A35">
        <f t="shared" si="4"/>
        <v>2007</v>
      </c>
      <c r="B35" s="2">
        <f t="shared" si="14"/>
        <v>33388.309892626072</v>
      </c>
      <c r="C35" s="2">
        <f t="shared" si="15"/>
        <v>0</v>
      </c>
      <c r="D35" s="2">
        <f t="shared" si="16"/>
        <v>33588.215230345471</v>
      </c>
      <c r="E35" s="2">
        <f t="shared" si="17"/>
        <v>16023.47412230042</v>
      </c>
      <c r="F35" s="2"/>
      <c r="G35" s="2">
        <f t="shared" si="18"/>
        <v>36598.200355023706</v>
      </c>
      <c r="H35" s="2">
        <f t="shared" si="19"/>
        <v>50809.537343005679</v>
      </c>
      <c r="I35" s="2">
        <f t="shared" si="33"/>
        <v>170407.73694330134</v>
      </c>
      <c r="J35" s="2">
        <f t="shared" si="21"/>
        <v>12004.14128609444</v>
      </c>
      <c r="K35" s="6">
        <f t="shared" si="22"/>
        <v>7.5781999999999919E-2</v>
      </c>
      <c r="L35" s="7">
        <f t="shared" si="23"/>
        <v>1.075782</v>
      </c>
      <c r="O35">
        <f t="shared" si="24"/>
        <v>2007</v>
      </c>
      <c r="P35" s="6">
        <f t="shared" si="5"/>
        <v>0.19593188954639512</v>
      </c>
      <c r="Q35" s="6"/>
      <c r="R35" s="6">
        <f t="shared" si="6"/>
        <v>0.19710498967262891</v>
      </c>
      <c r="S35" s="6">
        <f t="shared" si="6"/>
        <v>9.4030203145246904E-2</v>
      </c>
      <c r="T35" s="6"/>
      <c r="U35" s="6">
        <f t="shared" si="5"/>
        <v>0.21476841962405022</v>
      </c>
      <c r="V35" s="6">
        <f t="shared" si="7"/>
        <v>0.29816449801167894</v>
      </c>
      <c r="W35" s="6">
        <f t="shared" si="25"/>
        <v>1</v>
      </c>
      <c r="X35" s="7">
        <f t="shared" si="26"/>
        <v>0.70183550198832112</v>
      </c>
      <c r="Y35" s="7">
        <f t="shared" si="27"/>
        <v>0</v>
      </c>
      <c r="AA35">
        <f t="shared" si="28"/>
        <v>2007</v>
      </c>
      <c r="AB35" s="1" t="b">
        <f t="shared" si="8"/>
        <v>1</v>
      </c>
      <c r="AD35" s="1" t="b">
        <f t="shared" si="9"/>
        <v>1</v>
      </c>
      <c r="AE35" s="1" t="b">
        <f t="shared" si="10"/>
        <v>1</v>
      </c>
      <c r="AG35" s="1" t="b">
        <f t="shared" si="11"/>
        <v>1</v>
      </c>
      <c r="AH35" s="1" t="b">
        <f t="shared" si="12"/>
        <v>1</v>
      </c>
      <c r="AI35" s="1" t="b">
        <f t="shared" si="29"/>
        <v>1</v>
      </c>
      <c r="AK35">
        <f t="shared" si="30"/>
        <v>2007</v>
      </c>
      <c r="AL35" s="2">
        <f t="shared" si="39"/>
        <v>33388.309892626072</v>
      </c>
      <c r="AM35" s="2"/>
      <c r="AN35" s="2">
        <f t="shared" si="40"/>
        <v>33588.215230345471</v>
      </c>
      <c r="AO35" s="2">
        <f t="shared" si="41"/>
        <v>16023.47412230042</v>
      </c>
      <c r="AP35" s="2"/>
      <c r="AQ35" s="2">
        <f t="shared" si="42"/>
        <v>36598.200355023706</v>
      </c>
      <c r="AR35" s="2">
        <f t="shared" si="43"/>
        <v>50809.537343005679</v>
      </c>
      <c r="AS35" s="2">
        <f t="shared" si="44"/>
        <v>170407.73694330134</v>
      </c>
      <c r="AT35" s="2">
        <f t="shared" si="32"/>
        <v>0</v>
      </c>
    </row>
    <row r="36" spans="1:47" x14ac:dyDescent="0.25">
      <c r="A36">
        <f t="shared" si="4"/>
        <v>2008</v>
      </c>
      <c r="B36" s="2">
        <f t="shared" si="14"/>
        <v>21027.957570375896</v>
      </c>
      <c r="C36" s="2">
        <f t="shared" si="15"/>
        <v>0</v>
      </c>
      <c r="D36" s="2">
        <f t="shared" si="16"/>
        <v>19540.280092405785</v>
      </c>
      <c r="E36" s="2">
        <f t="shared" si="17"/>
        <v>10243.807006386658</v>
      </c>
      <c r="F36" s="2"/>
      <c r="G36" s="2">
        <f t="shared" si="18"/>
        <v>20458.0280164547</v>
      </c>
      <c r="H36" s="2">
        <f t="shared" si="19"/>
        <v>53375.418978827467</v>
      </c>
      <c r="I36" s="2">
        <f t="shared" si="33"/>
        <v>124645.49166445051</v>
      </c>
      <c r="J36" s="2">
        <f t="shared" si="21"/>
        <v>-45762.245278850824</v>
      </c>
      <c r="K36" s="6">
        <f t="shared" si="22"/>
        <v>-0.26854558425405883</v>
      </c>
      <c r="L36" s="7">
        <f t="shared" si="23"/>
        <v>0.73145441574594117</v>
      </c>
      <c r="O36">
        <f t="shared" si="24"/>
        <v>2008</v>
      </c>
      <c r="P36" s="6">
        <f t="shared" si="5"/>
        <v>0.16870211099960039</v>
      </c>
      <c r="Q36" s="6"/>
      <c r="R36" s="6">
        <f t="shared" si="6"/>
        <v>0.1567668419569383</v>
      </c>
      <c r="S36" s="6">
        <f t="shared" si="6"/>
        <v>8.2183534033972924E-2</v>
      </c>
      <c r="T36" s="6"/>
      <c r="U36" s="6">
        <f t="shared" si="5"/>
        <v>0.1641297069253683</v>
      </c>
      <c r="V36" s="57">
        <f t="shared" si="7"/>
        <v>0.42821780608412002</v>
      </c>
      <c r="W36" s="6">
        <f t="shared" si="25"/>
        <v>1</v>
      </c>
      <c r="X36" s="7">
        <f t="shared" si="26"/>
        <v>0.57178219391587992</v>
      </c>
      <c r="Y36" s="7">
        <f t="shared" si="27"/>
        <v>0</v>
      </c>
      <c r="AA36">
        <f t="shared" si="28"/>
        <v>2008</v>
      </c>
      <c r="AB36" s="1" t="b">
        <f t="shared" si="8"/>
        <v>1</v>
      </c>
      <c r="AD36" s="1" t="b">
        <f t="shared" si="9"/>
        <v>1</v>
      </c>
      <c r="AE36" s="1" t="b">
        <f t="shared" si="10"/>
        <v>1</v>
      </c>
      <c r="AG36" s="1" t="b">
        <f t="shared" si="11"/>
        <v>1</v>
      </c>
      <c r="AH36" s="35" t="b">
        <f t="shared" si="12"/>
        <v>0</v>
      </c>
      <c r="AI36" s="1" t="b">
        <f t="shared" si="29"/>
        <v>1</v>
      </c>
      <c r="AK36">
        <f t="shared" si="30"/>
        <v>2008</v>
      </c>
      <c r="AL36" s="36">
        <f>AL$27*$AS36</f>
        <v>24929.098332890106</v>
      </c>
      <c r="AM36" s="2"/>
      <c r="AN36" s="36">
        <f>AN$27*$AS36</f>
        <v>24929.098332890106</v>
      </c>
      <c r="AO36" s="36">
        <f>AO$27*$AS36</f>
        <v>12464.549166445053</v>
      </c>
      <c r="AP36" s="2"/>
      <c r="AQ36" s="36">
        <f>AQ$27*$AS36</f>
        <v>24929.098332890106</v>
      </c>
      <c r="AR36" s="36">
        <f>AR$27*$AS36</f>
        <v>37393.647499335151</v>
      </c>
      <c r="AS36" s="2">
        <f t="shared" ref="AS36" si="46">I36</f>
        <v>124645.49166445051</v>
      </c>
      <c r="AT36" s="2">
        <f t="shared" si="32"/>
        <v>0</v>
      </c>
    </row>
    <row r="37" spans="1:47" x14ac:dyDescent="0.25">
      <c r="A37">
        <f t="shared" si="4"/>
        <v>2009</v>
      </c>
      <c r="B37" s="2">
        <f t="shared" si="14"/>
        <v>31532.816481272694</v>
      </c>
      <c r="C37" s="2">
        <f t="shared" si="15"/>
        <v>0</v>
      </c>
      <c r="D37" s="2">
        <f t="shared" si="16"/>
        <v>34955.083100411844</v>
      </c>
      <c r="E37" s="2">
        <f t="shared" si="17"/>
        <v>16966.495034381678</v>
      </c>
      <c r="F37" s="2"/>
      <c r="G37" s="2">
        <f t="shared" si="18"/>
        <v>34084.808277610653</v>
      </c>
      <c r="H37" s="2">
        <f t="shared" si="19"/>
        <v>39611.090796045719</v>
      </c>
      <c r="I37" s="2">
        <f t="shared" si="20"/>
        <v>157150.2936897226</v>
      </c>
      <c r="J37" s="2">
        <f t="shared" si="21"/>
        <v>32504.802025272089</v>
      </c>
      <c r="K37" s="6">
        <f t="shared" si="22"/>
        <v>0.26077800000000012</v>
      </c>
      <c r="L37" s="7">
        <f t="shared" si="23"/>
        <v>1.2607780000000002</v>
      </c>
      <c r="O37">
        <f t="shared" si="24"/>
        <v>2009</v>
      </c>
      <c r="P37" s="6">
        <f t="shared" si="5"/>
        <v>0.20065388196811809</v>
      </c>
      <c r="Q37" s="6"/>
      <c r="R37" s="6">
        <f t="shared" si="6"/>
        <v>0.22243091170689841</v>
      </c>
      <c r="S37" s="6">
        <f t="shared" si="6"/>
        <v>0.10796349555591865</v>
      </c>
      <c r="T37" s="6"/>
      <c r="U37" s="6">
        <f t="shared" si="5"/>
        <v>0.21689306126851832</v>
      </c>
      <c r="V37" s="6">
        <f t="shared" si="7"/>
        <v>0.25205864950054641</v>
      </c>
      <c r="W37" s="6">
        <f t="shared" si="25"/>
        <v>0.99999999999999978</v>
      </c>
      <c r="X37" s="7">
        <f t="shared" si="26"/>
        <v>0.74794135049945343</v>
      </c>
      <c r="Y37" s="7">
        <f t="shared" si="27"/>
        <v>0</v>
      </c>
      <c r="AA37">
        <f t="shared" si="28"/>
        <v>2009</v>
      </c>
      <c r="AB37" s="1" t="b">
        <f t="shared" si="8"/>
        <v>1</v>
      </c>
      <c r="AD37" s="1" t="b">
        <f t="shared" si="9"/>
        <v>1</v>
      </c>
      <c r="AE37" s="1" t="b">
        <f t="shared" si="10"/>
        <v>1</v>
      </c>
      <c r="AG37" s="1" t="b">
        <f t="shared" si="11"/>
        <v>1</v>
      </c>
      <c r="AH37" s="1" t="b">
        <f t="shared" si="12"/>
        <v>1</v>
      </c>
      <c r="AI37" s="1" t="b">
        <f t="shared" si="29"/>
        <v>1</v>
      </c>
      <c r="AK37">
        <f t="shared" si="30"/>
        <v>2009</v>
      </c>
      <c r="AL37" s="2">
        <f t="shared" si="39"/>
        <v>31532.816481272694</v>
      </c>
      <c r="AM37" s="2"/>
      <c r="AN37" s="2">
        <f t="shared" si="40"/>
        <v>34955.083100411844</v>
      </c>
      <c r="AO37" s="2">
        <f t="shared" si="41"/>
        <v>16966.495034381678</v>
      </c>
      <c r="AP37" s="2"/>
      <c r="AQ37" s="2">
        <f t="shared" si="42"/>
        <v>34084.808277610653</v>
      </c>
      <c r="AR37" s="2">
        <f t="shared" si="43"/>
        <v>39611.090796045719</v>
      </c>
      <c r="AS37" s="2">
        <f t="shared" si="44"/>
        <v>157150.2936897226</v>
      </c>
      <c r="AT37" s="2">
        <f t="shared" si="32"/>
        <v>0</v>
      </c>
    </row>
    <row r="38" spans="1:47" x14ac:dyDescent="0.25">
      <c r="A38">
        <f t="shared" si="4"/>
        <v>2010</v>
      </c>
      <c r="B38" s="2">
        <f t="shared" si="14"/>
        <v>36234.359418630454</v>
      </c>
      <c r="C38" s="2">
        <f t="shared" si="15"/>
        <v>0</v>
      </c>
      <c r="D38" s="2">
        <f t="shared" si="16"/>
        <v>43854.647257776698</v>
      </c>
      <c r="E38" s="2">
        <f t="shared" si="17"/>
        <v>21669.60745791228</v>
      </c>
      <c r="F38" s="2"/>
      <c r="G38" s="2">
        <f t="shared" si="18"/>
        <v>37875.038958080957</v>
      </c>
      <c r="H38" s="2">
        <f t="shared" si="19"/>
        <v>42154.122825151855</v>
      </c>
      <c r="I38" s="2">
        <f t="shared" si="20"/>
        <v>181787.77591755227</v>
      </c>
      <c r="J38" s="2">
        <f t="shared" si="21"/>
        <v>24637.482227829663</v>
      </c>
      <c r="K38" s="6">
        <f t="shared" si="22"/>
        <v>0.15677655860111778</v>
      </c>
      <c r="L38" s="7">
        <f t="shared" si="23"/>
        <v>1.1567765586011178</v>
      </c>
      <c r="O38">
        <f t="shared" si="24"/>
        <v>2010</v>
      </c>
      <c r="P38" s="56">
        <f t="shared" si="5"/>
        <v>0.19932230996139216</v>
      </c>
      <c r="Q38" s="6"/>
      <c r="R38" s="6">
        <f t="shared" si="6"/>
        <v>0.24124090322589384</v>
      </c>
      <c r="S38" s="6">
        <f t="shared" si="6"/>
        <v>0.11920277559113919</v>
      </c>
      <c r="T38" s="7"/>
      <c r="U38" s="6">
        <f t="shared" si="5"/>
        <v>0.20834755674253225</v>
      </c>
      <c r="V38" s="6">
        <f t="shared" si="7"/>
        <v>0.23188645447904246</v>
      </c>
      <c r="W38" s="6">
        <f t="shared" si="25"/>
        <v>0.99999999999999989</v>
      </c>
      <c r="X38" s="7">
        <f t="shared" si="26"/>
        <v>0.76811354552095745</v>
      </c>
      <c r="Y38" s="7">
        <f t="shared" si="27"/>
        <v>0</v>
      </c>
      <c r="AA38">
        <f t="shared" si="28"/>
        <v>2010</v>
      </c>
      <c r="AB38" s="1" t="b">
        <f t="shared" si="8"/>
        <v>1</v>
      </c>
      <c r="AD38" s="1" t="b">
        <f t="shared" si="9"/>
        <v>1</v>
      </c>
      <c r="AE38" s="1" t="b">
        <f t="shared" si="10"/>
        <v>1</v>
      </c>
      <c r="AG38" s="1" t="b">
        <f t="shared" si="11"/>
        <v>1</v>
      </c>
      <c r="AH38" s="35" t="b">
        <f t="shared" si="12"/>
        <v>0</v>
      </c>
      <c r="AI38" s="1" t="b">
        <f t="shared" si="29"/>
        <v>1</v>
      </c>
      <c r="AK38">
        <f t="shared" si="30"/>
        <v>2010</v>
      </c>
      <c r="AL38" s="36">
        <f>AL$27*$AS38</f>
        <v>36357.555183510456</v>
      </c>
      <c r="AM38" s="2"/>
      <c r="AN38" s="36">
        <f>AN$27*$AS38</f>
        <v>36357.555183510456</v>
      </c>
      <c r="AO38" s="36">
        <f>AO$27*$AS38</f>
        <v>18178.777591755228</v>
      </c>
      <c r="AP38" s="2"/>
      <c r="AQ38" s="36">
        <f>AQ$27*$AS38</f>
        <v>36357.555183510456</v>
      </c>
      <c r="AR38" s="36">
        <f>AR$27*$AS38</f>
        <v>54536.332775265677</v>
      </c>
      <c r="AS38" s="2">
        <f t="shared" si="44"/>
        <v>181787.77591755227</v>
      </c>
      <c r="AT38" s="2">
        <f t="shared" si="32"/>
        <v>0</v>
      </c>
    </row>
    <row r="39" spans="1:47" x14ac:dyDescent="0.25">
      <c r="A39">
        <f t="shared" si="4"/>
        <v>2011</v>
      </c>
      <c r="B39" s="2">
        <f t="shared" si="14"/>
        <v>37073.799020625615</v>
      </c>
      <c r="C39" s="2">
        <f t="shared" si="15"/>
        <v>0</v>
      </c>
      <c r="D39" s="2">
        <f t="shared" si="16"/>
        <v>35590.410769138383</v>
      </c>
      <c r="E39" s="2">
        <f t="shared" si="17"/>
        <v>17669.77181918608</v>
      </c>
      <c r="F39" s="2"/>
      <c r="G39" s="2">
        <f t="shared" si="18"/>
        <v>31063.895148791336</v>
      </c>
      <c r="H39" s="2">
        <f t="shared" si="19"/>
        <v>58659.279533075765</v>
      </c>
      <c r="I39" s="2">
        <f t="shared" si="20"/>
        <v>180057.15629081719</v>
      </c>
      <c r="J39" s="2">
        <f t="shared" si="21"/>
        <v>-1730.6196267350751</v>
      </c>
      <c r="K39" s="6">
        <f t="shared" si="22"/>
        <v>-9.5199999999998758E-3</v>
      </c>
      <c r="L39" s="7">
        <f t="shared" si="23"/>
        <v>0.99048000000000014</v>
      </c>
      <c r="O39">
        <f t="shared" si="24"/>
        <v>2011</v>
      </c>
      <c r="P39" s="6">
        <f t="shared" si="5"/>
        <v>0.20590016961473226</v>
      </c>
      <c r="Q39" s="7"/>
      <c r="R39" s="6">
        <f t="shared" si="5"/>
        <v>0.19766173976253934</v>
      </c>
      <c r="S39" s="6">
        <f t="shared" si="5"/>
        <v>9.8134237945238664E-2</v>
      </c>
      <c r="T39" s="7"/>
      <c r="U39" s="6">
        <f t="shared" si="5"/>
        <v>0.17252241337533317</v>
      </c>
      <c r="V39" s="6">
        <f t="shared" si="7"/>
        <v>0.32578143930215647</v>
      </c>
      <c r="W39" s="6">
        <f t="shared" si="25"/>
        <v>0.99999999999999978</v>
      </c>
      <c r="X39" s="7">
        <f t="shared" si="26"/>
        <v>0.67421856069784336</v>
      </c>
      <c r="Y39" s="7">
        <f t="shared" si="27"/>
        <v>0</v>
      </c>
      <c r="AA39">
        <f t="shared" si="28"/>
        <v>2011</v>
      </c>
      <c r="AB39" s="1" t="b">
        <f t="shared" ref="AB39:AB40" si="47">AND((B39/$I39)&gt;0.15,(B39/$I39)&lt;0.25)</f>
        <v>1</v>
      </c>
      <c r="AD39" s="1" t="b">
        <f>AND((D39/$I39)&gt;0.15,(D39/$I39)&lt;0.25)</f>
        <v>1</v>
      </c>
      <c r="AE39" s="1" t="b">
        <f>AND((E39/$I39)&gt;0.05,(E39/$I39)&lt;0.15)</f>
        <v>1</v>
      </c>
      <c r="AG39" s="1" t="b">
        <f t="shared" ref="AG39:AG40" si="48">AND((G39/$I39)&gt;0.15,(G39/$I39)&lt;0.25)</f>
        <v>1</v>
      </c>
      <c r="AH39" s="1" t="b">
        <f t="shared" ref="AH39:AH40" si="49">AND((H39/$I39)&gt;0.25,(H39/$I39)&lt;0.35)</f>
        <v>1</v>
      </c>
      <c r="AI39" s="1" t="b">
        <f t="shared" si="29"/>
        <v>1</v>
      </c>
      <c r="AK39">
        <f t="shared" si="30"/>
        <v>2011</v>
      </c>
      <c r="AL39" s="2">
        <f t="shared" si="39"/>
        <v>37073.799020625615</v>
      </c>
      <c r="AM39" s="2"/>
      <c r="AN39" s="2">
        <f t="shared" si="40"/>
        <v>35590.410769138383</v>
      </c>
      <c r="AO39" s="2">
        <f t="shared" si="41"/>
        <v>17669.77181918608</v>
      </c>
      <c r="AP39" s="2"/>
      <c r="AQ39" s="2">
        <f t="shared" si="42"/>
        <v>31063.895148791336</v>
      </c>
      <c r="AR39" s="2">
        <f t="shared" si="43"/>
        <v>58659.279533075765</v>
      </c>
      <c r="AS39" s="2">
        <f t="shared" si="44"/>
        <v>180057.15629081719</v>
      </c>
      <c r="AT39" s="2">
        <f t="shared" si="32"/>
        <v>0</v>
      </c>
    </row>
    <row r="40" spans="1:47" x14ac:dyDescent="0.25">
      <c r="A40">
        <f t="shared" si="4"/>
        <v>2012</v>
      </c>
      <c r="B40" s="2">
        <f t="shared" si="14"/>
        <v>42938.874025688579</v>
      </c>
      <c r="C40" s="2">
        <f t="shared" si="15"/>
        <v>0</v>
      </c>
      <c r="D40" s="2">
        <f t="shared" si="16"/>
        <v>41213.695670662244</v>
      </c>
      <c r="E40" s="2">
        <f t="shared" si="17"/>
        <v>20857.398655367251</v>
      </c>
      <c r="F40" s="2"/>
      <c r="G40" s="2">
        <f t="shared" si="18"/>
        <v>36698.885728782087</v>
      </c>
      <c r="H40" s="2">
        <f t="shared" si="19"/>
        <v>61034.980354165331</v>
      </c>
      <c r="I40" s="2">
        <f t="shared" si="20"/>
        <v>202743.83443466548</v>
      </c>
      <c r="J40" s="2">
        <f t="shared" si="21"/>
        <v>22686.678143848287</v>
      </c>
      <c r="K40" s="6">
        <f t="shared" si="22"/>
        <v>0.12599709231887549</v>
      </c>
      <c r="L40" s="7">
        <f t="shared" si="23"/>
        <v>1.1259970923188756</v>
      </c>
      <c r="O40">
        <f t="shared" si="24"/>
        <v>2012</v>
      </c>
      <c r="P40" s="6">
        <f t="shared" si="5"/>
        <v>0.21178880307467846</v>
      </c>
      <c r="Q40" s="7"/>
      <c r="R40" s="6">
        <f t="shared" ref="R40" si="50">D40/$I40</f>
        <v>0.20327964983785202</v>
      </c>
      <c r="S40" s="6">
        <f t="shared" ref="S40" si="51">E40/$I40</f>
        <v>0.10287562486684931</v>
      </c>
      <c r="T40" s="7"/>
      <c r="U40" s="6">
        <f t="shared" si="5"/>
        <v>0.1810111061138501</v>
      </c>
      <c r="V40" s="6">
        <f t="shared" si="7"/>
        <v>0.3010448161067702</v>
      </c>
      <c r="W40" s="6">
        <f t="shared" si="25"/>
        <v>1</v>
      </c>
      <c r="X40" s="7">
        <f t="shared" si="26"/>
        <v>0.69895518389322986</v>
      </c>
      <c r="Y40" s="7">
        <f t="shared" si="27"/>
        <v>0</v>
      </c>
      <c r="AA40">
        <f t="shared" si="28"/>
        <v>2012</v>
      </c>
      <c r="AB40" s="1" t="b">
        <f t="shared" si="47"/>
        <v>1</v>
      </c>
      <c r="AD40" s="1" t="b">
        <f t="shared" ref="AD40" si="52">AND((D40/$I40)&gt;0.15,(D40/$I40)&lt;0.25)</f>
        <v>1</v>
      </c>
      <c r="AE40" s="1" t="b">
        <f t="shared" ref="AE40" si="53">AND((E40/$I40)&gt;0.05,(E40/$I40)&lt;0.15)</f>
        <v>1</v>
      </c>
      <c r="AG40" s="1" t="b">
        <f t="shared" si="48"/>
        <v>1</v>
      </c>
      <c r="AH40" s="1" t="b">
        <f t="shared" si="49"/>
        <v>1</v>
      </c>
      <c r="AI40" s="1" t="b">
        <f t="shared" si="29"/>
        <v>1</v>
      </c>
      <c r="AK40">
        <f t="shared" si="30"/>
        <v>2012</v>
      </c>
      <c r="AL40" s="2">
        <f t="shared" si="39"/>
        <v>42938.874025688579</v>
      </c>
      <c r="AM40" s="2"/>
      <c r="AN40" s="2">
        <f t="shared" si="40"/>
        <v>41213.695670662244</v>
      </c>
      <c r="AO40" s="2">
        <f t="shared" si="41"/>
        <v>20857.398655367251</v>
      </c>
      <c r="AP40" s="2"/>
      <c r="AQ40" s="2">
        <f t="shared" si="42"/>
        <v>36698.885728782087</v>
      </c>
      <c r="AR40" s="2">
        <f t="shared" si="43"/>
        <v>61034.980354165331</v>
      </c>
      <c r="AS40" s="2">
        <f t="shared" si="44"/>
        <v>202743.83443466548</v>
      </c>
      <c r="AT40" s="2">
        <f t="shared" si="32"/>
        <v>0</v>
      </c>
    </row>
    <row r="41" spans="1:47" x14ac:dyDescent="0.25">
      <c r="A41">
        <f t="shared" si="4"/>
        <v>2013</v>
      </c>
      <c r="B41" s="2">
        <f t="shared" ref="B41:E41" si="54">AL40*(1+(B17/100))</f>
        <v>56756.60368715517</v>
      </c>
      <c r="C41" s="2">
        <f t="shared" si="54"/>
        <v>0</v>
      </c>
      <c r="D41" s="2">
        <f t="shared" si="54"/>
        <v>55638.489155394032</v>
      </c>
      <c r="E41" s="2">
        <f t="shared" si="54"/>
        <v>28703.952029516407</v>
      </c>
      <c r="F41" s="2"/>
      <c r="G41" s="2">
        <f t="shared" ref="G41:H41" si="55">AQ40*(1+(G17/100))</f>
        <v>42218.398142390906</v>
      </c>
      <c r="H41" s="2">
        <f t="shared" si="55"/>
        <v>59655.5897981612</v>
      </c>
      <c r="I41" s="2">
        <f t="shared" ref="I41:I42" si="56">SUM(B41:H41)</f>
        <v>242973.03281261772</v>
      </c>
      <c r="J41" s="2">
        <f t="shared" ref="J41:J42" si="57">I41-I40</f>
        <v>40229.198377952242</v>
      </c>
      <c r="K41" s="6">
        <f t="shared" ref="K41:K42" si="58">(J41/I40)</f>
        <v>0.19842378186309861</v>
      </c>
      <c r="L41" s="7">
        <f t="shared" ref="L41:L42" si="59">K41+1</f>
        <v>1.1984237818630987</v>
      </c>
      <c r="O41">
        <f t="shared" ref="O41:O42" si="60">A41</f>
        <v>2013</v>
      </c>
      <c r="P41" s="6">
        <f t="shared" ref="P41:P42" si="61">B41/$I41</f>
        <v>0.23359219346340468</v>
      </c>
      <c r="Q41" s="7"/>
      <c r="R41" s="6">
        <f t="shared" ref="R41:R42" si="62">D41/$I41</f>
        <v>0.22899038840373193</v>
      </c>
      <c r="S41" s="6">
        <f t="shared" ref="S41:S42" si="63">E41/$I41</f>
        <v>0.11813636969191174</v>
      </c>
      <c r="T41" s="7"/>
      <c r="U41" s="6">
        <f t="shared" ref="U41:U42" si="64">G41/$I41</f>
        <v>0.17375754689183961</v>
      </c>
      <c r="V41" s="6">
        <f t="shared" ref="V41:V42" si="65">H41/$I41</f>
        <v>0.24552350154911204</v>
      </c>
      <c r="W41" s="6">
        <f t="shared" ref="W41:W42" si="66">SUM(P41:V41)</f>
        <v>1</v>
      </c>
      <c r="X41" s="7">
        <f t="shared" ref="X41:X42" si="67">SUM(P41:U41)</f>
        <v>0.75447649845088804</v>
      </c>
      <c r="Y41" s="7">
        <f t="shared" ref="Y41:Y42" si="68">W41-(X41+V41)</f>
        <v>0</v>
      </c>
      <c r="AA41">
        <f t="shared" ref="AA41:AA42" si="69">O41</f>
        <v>2013</v>
      </c>
      <c r="AB41" s="1" t="b">
        <f t="shared" ref="AB41:AB42" si="70">AND((B41/$I41)&gt;0.15,(B41/$I41)&lt;0.25)</f>
        <v>1</v>
      </c>
      <c r="AD41" s="1" t="b">
        <f t="shared" ref="AD41:AD42" si="71">AND((D41/$I41)&gt;0.15,(D41/$I41)&lt;0.25)</f>
        <v>1</v>
      </c>
      <c r="AE41" s="1" t="b">
        <f t="shared" ref="AE41:AE42" si="72">AND((E41/$I41)&gt;0.05,(E41/$I41)&lt;0.15)</f>
        <v>1</v>
      </c>
      <c r="AG41" s="1" t="b">
        <f t="shared" ref="AG41:AG42" si="73">AND((G41/$I41)&gt;0.15,(G41/$I41)&lt;0.25)</f>
        <v>1</v>
      </c>
      <c r="AH41" s="35" t="b">
        <f t="shared" ref="AH41:AH42" si="74">AND((H41/$I41)&gt;0.25,(H41/$I41)&lt;0.35)</f>
        <v>0</v>
      </c>
      <c r="AI41" s="1" t="b">
        <f t="shared" ref="AI41:AI42" si="75">AND((I41/$I41)&gt;0.999,(I41/$I41)&lt;1.01)</f>
        <v>1</v>
      </c>
      <c r="AK41">
        <f t="shared" ref="AK41" si="76">A41</f>
        <v>2013</v>
      </c>
      <c r="AL41" s="36">
        <f>AL$27*$AS41</f>
        <v>48594.60656252355</v>
      </c>
      <c r="AM41" s="2"/>
      <c r="AN41" s="36">
        <f>AN$27*$AS41</f>
        <v>48594.60656252355</v>
      </c>
      <c r="AO41" s="36">
        <f>AO$27*$AS41</f>
        <v>24297.303281261775</v>
      </c>
      <c r="AP41" s="2"/>
      <c r="AQ41" s="36">
        <f>AQ$27*$AS41</f>
        <v>48594.60656252355</v>
      </c>
      <c r="AR41" s="36">
        <f>AR$27*$AS41</f>
        <v>72891.90984378531</v>
      </c>
      <c r="AS41" s="2">
        <f t="shared" ref="AS41:AS42" si="77">I41</f>
        <v>242973.03281261772</v>
      </c>
      <c r="AT41" s="2">
        <f t="shared" ref="AT41:AT42" si="78">(SUM(AL41:AR41))-AS41</f>
        <v>0</v>
      </c>
    </row>
    <row r="42" spans="1:47" x14ac:dyDescent="0.25">
      <c r="A42">
        <f t="shared" si="4"/>
        <v>2014</v>
      </c>
      <c r="B42" s="2">
        <f t="shared" ref="B42:E42" si="79">AL41*(1+(B18/100))</f>
        <v>55159.737909120478</v>
      </c>
      <c r="C42" s="2">
        <f t="shared" si="79"/>
        <v>0</v>
      </c>
      <c r="D42" s="2">
        <f t="shared" si="79"/>
        <v>55203.473055026756</v>
      </c>
      <c r="E42" s="2">
        <f t="shared" si="79"/>
        <v>26088.014533090769</v>
      </c>
      <c r="F42" s="2"/>
      <c r="G42" s="2">
        <f t="shared" ref="G42:H42" si="80">AQ41*(1+(G18/100))</f>
        <v>46534.195244272552</v>
      </c>
      <c r="H42" s="2">
        <f t="shared" si="80"/>
        <v>77090.48385078735</v>
      </c>
      <c r="I42" s="2">
        <f t="shared" si="56"/>
        <v>260075.90459229791</v>
      </c>
      <c r="J42" s="2">
        <f t="shared" si="57"/>
        <v>17102.871779680194</v>
      </c>
      <c r="K42" s="6">
        <f t="shared" si="58"/>
        <v>7.0390000000000133E-2</v>
      </c>
      <c r="L42" s="7">
        <f t="shared" si="59"/>
        <v>1.0703900000000002</v>
      </c>
      <c r="O42">
        <f t="shared" si="60"/>
        <v>2014</v>
      </c>
      <c r="P42" s="6">
        <f t="shared" si="61"/>
        <v>0.21209092013191452</v>
      </c>
      <c r="Q42" s="7"/>
      <c r="R42" s="6">
        <f t="shared" si="62"/>
        <v>0.21225908313792172</v>
      </c>
      <c r="S42" s="6">
        <f t="shared" si="63"/>
        <v>0.10030923308326872</v>
      </c>
      <c r="T42" s="7"/>
      <c r="U42" s="6">
        <f t="shared" si="64"/>
        <v>0.17892543839161429</v>
      </c>
      <c r="V42" s="6">
        <f t="shared" si="65"/>
        <v>0.29641532525528075</v>
      </c>
      <c r="W42" s="6">
        <f t="shared" si="66"/>
        <v>1</v>
      </c>
      <c r="X42" s="7">
        <f t="shared" si="67"/>
        <v>0.7035846747447192</v>
      </c>
      <c r="Y42" s="7">
        <f t="shared" si="68"/>
        <v>0</v>
      </c>
      <c r="AA42">
        <f t="shared" si="69"/>
        <v>2014</v>
      </c>
      <c r="AB42" s="1" t="b">
        <f t="shared" si="70"/>
        <v>1</v>
      </c>
      <c r="AD42" s="1" t="b">
        <f t="shared" si="71"/>
        <v>1</v>
      </c>
      <c r="AE42" s="1" t="b">
        <f t="shared" si="72"/>
        <v>1</v>
      </c>
      <c r="AG42" s="1" t="b">
        <f t="shared" si="73"/>
        <v>1</v>
      </c>
      <c r="AH42" s="1" t="b">
        <f t="shared" si="74"/>
        <v>1</v>
      </c>
      <c r="AI42" s="1" t="b">
        <f t="shared" si="75"/>
        <v>1</v>
      </c>
      <c r="AK42">
        <f t="shared" ref="AK42" si="81">A42</f>
        <v>2014</v>
      </c>
      <c r="AL42" s="2">
        <f t="shared" ref="AL42" si="82">B42</f>
        <v>55159.737909120478</v>
      </c>
      <c r="AM42" s="2"/>
      <c r="AN42" s="2">
        <f t="shared" ref="AN42" si="83">D42</f>
        <v>55203.473055026756</v>
      </c>
      <c r="AO42" s="2">
        <f t="shared" ref="AO42" si="84">E42</f>
        <v>26088.014533090769</v>
      </c>
      <c r="AP42" s="2"/>
      <c r="AQ42" s="2">
        <f t="shared" ref="AQ42" si="85">G42</f>
        <v>46534.195244272552</v>
      </c>
      <c r="AR42" s="2">
        <f t="shared" ref="AR42" si="86">H42</f>
        <v>77090.48385078735</v>
      </c>
      <c r="AS42" s="2">
        <f t="shared" si="77"/>
        <v>260075.90459229791</v>
      </c>
      <c r="AT42" s="2">
        <f t="shared" si="78"/>
        <v>0</v>
      </c>
      <c r="AU42" s="59"/>
    </row>
    <row r="43" spans="1:47" x14ac:dyDescent="0.25">
      <c r="A43">
        <f t="shared" si="4"/>
        <v>2015</v>
      </c>
      <c r="B43" s="2">
        <f>AL42*(1+(B19/100))</f>
        <v>55849.23463298448</v>
      </c>
      <c r="C43" s="2">
        <f>AM42*(1+(C19/100))</f>
        <v>0</v>
      </c>
      <c r="D43" s="2">
        <f>AN42*(1+(D19/100))</f>
        <v>54397.502348423368</v>
      </c>
      <c r="E43" s="2">
        <f>AO42*(1+(E19/100))</f>
        <v>25101.887583739936</v>
      </c>
      <c r="F43" s="2"/>
      <c r="G43" s="2">
        <f>AQ42*(1+(G19/100))</f>
        <v>44500.650912097844</v>
      </c>
      <c r="H43" s="2">
        <f>AR42*(1+(H19/100))</f>
        <v>77321.755302339705</v>
      </c>
      <c r="I43" s="2">
        <f t="shared" ref="I43" si="87">SUM(B43:H43)</f>
        <v>257171.03077958533</v>
      </c>
      <c r="J43" s="2">
        <f t="shared" ref="J43" si="88">I43-I42</f>
        <v>-2904.8738127125835</v>
      </c>
      <c r="K43" s="6">
        <f t="shared" ref="K43" si="89">(J43/I42)</f>
        <v>-1.1169330804660059E-2</v>
      </c>
      <c r="L43" s="7">
        <f t="shared" ref="L43" si="90">K43+1</f>
        <v>0.98883066919533991</v>
      </c>
      <c r="O43">
        <f t="shared" ref="O43" si="91">A43</f>
        <v>2015</v>
      </c>
      <c r="P43" s="6">
        <f t="shared" ref="P43" si="92">B43/$I43</f>
        <v>0.21716767422708438</v>
      </c>
      <c r="Q43" s="7"/>
      <c r="R43" s="6">
        <f t="shared" ref="R43" si="93">D43/$I43</f>
        <v>0.21152266716637327</v>
      </c>
      <c r="S43" s="6">
        <f t="shared" ref="S43" si="94">E43/$I43</f>
        <v>9.7607757404270454E-2</v>
      </c>
      <c r="T43" s="7"/>
      <c r="U43" s="6">
        <f t="shared" ref="U43" si="95">G43/$I43</f>
        <v>0.1730391279966452</v>
      </c>
      <c r="V43" s="6">
        <f t="shared" ref="V43" si="96">H43/$I43</f>
        <v>0.30066277320562668</v>
      </c>
      <c r="W43" s="6">
        <f t="shared" ref="W43" si="97">SUM(P43:V43)</f>
        <v>1</v>
      </c>
      <c r="X43" s="7">
        <f t="shared" ref="X43" si="98">SUM(P43:U43)</f>
        <v>0.69933722679437327</v>
      </c>
      <c r="Y43" s="7">
        <f t="shared" ref="Y43" si="99">W43-(X43+V43)</f>
        <v>0</v>
      </c>
      <c r="AA43">
        <f t="shared" ref="AA43" si="100">O43</f>
        <v>2015</v>
      </c>
      <c r="AB43" s="1" t="b">
        <f t="shared" ref="AB43" si="101">AND((B43/$I43)&gt;0.15,(B43/$I43)&lt;0.25)</f>
        <v>1</v>
      </c>
      <c r="AD43" s="1" t="b">
        <f t="shared" ref="AD43" si="102">AND((D43/$I43)&gt;0.15,(D43/$I43)&lt;0.25)</f>
        <v>1</v>
      </c>
      <c r="AE43" s="1" t="b">
        <f t="shared" ref="AE43" si="103">AND((E43/$I43)&gt;0.05,(E43/$I43)&lt;0.15)</f>
        <v>1</v>
      </c>
      <c r="AG43" s="1" t="b">
        <f t="shared" ref="AG43" si="104">AND((G43/$I43)&gt;0.15,(G43/$I43)&lt;0.25)</f>
        <v>1</v>
      </c>
      <c r="AH43" s="1" t="b">
        <f t="shared" ref="AH43" si="105">AND((H43/$I43)&gt;0.25,(H43/$I43)&lt;0.35)</f>
        <v>1</v>
      </c>
      <c r="AI43" s="1" t="b">
        <f t="shared" ref="AI43" si="106">AND((I43/$I43)&gt;0.999,(I43/$I43)&lt;1.01)</f>
        <v>1</v>
      </c>
      <c r="AK43">
        <f t="shared" ref="AK43" si="107">A43</f>
        <v>2015</v>
      </c>
      <c r="AL43" s="2">
        <f t="shared" ref="AL43" si="108">B43</f>
        <v>55849.23463298448</v>
      </c>
      <c r="AM43" s="2"/>
      <c r="AN43" s="2">
        <f t="shared" ref="AN43" si="109">D43</f>
        <v>54397.502348423368</v>
      </c>
      <c r="AO43" s="2">
        <f t="shared" ref="AO43" si="110">E43</f>
        <v>25101.887583739936</v>
      </c>
      <c r="AP43" s="2"/>
      <c r="AQ43" s="2">
        <f t="shared" ref="AQ43" si="111">G43</f>
        <v>44500.650912097844</v>
      </c>
      <c r="AR43" s="2">
        <f t="shared" ref="AR43" si="112">H43</f>
        <v>77321.755302339705</v>
      </c>
      <c r="AS43" s="2">
        <f t="shared" ref="AS43" si="113">I43</f>
        <v>257171.03077958533</v>
      </c>
      <c r="AT43" s="2">
        <f t="shared" ref="AT43" si="114">(SUM(AL43:AR43))-AS43</f>
        <v>0</v>
      </c>
      <c r="AU43" s="59"/>
    </row>
    <row r="44" spans="1:47" x14ac:dyDescent="0.25">
      <c r="A44">
        <f t="shared" ref="A44:A45" si="115">A20</f>
        <v>2016</v>
      </c>
      <c r="B44" s="2">
        <f t="shared" ref="B44:E44" si="116">AL43*(1+(B20/100))</f>
        <v>62450.614166603249</v>
      </c>
      <c r="C44" s="2">
        <f t="shared" si="116"/>
        <v>0</v>
      </c>
      <c r="D44" s="2">
        <f t="shared" si="116"/>
        <v>60419.305858393833</v>
      </c>
      <c r="E44" s="2">
        <f t="shared" si="116"/>
        <v>29662.900557705481</v>
      </c>
      <c r="F44" s="2"/>
      <c r="G44" s="2">
        <f t="shared" ref="G44:H44" si="117">AQ43*(1+(G20/100))</f>
        <v>46569.931179510393</v>
      </c>
      <c r="H44" s="2">
        <f t="shared" si="117"/>
        <v>79254.799184898191</v>
      </c>
      <c r="I44" s="2">
        <f t="shared" ref="I44:I45" si="118">SUM(B44:H44)</f>
        <v>278357.55094711116</v>
      </c>
      <c r="J44" s="2">
        <f t="shared" ref="J44:J45" si="119">I44-I43</f>
        <v>21186.520167525829</v>
      </c>
      <c r="K44" s="6">
        <f t="shared" ref="K44:K45" si="120">(J44/I43)</f>
        <v>8.2382996651299542E-2</v>
      </c>
      <c r="L44" s="7">
        <f t="shared" ref="L44:L45" si="121">K44+1</f>
        <v>1.0823829966512994</v>
      </c>
      <c r="O44">
        <f t="shared" ref="O44:O45" si="122">A44</f>
        <v>2016</v>
      </c>
      <c r="P44" s="6">
        <f t="shared" ref="P44:P45" si="123">B44/$I44</f>
        <v>0.22435394317170534</v>
      </c>
      <c r="Q44" s="7"/>
      <c r="R44" s="6">
        <f t="shared" ref="R44:R45" si="124">D44/$I44</f>
        <v>0.21705646443869489</v>
      </c>
      <c r="S44" s="6">
        <f t="shared" ref="S44:S45" si="125">E44/$I44</f>
        <v>0.10656402334615141</v>
      </c>
      <c r="T44" s="7"/>
      <c r="U44" s="6">
        <f t="shared" ref="U44:U45" si="126">G44/$I44</f>
        <v>0.16730256111629188</v>
      </c>
      <c r="V44" s="6">
        <f t="shared" ref="V44:V45" si="127">H44/$I44</f>
        <v>0.28472300792715649</v>
      </c>
      <c r="W44" s="6">
        <f t="shared" ref="W44:W45" si="128">SUM(P44:V44)</f>
        <v>1</v>
      </c>
      <c r="X44" s="7">
        <f t="shared" ref="X44:X45" si="129">SUM(P44:U44)</f>
        <v>0.71527699207284345</v>
      </c>
      <c r="Y44" s="7">
        <f t="shared" ref="Y44:Y45" si="130">W44-(X44+V44)</f>
        <v>0</v>
      </c>
      <c r="AA44">
        <f t="shared" ref="AA44:AA45" si="131">O44</f>
        <v>2016</v>
      </c>
      <c r="AB44" s="1" t="b">
        <f t="shared" ref="AB44:AB45" si="132">AND((B44/$I44)&gt;0.15,(B44/$I44)&lt;0.25)</f>
        <v>1</v>
      </c>
      <c r="AD44" s="1" t="b">
        <f t="shared" ref="AD44:AD45" si="133">AND((D44/$I44)&gt;0.15,(D44/$I44)&lt;0.25)</f>
        <v>1</v>
      </c>
      <c r="AE44" s="1" t="b">
        <f t="shared" ref="AE44:AE45" si="134">AND((E44/$I44)&gt;0.05,(E44/$I44)&lt;0.15)</f>
        <v>1</v>
      </c>
      <c r="AG44" s="1" t="b">
        <f t="shared" ref="AG44:AG45" si="135">AND((G44/$I44)&gt;0.15,(G44/$I44)&lt;0.25)</f>
        <v>1</v>
      </c>
      <c r="AH44" s="1" t="b">
        <f t="shared" ref="AH44:AH45" si="136">AND((H44/$I44)&gt;0.25,(H44/$I44)&lt;0.35)</f>
        <v>1</v>
      </c>
      <c r="AI44" s="1" t="b">
        <f t="shared" ref="AI44:AI45" si="137">AND((I44/$I44)&gt;0.999,(I44/$I44)&lt;1.01)</f>
        <v>1</v>
      </c>
      <c r="AK44">
        <f t="shared" ref="AK44:AK45" si="138">A44</f>
        <v>2016</v>
      </c>
      <c r="AL44" s="2">
        <f t="shared" ref="AL44:AL45" si="139">B44</f>
        <v>62450.614166603249</v>
      </c>
      <c r="AM44" s="2"/>
      <c r="AN44" s="2">
        <f t="shared" ref="AN44:AN45" si="140">D44</f>
        <v>60419.305858393833</v>
      </c>
      <c r="AO44" s="2">
        <f t="shared" ref="AO44:AO45" si="141">E44</f>
        <v>29662.900557705481</v>
      </c>
      <c r="AP44" s="2"/>
      <c r="AQ44" s="2">
        <f t="shared" ref="AQ44:AQ45" si="142">G44</f>
        <v>46569.931179510393</v>
      </c>
      <c r="AR44" s="2">
        <f t="shared" ref="AR44:AR45" si="143">H44</f>
        <v>79254.799184898191</v>
      </c>
      <c r="AS44" s="2">
        <f t="shared" ref="AS44:AS45" si="144">I44</f>
        <v>278357.55094711116</v>
      </c>
      <c r="AT44" s="2">
        <f t="shared" ref="AT44:AT45" si="145">(SUM(AL44:AR44))-AS44</f>
        <v>0</v>
      </c>
      <c r="AU44" s="59"/>
    </row>
    <row r="45" spans="1:47" x14ac:dyDescent="0.25">
      <c r="A45">
        <f t="shared" si="115"/>
        <v>2017</v>
      </c>
      <c r="B45" s="2">
        <f t="shared" ref="B45:E45" si="146">AL44*(1+(B21/100))</f>
        <v>75983.66225650617</v>
      </c>
      <c r="C45" s="2">
        <f t="shared" si="146"/>
        <v>0</v>
      </c>
      <c r="D45" s="2">
        <f t="shared" si="146"/>
        <v>72261.489806639016</v>
      </c>
      <c r="E45" s="2">
        <f t="shared" si="146"/>
        <v>34438.627547496064</v>
      </c>
      <c r="F45" s="2"/>
      <c r="G45" s="2">
        <f t="shared" ref="G45:H45" si="147">AQ44*(1+(G21/100))</f>
        <v>59330.09232269624</v>
      </c>
      <c r="H45" s="2">
        <f t="shared" si="147"/>
        <v>81997.015236695661</v>
      </c>
      <c r="I45" s="2">
        <f t="shared" si="118"/>
        <v>324010.88717003312</v>
      </c>
      <c r="J45" s="2">
        <f t="shared" si="119"/>
        <v>45653.336222921964</v>
      </c>
      <c r="K45" s="6">
        <f t="shared" si="120"/>
        <v>0.16400969209416649</v>
      </c>
      <c r="L45" s="7">
        <f t="shared" si="121"/>
        <v>1.1640096920941665</v>
      </c>
      <c r="O45">
        <f t="shared" si="122"/>
        <v>2017</v>
      </c>
      <c r="P45" s="6">
        <f t="shared" si="123"/>
        <v>0.23450959602055524</v>
      </c>
      <c r="Q45" s="7"/>
      <c r="R45" s="6">
        <f t="shared" si="124"/>
        <v>0.22302179546429229</v>
      </c>
      <c r="S45" s="6">
        <f t="shared" si="125"/>
        <v>0.10628848878594471</v>
      </c>
      <c r="T45" s="7"/>
      <c r="U45" s="6">
        <f t="shared" si="126"/>
        <v>0.18311141591844485</v>
      </c>
      <c r="V45" s="6">
        <f t="shared" si="127"/>
        <v>0.25306870381076302</v>
      </c>
      <c r="W45" s="6">
        <f t="shared" si="128"/>
        <v>1.0000000000000002</v>
      </c>
      <c r="X45" s="7">
        <f t="shared" si="129"/>
        <v>0.74693129618923715</v>
      </c>
      <c r="Y45" s="7">
        <f t="shared" si="130"/>
        <v>0</v>
      </c>
      <c r="AA45">
        <f t="shared" si="131"/>
        <v>2017</v>
      </c>
      <c r="AB45" s="1" t="b">
        <f t="shared" si="132"/>
        <v>1</v>
      </c>
      <c r="AD45" s="1" t="b">
        <f t="shared" si="133"/>
        <v>1</v>
      </c>
      <c r="AE45" s="1" t="b">
        <f t="shared" si="134"/>
        <v>1</v>
      </c>
      <c r="AG45" s="1" t="b">
        <f t="shared" si="135"/>
        <v>1</v>
      </c>
      <c r="AH45" s="1" t="b">
        <f t="shared" si="136"/>
        <v>1</v>
      </c>
      <c r="AI45" s="1" t="b">
        <f t="shared" si="137"/>
        <v>1</v>
      </c>
      <c r="AK45">
        <f t="shared" si="138"/>
        <v>2017</v>
      </c>
      <c r="AL45" s="2">
        <f t="shared" si="139"/>
        <v>75983.66225650617</v>
      </c>
      <c r="AM45" s="2"/>
      <c r="AN45" s="2">
        <f t="shared" si="140"/>
        <v>72261.489806639016</v>
      </c>
      <c r="AO45" s="2">
        <f t="shared" si="141"/>
        <v>34438.627547496064</v>
      </c>
      <c r="AP45" s="2"/>
      <c r="AQ45" s="2">
        <f t="shared" si="142"/>
        <v>59330.09232269624</v>
      </c>
      <c r="AR45" s="2">
        <f t="shared" si="143"/>
        <v>81997.015236695661</v>
      </c>
      <c r="AS45" s="2">
        <f t="shared" si="144"/>
        <v>324010.88717003312</v>
      </c>
      <c r="AT45" s="2">
        <f t="shared" si="145"/>
        <v>0</v>
      </c>
      <c r="AU45" s="59"/>
    </row>
    <row r="46" spans="1:47" x14ac:dyDescent="0.25">
      <c r="A46" s="9" t="s">
        <v>41</v>
      </c>
      <c r="B46" s="10">
        <f>AL45</f>
        <v>75983.66225650617</v>
      </c>
      <c r="C46" s="10"/>
      <c r="D46" s="10">
        <f>AN45</f>
        <v>72261.489806639016</v>
      </c>
      <c r="E46" s="10">
        <f>AO45</f>
        <v>34438.627547496064</v>
      </c>
      <c r="F46" s="10"/>
      <c r="G46" s="10">
        <f>AQ45</f>
        <v>59330.09232269624</v>
      </c>
      <c r="H46" s="10">
        <f>AR45</f>
        <v>81997.015236695661</v>
      </c>
      <c r="I46" s="10">
        <f>SUM(B46:H46)</f>
        <v>324010.88717003312</v>
      </c>
      <c r="J46" s="10"/>
      <c r="K46" s="10"/>
    </row>
    <row r="47" spans="1:47" x14ac:dyDescent="0.25">
      <c r="A47" s="11" t="s">
        <v>42</v>
      </c>
      <c r="I47" s="6">
        <f>(I46-I27)/I27</f>
        <v>2.2401088717003312</v>
      </c>
      <c r="K47" s="6"/>
    </row>
    <row r="48" spans="1:47" x14ac:dyDescent="0.25">
      <c r="A48" s="1" t="s">
        <v>43</v>
      </c>
      <c r="I48" s="26">
        <f>STDEV(L28:L45)</f>
        <v>0.12870650323618232</v>
      </c>
      <c r="K48" s="27"/>
    </row>
    <row r="49" spans="1:11" x14ac:dyDescent="0.25">
      <c r="A49" s="1" t="s">
        <v>44</v>
      </c>
      <c r="I49" s="13">
        <f>((1+I47)^(1/16))-1</f>
        <v>7.6242096550786176E-2</v>
      </c>
      <c r="K49" s="27"/>
    </row>
    <row r="50" spans="1:11" x14ac:dyDescent="0.25">
      <c r="A50" s="1" t="s">
        <v>45</v>
      </c>
      <c r="I50" s="28">
        <f>J36</f>
        <v>-45762.245278850824</v>
      </c>
    </row>
    <row r="51" spans="1:11" x14ac:dyDescent="0.25">
      <c r="A51" s="1" t="s">
        <v>46</v>
      </c>
      <c r="I51" s="29">
        <f>K36</f>
        <v>-0.26854558425405883</v>
      </c>
    </row>
    <row r="52" spans="1:11" x14ac:dyDescent="0.25">
      <c r="A52" s="3" t="s">
        <v>47</v>
      </c>
      <c r="I52" s="30">
        <f>I46-AS45</f>
        <v>0</v>
      </c>
    </row>
    <row r="53" spans="1:11" x14ac:dyDescent="0.25">
      <c r="A53" s="3" t="s">
        <v>146</v>
      </c>
      <c r="I53" s="30">
        <f>((SUM(J28:J45))-(I46-I27))</f>
        <v>0</v>
      </c>
    </row>
    <row r="54" spans="1:11" x14ac:dyDescent="0.25">
      <c r="A54" s="3" t="s">
        <v>153</v>
      </c>
      <c r="I54" s="66">
        <f>COUNTA(I28:I45)</f>
        <v>18</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57"/>
  <sheetViews>
    <sheetView topLeftCell="A19" workbookViewId="0">
      <selection activeCell="A2" sqref="A2:H21"/>
    </sheetView>
  </sheetViews>
  <sheetFormatPr defaultColWidth="8.85546875" defaultRowHeight="15" x14ac:dyDescent="0.25"/>
  <cols>
    <col min="1" max="1" width="25.42578125" customWidth="1"/>
    <col min="8" max="8" width="9.28515625" bestFit="1" customWidth="1"/>
    <col min="9" max="9" width="11.7109375" customWidth="1"/>
    <col min="10" max="10" width="10" bestFit="1" customWidth="1"/>
    <col min="13" max="13" width="8.85546875" customWidth="1"/>
    <col min="28" max="28" width="10.85546875" bestFit="1" customWidth="1"/>
    <col min="34" max="34" width="9.7109375" customWidth="1"/>
    <col min="35" max="35" width="9.28515625" bestFit="1" customWidth="1"/>
  </cols>
  <sheetData>
    <row r="1" spans="1:8" x14ac:dyDescent="0.25">
      <c r="A1" s="18" t="s">
        <v>95</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36"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36"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3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3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3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4" spans="1:36" x14ac:dyDescent="0.25">
      <c r="A24" s="18" t="s">
        <v>14</v>
      </c>
      <c r="O24" s="18" t="s">
        <v>15</v>
      </c>
      <c r="AA24" s="18" t="s">
        <v>63</v>
      </c>
    </row>
    <row r="25" spans="1:36"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P25" s="4" t="str">
        <f t="shared" ref="P25:V26" si="1">B25</f>
        <v>LC Stocks</v>
      </c>
      <c r="Q25" s="4" t="str">
        <f t="shared" si="1"/>
        <v>Ext Mkt</v>
      </c>
      <c r="R25" s="4" t="str">
        <f t="shared" si="1"/>
        <v>Mcap Stk</v>
      </c>
      <c r="S25" s="4" t="str">
        <f t="shared" si="1"/>
        <v>Small Cap</v>
      </c>
      <c r="T25" s="4" t="str">
        <f t="shared" si="1"/>
        <v>Intl Val</v>
      </c>
      <c r="U25" s="4" t="str">
        <f t="shared" si="1"/>
        <v>Tot Int Stk</v>
      </c>
      <c r="V25" s="4" t="str">
        <f t="shared" si="1"/>
        <v>Bonds</v>
      </c>
      <c r="W25" s="5"/>
      <c r="X25" s="5" t="s">
        <v>6</v>
      </c>
      <c r="Y25" s="3" t="s">
        <v>7</v>
      </c>
      <c r="AB25" s="4" t="str">
        <f t="shared" ref="AB25:AH26" si="2">P25</f>
        <v>LC Stocks</v>
      </c>
      <c r="AC25" s="4" t="str">
        <f t="shared" si="2"/>
        <v>Ext Mkt</v>
      </c>
      <c r="AD25" s="4" t="str">
        <f t="shared" si="2"/>
        <v>Mcap Stk</v>
      </c>
      <c r="AE25" s="4" t="str">
        <f t="shared" si="2"/>
        <v>Small Cap</v>
      </c>
      <c r="AF25" s="4" t="str">
        <f t="shared" si="2"/>
        <v>Intl Val</v>
      </c>
      <c r="AG25" s="4" t="str">
        <f t="shared" si="2"/>
        <v>Tot Int Stk</v>
      </c>
      <c r="AH25" s="4" t="str">
        <f t="shared" si="2"/>
        <v>Bonds</v>
      </c>
      <c r="AI25" s="4"/>
      <c r="AJ25" t="s">
        <v>51</v>
      </c>
    </row>
    <row r="26" spans="1:36"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O26" t="s">
        <v>116</v>
      </c>
      <c r="P26" s="4" t="str">
        <f t="shared" si="1"/>
        <v>VFINX</v>
      </c>
      <c r="Q26" s="4" t="str">
        <f t="shared" si="1"/>
        <v>VEXMX</v>
      </c>
      <c r="R26" s="4" t="str">
        <f t="shared" si="1"/>
        <v>VIMSX</v>
      </c>
      <c r="S26" s="4" t="str">
        <f t="shared" si="1"/>
        <v>NAESX</v>
      </c>
      <c r="T26" s="4" t="str">
        <f t="shared" si="1"/>
        <v>VTRIX</v>
      </c>
      <c r="U26" s="4" t="str">
        <f t="shared" si="1"/>
        <v>VGTSX</v>
      </c>
      <c r="V26" s="4" t="str">
        <f t="shared" si="1"/>
        <v>VBMFX</v>
      </c>
      <c r="W26" s="5" t="s">
        <v>114</v>
      </c>
      <c r="X26" s="5" t="s">
        <v>7</v>
      </c>
      <c r="Y26" s="3" t="s">
        <v>50</v>
      </c>
      <c r="AA26" t="str">
        <f>A26</f>
        <v>Fund</v>
      </c>
      <c r="AB26" s="4" t="str">
        <f t="shared" si="2"/>
        <v>VFINX</v>
      </c>
      <c r="AC26" s="4" t="str">
        <f t="shared" si="2"/>
        <v>VEXMX</v>
      </c>
      <c r="AD26" s="4" t="str">
        <f t="shared" si="2"/>
        <v>VIMSX</v>
      </c>
      <c r="AE26" s="4" t="str">
        <f t="shared" si="2"/>
        <v>NAESX</v>
      </c>
      <c r="AF26" s="4" t="str">
        <f t="shared" si="2"/>
        <v>VTRIX</v>
      </c>
      <c r="AG26" s="4" t="str">
        <f t="shared" si="2"/>
        <v>VGTSX</v>
      </c>
      <c r="AH26" s="4" t="str">
        <f t="shared" si="2"/>
        <v>VBMFX</v>
      </c>
      <c r="AI26" s="4" t="str">
        <f>W26</f>
        <v>Total</v>
      </c>
      <c r="AJ26" t="s">
        <v>50</v>
      </c>
    </row>
    <row r="27" spans="1:36" x14ac:dyDescent="0.25">
      <c r="A27" t="s">
        <v>115</v>
      </c>
      <c r="B27" s="2">
        <f>'Non-Rebalanced Portfolio'!B27</f>
        <v>20000</v>
      </c>
      <c r="C27" s="2"/>
      <c r="D27" s="2">
        <f>'Non-Rebalanced Portfolio'!D27</f>
        <v>20000</v>
      </c>
      <c r="E27" s="2">
        <f>'Non-Rebalanced Portfolio'!E27</f>
        <v>10000</v>
      </c>
      <c r="F27" s="2"/>
      <c r="G27" s="2">
        <f>'Non-Rebalanced Portfolio'!G27</f>
        <v>20000</v>
      </c>
      <c r="H27" s="2">
        <f>'Non-Rebalanced Portfolio'!H27</f>
        <v>30000</v>
      </c>
      <c r="I27" s="2">
        <f>SUM(B27:H27)</f>
        <v>100000</v>
      </c>
      <c r="O27" s="19" t="s">
        <v>49</v>
      </c>
      <c r="P27" s="20">
        <f t="shared" ref="P27:P40" si="3">B27/$I27</f>
        <v>0.2</v>
      </c>
      <c r="Q27" s="20"/>
      <c r="R27" s="20">
        <f t="shared" ref="R27:R40" si="4">D27/$I27</f>
        <v>0.2</v>
      </c>
      <c r="S27" s="20">
        <f t="shared" ref="S27:S40" si="5">E27/$I27</f>
        <v>0.1</v>
      </c>
      <c r="T27" s="20"/>
      <c r="U27" s="20">
        <f>G27/$I27</f>
        <v>0.2</v>
      </c>
      <c r="V27" s="20">
        <f>H27/$I27</f>
        <v>0.3</v>
      </c>
      <c r="W27" s="20">
        <f>I27/$I27</f>
        <v>1</v>
      </c>
      <c r="X27" s="22"/>
      <c r="Z27" s="22"/>
      <c r="AA27" t="str">
        <f>A27</f>
        <v>Stating Balance</v>
      </c>
      <c r="AB27" s="2">
        <f>B27</f>
        <v>20000</v>
      </c>
      <c r="AC27" s="2"/>
      <c r="AD27" s="2">
        <f t="shared" ref="AD27:AE29" si="6">D27</f>
        <v>20000</v>
      </c>
      <c r="AE27" s="2">
        <f t="shared" si="6"/>
        <v>10000</v>
      </c>
      <c r="AF27" s="2"/>
      <c r="AG27" s="2">
        <f t="shared" ref="AG27:AH29" si="7">G27</f>
        <v>20000</v>
      </c>
      <c r="AH27" s="2">
        <f t="shared" si="7"/>
        <v>30000</v>
      </c>
      <c r="AI27" s="2">
        <f>SUM(AB27:AH27)</f>
        <v>100000</v>
      </c>
      <c r="AJ27" s="2">
        <f t="shared" ref="AJ27:AJ40" si="8">AI27-I27</f>
        <v>0</v>
      </c>
    </row>
    <row r="28" spans="1:36" x14ac:dyDescent="0.25">
      <c r="A28">
        <f t="shared" ref="A28:A45" si="9">A4</f>
        <v>2000</v>
      </c>
      <c r="B28" s="2">
        <f>B27*(1+(B4/100))</f>
        <v>18188</v>
      </c>
      <c r="C28" s="2"/>
      <c r="D28" s="2">
        <f>D27*(1+(D4/100))</f>
        <v>23619.599999999999</v>
      </c>
      <c r="E28" s="2">
        <f>E27*(1+(E4/100))</f>
        <v>9733.5</v>
      </c>
      <c r="F28" s="2"/>
      <c r="G28" s="2">
        <f>G27*(1+(G4/100))</f>
        <v>16877.2</v>
      </c>
      <c r="H28" s="2">
        <f>H27*(1+(H4/100))</f>
        <v>33417</v>
      </c>
      <c r="I28" s="2">
        <f>SUM(B28:H28)</f>
        <v>101835.3</v>
      </c>
      <c r="J28" s="2">
        <f>I28-I27</f>
        <v>1835.3000000000029</v>
      </c>
      <c r="K28" s="6">
        <f>(J28/I27)</f>
        <v>1.8353000000000029E-2</v>
      </c>
      <c r="L28" s="7">
        <f>K28+1</f>
        <v>1.0183530000000001</v>
      </c>
      <c r="O28">
        <f t="shared" ref="O28:O40" si="10">A28</f>
        <v>2000</v>
      </c>
      <c r="P28" s="6">
        <f t="shared" si="3"/>
        <v>0.17860211537649517</v>
      </c>
      <c r="Q28" s="6"/>
      <c r="R28" s="6">
        <f t="shared" si="4"/>
        <v>0.23193921950443508</v>
      </c>
      <c r="S28" s="6">
        <f t="shared" si="5"/>
        <v>9.5580805477079159E-2</v>
      </c>
      <c r="T28" s="6"/>
      <c r="U28" s="6">
        <f t="shared" ref="U28:U40" si="11">G28/$I28</f>
        <v>0.16573035087047419</v>
      </c>
      <c r="V28" s="6">
        <f t="shared" ref="V28:V40" si="12">H28/$I28</f>
        <v>0.32814750877151633</v>
      </c>
      <c r="W28" s="6">
        <f>SUM(P28:V28)</f>
        <v>0.99999999999999989</v>
      </c>
      <c r="X28" s="7">
        <f>SUM(P28:U28)</f>
        <v>0.67185249122848356</v>
      </c>
      <c r="Y28" s="7">
        <f>W28-(X28+V28)</f>
        <v>0</v>
      </c>
      <c r="Z28" s="22"/>
      <c r="AA28">
        <f t="shared" ref="AA28:AA40" si="13">O28</f>
        <v>2000</v>
      </c>
      <c r="AB28" s="2">
        <f>B28</f>
        <v>18188</v>
      </c>
      <c r="AC28" s="2"/>
      <c r="AD28" s="2">
        <f t="shared" si="6"/>
        <v>23619.599999999999</v>
      </c>
      <c r="AE28" s="2">
        <f t="shared" si="6"/>
        <v>9733.5</v>
      </c>
      <c r="AF28" s="2"/>
      <c r="AG28" s="2">
        <f t="shared" si="7"/>
        <v>16877.2</v>
      </c>
      <c r="AH28" s="2">
        <f t="shared" si="7"/>
        <v>33417</v>
      </c>
      <c r="AI28" s="2">
        <f t="shared" ref="AI28:AI40" si="14">SUM(AB28:AH28)</f>
        <v>101835.3</v>
      </c>
      <c r="AJ28" s="2">
        <f t="shared" si="8"/>
        <v>0</v>
      </c>
    </row>
    <row r="29" spans="1:36" x14ac:dyDescent="0.25">
      <c r="A29">
        <f t="shared" si="9"/>
        <v>2001</v>
      </c>
      <c r="B29" s="2">
        <f t="shared" ref="B29:B45" si="15">AB28*(1+(B5/100))</f>
        <v>16001.8024</v>
      </c>
      <c r="C29" s="2"/>
      <c r="D29" s="2">
        <f t="shared" ref="D29:D40" si="16">AD28*(1+(D5/100))</f>
        <v>23501.738195999998</v>
      </c>
      <c r="E29" s="2">
        <f t="shared" ref="E29:E40" si="17">AE28*(1+(E5/100))</f>
        <v>10035.238499999999</v>
      </c>
      <c r="F29" s="2"/>
      <c r="G29" s="2">
        <f t="shared" ref="G29:G40" si="18">AG28*(1+(G5/100))</f>
        <v>13475.937884000001</v>
      </c>
      <c r="H29" s="2">
        <f t="shared" ref="H29:H40" si="19">AH28*(1+(H5/100))</f>
        <v>36234.053100000005</v>
      </c>
      <c r="I29" s="2">
        <f t="shared" ref="I29:I40" si="20">SUM(B29:H29)</f>
        <v>99248.770080000002</v>
      </c>
      <c r="J29" s="2">
        <f t="shared" ref="J29:J40" si="21">I29-I28</f>
        <v>-2586.5299200000009</v>
      </c>
      <c r="K29" s="6">
        <f t="shared" ref="K29:K40" si="22">(J29/I28)</f>
        <v>-2.5399148625280241E-2</v>
      </c>
      <c r="L29" s="7">
        <f t="shared" ref="L29:L40" si="23">K29+1</f>
        <v>0.97460085137471975</v>
      </c>
      <c r="O29">
        <f t="shared" si="10"/>
        <v>2001</v>
      </c>
      <c r="P29" s="6">
        <f t="shared" si="3"/>
        <v>0.16122922618690047</v>
      </c>
      <c r="Q29" s="6"/>
      <c r="R29" s="6">
        <f t="shared" si="4"/>
        <v>0.2367962663623569</v>
      </c>
      <c r="S29" s="6">
        <f t="shared" si="5"/>
        <v>0.10111196835901384</v>
      </c>
      <c r="T29" s="6"/>
      <c r="U29" s="6">
        <f t="shared" si="11"/>
        <v>0.13577939427498847</v>
      </c>
      <c r="V29" s="6">
        <f t="shared" si="12"/>
        <v>0.36508314481674031</v>
      </c>
      <c r="W29" s="6">
        <f t="shared" ref="W29:W40" si="24">SUM(P29:V29)</f>
        <v>0.99999999999999989</v>
      </c>
      <c r="X29" s="7">
        <f t="shared" ref="X29:X40" si="25">SUM(P29:U29)</f>
        <v>0.63491685518325958</v>
      </c>
      <c r="Y29" s="7">
        <f t="shared" ref="Y29:Y40" si="26">W29-(X29+V29)</f>
        <v>0</v>
      </c>
      <c r="Z29" s="22"/>
      <c r="AA29">
        <f t="shared" si="13"/>
        <v>2001</v>
      </c>
      <c r="AB29" s="2">
        <f>B29</f>
        <v>16001.8024</v>
      </c>
      <c r="AC29" s="2"/>
      <c r="AD29" s="2">
        <f t="shared" si="6"/>
        <v>23501.738195999998</v>
      </c>
      <c r="AE29" s="2">
        <f t="shared" si="6"/>
        <v>10035.238499999999</v>
      </c>
      <c r="AF29" s="2"/>
      <c r="AG29" s="2">
        <f t="shared" si="7"/>
        <v>13475.937884000001</v>
      </c>
      <c r="AH29" s="2">
        <f t="shared" si="7"/>
        <v>36234.053100000005</v>
      </c>
      <c r="AI29" s="2">
        <f t="shared" si="14"/>
        <v>99248.770080000002</v>
      </c>
      <c r="AJ29" s="2">
        <f t="shared" si="8"/>
        <v>0</v>
      </c>
    </row>
    <row r="30" spans="1:36" x14ac:dyDescent="0.25">
      <c r="A30">
        <f t="shared" si="9"/>
        <v>2002</v>
      </c>
      <c r="B30" s="2">
        <f t="shared" si="15"/>
        <v>12457.4031684</v>
      </c>
      <c r="C30" s="2"/>
      <c r="D30" s="2">
        <f t="shared" si="16"/>
        <v>20068.60428032832</v>
      </c>
      <c r="E30" s="2">
        <f t="shared" si="17"/>
        <v>8025.9830475300005</v>
      </c>
      <c r="F30" s="2"/>
      <c r="G30" s="2">
        <f t="shared" si="18"/>
        <v>11443.36217295628</v>
      </c>
      <c r="H30" s="2">
        <f t="shared" si="19"/>
        <v>39226.985886060007</v>
      </c>
      <c r="I30" s="2">
        <f t="shared" si="20"/>
        <v>91222.338555274619</v>
      </c>
      <c r="J30" s="2">
        <f t="shared" si="21"/>
        <v>-8026.4315247253835</v>
      </c>
      <c r="K30" s="6">
        <f t="shared" si="22"/>
        <v>-8.0871848772086904E-2</v>
      </c>
      <c r="L30" s="7">
        <f t="shared" si="23"/>
        <v>0.91912815122791314</v>
      </c>
      <c r="O30">
        <f t="shared" si="10"/>
        <v>2002</v>
      </c>
      <c r="P30" s="6">
        <f t="shared" si="3"/>
        <v>0.13656088372314254</v>
      </c>
      <c r="Q30" s="6"/>
      <c r="R30" s="6">
        <f t="shared" si="4"/>
        <v>0.21999659949704195</v>
      </c>
      <c r="S30" s="6">
        <f t="shared" si="5"/>
        <v>8.7982649586063763E-2</v>
      </c>
      <c r="T30" s="6"/>
      <c r="U30" s="6">
        <f t="shared" si="11"/>
        <v>0.12544473595162625</v>
      </c>
      <c r="V30" s="6">
        <f t="shared" si="12"/>
        <v>0.43001513124212537</v>
      </c>
      <c r="W30" s="6">
        <f t="shared" si="24"/>
        <v>1</v>
      </c>
      <c r="X30" s="7">
        <f t="shared" si="25"/>
        <v>0.56998486875787457</v>
      </c>
      <c r="Y30" s="7">
        <f t="shared" si="26"/>
        <v>0</v>
      </c>
      <c r="Z30" s="22"/>
      <c r="AA30">
        <f t="shared" si="13"/>
        <v>2002</v>
      </c>
      <c r="AB30" s="36">
        <v>0</v>
      </c>
      <c r="AC30" s="36"/>
      <c r="AD30" s="36">
        <v>0</v>
      </c>
      <c r="AE30" s="36">
        <v>0</v>
      </c>
      <c r="AF30" s="36"/>
      <c r="AG30" s="36">
        <v>0</v>
      </c>
      <c r="AH30" s="36">
        <f>I30</f>
        <v>91222.338555274619</v>
      </c>
      <c r="AI30" s="2">
        <f t="shared" si="14"/>
        <v>91222.338555274619</v>
      </c>
      <c r="AJ30" s="2">
        <f t="shared" si="8"/>
        <v>0</v>
      </c>
    </row>
    <row r="31" spans="1:36" x14ac:dyDescent="0.25">
      <c r="A31">
        <f t="shared" si="9"/>
        <v>2003</v>
      </c>
      <c r="B31" s="2">
        <f t="shared" si="15"/>
        <v>0</v>
      </c>
      <c r="C31" s="2"/>
      <c r="D31" s="2">
        <f t="shared" si="16"/>
        <v>0</v>
      </c>
      <c r="E31" s="2">
        <f t="shared" si="17"/>
        <v>0</v>
      </c>
      <c r="F31" s="2"/>
      <c r="G31" s="2">
        <f t="shared" si="18"/>
        <v>0</v>
      </c>
      <c r="H31" s="2">
        <f t="shared" si="19"/>
        <v>94843.865395919027</v>
      </c>
      <c r="I31" s="2">
        <f t="shared" si="20"/>
        <v>94843.865395919027</v>
      </c>
      <c r="J31" s="2">
        <f t="shared" si="21"/>
        <v>3621.5268406444084</v>
      </c>
      <c r="K31" s="6">
        <f t="shared" si="22"/>
        <v>3.9700000000000069E-2</v>
      </c>
      <c r="L31" s="7">
        <f t="shared" si="23"/>
        <v>1.0397000000000001</v>
      </c>
      <c r="O31">
        <f t="shared" si="10"/>
        <v>2003</v>
      </c>
      <c r="P31" s="6">
        <f t="shared" si="3"/>
        <v>0</v>
      </c>
      <c r="Q31" s="6"/>
      <c r="R31" s="6">
        <f t="shared" si="4"/>
        <v>0</v>
      </c>
      <c r="S31" s="6">
        <f t="shared" si="5"/>
        <v>0</v>
      </c>
      <c r="T31" s="6"/>
      <c r="U31" s="6">
        <f t="shared" si="11"/>
        <v>0</v>
      </c>
      <c r="V31" s="6">
        <f t="shared" si="12"/>
        <v>1</v>
      </c>
      <c r="W31" s="6">
        <f t="shared" si="24"/>
        <v>1</v>
      </c>
      <c r="X31" s="7">
        <f t="shared" si="25"/>
        <v>0</v>
      </c>
      <c r="Y31" s="7">
        <f t="shared" si="26"/>
        <v>0</v>
      </c>
      <c r="Z31" s="22"/>
      <c r="AA31">
        <f t="shared" si="13"/>
        <v>2003</v>
      </c>
      <c r="AB31" s="36">
        <f>$I31*P$27</f>
        <v>18968.773079183808</v>
      </c>
      <c r="AC31" s="36"/>
      <c r="AD31" s="36">
        <f>$I31*R$27</f>
        <v>18968.773079183808</v>
      </c>
      <c r="AE31" s="36">
        <f>$I31*S$27</f>
        <v>9484.3865395919038</v>
      </c>
      <c r="AF31" s="36"/>
      <c r="AG31" s="36">
        <f>$I31*U$27</f>
        <v>18968.773079183808</v>
      </c>
      <c r="AH31" s="36">
        <f>$I31*V$27</f>
        <v>28453.159618775706</v>
      </c>
      <c r="AI31" s="2">
        <f t="shared" si="14"/>
        <v>94843.865395919041</v>
      </c>
      <c r="AJ31" s="2">
        <f t="shared" si="8"/>
        <v>0</v>
      </c>
    </row>
    <row r="32" spans="1:36" x14ac:dyDescent="0.25">
      <c r="A32">
        <f t="shared" si="9"/>
        <v>2004</v>
      </c>
      <c r="B32" s="2">
        <f t="shared" si="15"/>
        <v>21006.019307888146</v>
      </c>
      <c r="C32" s="2"/>
      <c r="D32" s="2">
        <f t="shared" si="16"/>
        <v>22829.487463990088</v>
      </c>
      <c r="E32" s="2">
        <f t="shared" si="17"/>
        <v>11371.494929374505</v>
      </c>
      <c r="F32" s="2"/>
      <c r="G32" s="2">
        <f t="shared" si="18"/>
        <v>22921.296325693336</v>
      </c>
      <c r="H32" s="2">
        <f t="shared" si="19"/>
        <v>29659.573586611794</v>
      </c>
      <c r="I32" s="2">
        <f t="shared" si="20"/>
        <v>107787.87161355787</v>
      </c>
      <c r="J32" s="2">
        <f t="shared" si="21"/>
        <v>12944.006217638846</v>
      </c>
      <c r="K32" s="6">
        <f t="shared" si="22"/>
        <v>0.13647700000000004</v>
      </c>
      <c r="L32" s="7">
        <f t="shared" si="23"/>
        <v>1.136477</v>
      </c>
      <c r="O32">
        <f t="shared" si="10"/>
        <v>2004</v>
      </c>
      <c r="P32" s="6">
        <f t="shared" si="3"/>
        <v>0.19488295847606241</v>
      </c>
      <c r="Q32" s="6"/>
      <c r="R32" s="6">
        <f t="shared" si="4"/>
        <v>0.21180015081695452</v>
      </c>
      <c r="S32" s="6">
        <f t="shared" si="5"/>
        <v>0.1054988354361769</v>
      </c>
      <c r="T32" s="6"/>
      <c r="U32" s="6">
        <f t="shared" si="11"/>
        <v>0.21265190584587282</v>
      </c>
      <c r="V32" s="6">
        <f t="shared" si="12"/>
        <v>0.27516614942493334</v>
      </c>
      <c r="W32" s="6">
        <f t="shared" si="24"/>
        <v>1</v>
      </c>
      <c r="X32" s="7">
        <f t="shared" si="25"/>
        <v>0.72483385057506666</v>
      </c>
      <c r="Y32" s="7">
        <f t="shared" si="26"/>
        <v>0</v>
      </c>
      <c r="Z32" s="22"/>
      <c r="AA32">
        <f t="shared" si="13"/>
        <v>2004</v>
      </c>
      <c r="AB32" s="2">
        <f>B32</f>
        <v>21006.019307888146</v>
      </c>
      <c r="AC32" s="2"/>
      <c r="AD32" s="2">
        <f>D32</f>
        <v>22829.487463990088</v>
      </c>
      <c r="AE32" s="2">
        <f>E32</f>
        <v>11371.494929374505</v>
      </c>
      <c r="AF32" s="2"/>
      <c r="AG32" s="2">
        <f>G32</f>
        <v>22921.296325693336</v>
      </c>
      <c r="AH32" s="2">
        <f>H32</f>
        <v>29659.573586611794</v>
      </c>
      <c r="AI32" s="2">
        <f t="shared" si="14"/>
        <v>107787.87161355787</v>
      </c>
      <c r="AJ32" s="2">
        <f t="shared" si="8"/>
        <v>0</v>
      </c>
    </row>
    <row r="33" spans="1:36" x14ac:dyDescent="0.25">
      <c r="A33">
        <f t="shared" si="9"/>
        <v>2005</v>
      </c>
      <c r="B33" s="2">
        <f t="shared" si="15"/>
        <v>22008.006428874411</v>
      </c>
      <c r="C33" s="2"/>
      <c r="D33" s="2">
        <f t="shared" si="16"/>
        <v>26009.863362598549</v>
      </c>
      <c r="E33" s="2">
        <f t="shared" si="17"/>
        <v>12208.778101024351</v>
      </c>
      <c r="F33" s="2"/>
      <c r="G33" s="2">
        <f t="shared" si="18"/>
        <v>26490.371376567047</v>
      </c>
      <c r="H33" s="2">
        <f t="shared" si="19"/>
        <v>30371.403352690479</v>
      </c>
      <c r="I33" s="2">
        <f t="shared" si="20"/>
        <v>117088.42262175484</v>
      </c>
      <c r="J33" s="2">
        <f t="shared" si="21"/>
        <v>9300.5510081969696</v>
      </c>
      <c r="K33" s="6">
        <f t="shared" si="22"/>
        <v>8.6285691228243158E-2</v>
      </c>
      <c r="L33" s="7">
        <f t="shared" si="23"/>
        <v>1.0862856912282433</v>
      </c>
      <c r="O33">
        <f t="shared" si="10"/>
        <v>2005</v>
      </c>
      <c r="P33" s="6">
        <f t="shared" si="3"/>
        <v>0.18796056805692554</v>
      </c>
      <c r="Q33" s="6"/>
      <c r="R33" s="6">
        <f t="shared" si="4"/>
        <v>0.22213864343037071</v>
      </c>
      <c r="S33" s="6">
        <f t="shared" si="5"/>
        <v>0.10426972904455183</v>
      </c>
      <c r="T33" s="6"/>
      <c r="U33" s="6">
        <f t="shared" si="11"/>
        <v>0.2262424480867947</v>
      </c>
      <c r="V33" s="6">
        <f t="shared" si="12"/>
        <v>0.25938861138135721</v>
      </c>
      <c r="W33" s="6">
        <f t="shared" si="24"/>
        <v>1</v>
      </c>
      <c r="X33" s="7">
        <f t="shared" si="25"/>
        <v>0.74061138861864273</v>
      </c>
      <c r="Y33" s="7">
        <f t="shared" si="26"/>
        <v>0</v>
      </c>
      <c r="Z33" s="22"/>
      <c r="AA33">
        <f t="shared" si="13"/>
        <v>2005</v>
      </c>
      <c r="AB33" s="2">
        <f t="shared" ref="AB33:AB35" si="27">B33</f>
        <v>22008.006428874411</v>
      </c>
      <c r="AC33" s="2"/>
      <c r="AD33" s="2">
        <f t="shared" ref="AD33:AD35" si="28">D33</f>
        <v>26009.863362598549</v>
      </c>
      <c r="AE33" s="2">
        <f t="shared" ref="AE33:AE35" si="29">E33</f>
        <v>12208.778101024351</v>
      </c>
      <c r="AF33" s="2"/>
      <c r="AG33" s="2">
        <f t="shared" ref="AG33:AG35" si="30">G33</f>
        <v>26490.371376567047</v>
      </c>
      <c r="AH33" s="2">
        <f t="shared" ref="AH33:AH35" si="31">H33</f>
        <v>30371.403352690479</v>
      </c>
      <c r="AI33" s="2">
        <f t="shared" si="14"/>
        <v>117088.42262175484</v>
      </c>
      <c r="AJ33" s="2">
        <f t="shared" si="8"/>
        <v>0</v>
      </c>
    </row>
    <row r="34" spans="1:36" x14ac:dyDescent="0.25">
      <c r="A34">
        <f t="shared" si="9"/>
        <v>2006</v>
      </c>
      <c r="B34" s="2">
        <f t="shared" si="15"/>
        <v>25450.058634350371</v>
      </c>
      <c r="C34" s="2"/>
      <c r="D34" s="2">
        <f t="shared" si="16"/>
        <v>29546.424484011073</v>
      </c>
      <c r="E34" s="2">
        <f t="shared" si="17"/>
        <v>14120.184400520724</v>
      </c>
      <c r="F34" s="2"/>
      <c r="G34" s="2">
        <f t="shared" si="18"/>
        <v>33546.611600143209</v>
      </c>
      <c r="H34" s="2">
        <f t="shared" si="19"/>
        <v>31668.26227585036</v>
      </c>
      <c r="I34" s="2">
        <f t="shared" si="20"/>
        <v>134331.54139487573</v>
      </c>
      <c r="J34" s="2">
        <f t="shared" si="21"/>
        <v>17243.118773120892</v>
      </c>
      <c r="K34" s="6">
        <f t="shared" si="22"/>
        <v>0.14726578757340905</v>
      </c>
      <c r="L34" s="7">
        <f t="shared" si="23"/>
        <v>1.1472657875734091</v>
      </c>
      <c r="O34">
        <f t="shared" si="10"/>
        <v>2006</v>
      </c>
      <c r="P34" s="6">
        <f t="shared" si="3"/>
        <v>0.18945705803775731</v>
      </c>
      <c r="Q34" s="6"/>
      <c r="R34" s="6">
        <f t="shared" si="4"/>
        <v>0.21995150340125677</v>
      </c>
      <c r="S34" s="6">
        <f t="shared" si="5"/>
        <v>0.10511443741283057</v>
      </c>
      <c r="T34" s="6"/>
      <c r="U34" s="6">
        <f t="shared" si="11"/>
        <v>0.24972996849288659</v>
      </c>
      <c r="V34" s="6">
        <f t="shared" si="12"/>
        <v>0.23574703265526878</v>
      </c>
      <c r="W34" s="6">
        <f t="shared" si="24"/>
        <v>0.99999999999999989</v>
      </c>
      <c r="X34" s="7">
        <f t="shared" si="25"/>
        <v>0.76425296734473114</v>
      </c>
      <c r="Y34" s="7">
        <f t="shared" si="26"/>
        <v>0</v>
      </c>
      <c r="Z34" s="22"/>
      <c r="AA34">
        <f t="shared" si="13"/>
        <v>2006</v>
      </c>
      <c r="AB34" s="2">
        <f t="shared" si="27"/>
        <v>25450.058634350371</v>
      </c>
      <c r="AC34" s="2"/>
      <c r="AD34" s="2">
        <f t="shared" si="28"/>
        <v>29546.424484011073</v>
      </c>
      <c r="AE34" s="2">
        <f t="shared" si="29"/>
        <v>14120.184400520724</v>
      </c>
      <c r="AF34" s="2"/>
      <c r="AG34" s="2">
        <f t="shared" si="30"/>
        <v>33546.611600143209</v>
      </c>
      <c r="AH34" s="2">
        <f t="shared" si="31"/>
        <v>31668.26227585036</v>
      </c>
      <c r="AI34" s="2">
        <f t="shared" si="14"/>
        <v>134331.54139487573</v>
      </c>
      <c r="AJ34" s="2">
        <f t="shared" si="8"/>
        <v>0</v>
      </c>
    </row>
    <row r="35" spans="1:36" x14ac:dyDescent="0.25">
      <c r="A35">
        <f t="shared" si="9"/>
        <v>2007</v>
      </c>
      <c r="B35" s="2">
        <f t="shared" si="15"/>
        <v>26821.816794741859</v>
      </c>
      <c r="C35" s="2"/>
      <c r="D35" s="2">
        <f t="shared" si="16"/>
        <v>31325.414702193382</v>
      </c>
      <c r="E35" s="2">
        <f t="shared" si="17"/>
        <v>14283.413732190744</v>
      </c>
      <c r="F35" s="2"/>
      <c r="G35" s="2">
        <f t="shared" si="18"/>
        <v>38753.716652717434</v>
      </c>
      <c r="H35" s="2">
        <f t="shared" si="19"/>
        <v>33859.706025339205</v>
      </c>
      <c r="I35" s="2">
        <f t="shared" si="20"/>
        <v>145044.06790718262</v>
      </c>
      <c r="J35" s="2">
        <f t="shared" si="21"/>
        <v>10712.526512306882</v>
      </c>
      <c r="K35" s="6">
        <f t="shared" si="22"/>
        <v>7.9746918713727549E-2</v>
      </c>
      <c r="L35" s="7">
        <f t="shared" si="23"/>
        <v>1.0797469187137276</v>
      </c>
      <c r="O35">
        <f t="shared" si="10"/>
        <v>2007</v>
      </c>
      <c r="P35" s="6">
        <f t="shared" si="3"/>
        <v>0.18492184604134118</v>
      </c>
      <c r="Q35" s="6"/>
      <c r="R35" s="6">
        <f t="shared" si="4"/>
        <v>0.21597170538707802</v>
      </c>
      <c r="S35" s="6">
        <f t="shared" si="5"/>
        <v>9.8476372996729955E-2</v>
      </c>
      <c r="T35" s="6"/>
      <c r="U35" s="6">
        <f t="shared" si="11"/>
        <v>0.26718580919501594</v>
      </c>
      <c r="V35" s="6">
        <f t="shared" si="12"/>
        <v>0.23344426637983492</v>
      </c>
      <c r="W35" s="6">
        <f t="shared" si="24"/>
        <v>1</v>
      </c>
      <c r="X35" s="7">
        <f t="shared" si="25"/>
        <v>0.76655573362016516</v>
      </c>
      <c r="Y35" s="7">
        <f t="shared" si="26"/>
        <v>0</v>
      </c>
      <c r="Z35" s="22"/>
      <c r="AA35">
        <f t="shared" si="13"/>
        <v>2007</v>
      </c>
      <c r="AB35" s="2">
        <f t="shared" si="27"/>
        <v>26821.816794741859</v>
      </c>
      <c r="AC35" s="2"/>
      <c r="AD35" s="2">
        <f t="shared" si="28"/>
        <v>31325.414702193382</v>
      </c>
      <c r="AE35" s="2">
        <f t="shared" si="29"/>
        <v>14283.413732190744</v>
      </c>
      <c r="AF35" s="2"/>
      <c r="AG35" s="2">
        <f t="shared" si="30"/>
        <v>38753.716652717434</v>
      </c>
      <c r="AH35" s="2">
        <f t="shared" si="31"/>
        <v>33859.706025339205</v>
      </c>
      <c r="AI35" s="2">
        <f t="shared" si="14"/>
        <v>145044.06790718262</v>
      </c>
      <c r="AJ35" s="2">
        <f t="shared" si="8"/>
        <v>0</v>
      </c>
    </row>
    <row r="36" spans="1:36" x14ac:dyDescent="0.25">
      <c r="A36">
        <f t="shared" si="9"/>
        <v>2008</v>
      </c>
      <c r="B36" s="2">
        <f t="shared" si="15"/>
        <v>16892.38021732842</v>
      </c>
      <c r="C36" s="2"/>
      <c r="D36" s="2">
        <f t="shared" si="16"/>
        <v>18223.873257148025</v>
      </c>
      <c r="E36" s="2">
        <f t="shared" si="17"/>
        <v>9131.3863989895417</v>
      </c>
      <c r="F36" s="2"/>
      <c r="G36" s="2">
        <f t="shared" si="18"/>
        <v>21662.940071702516</v>
      </c>
      <c r="H36" s="2">
        <f t="shared" si="19"/>
        <v>35569.621179618836</v>
      </c>
      <c r="I36" s="2">
        <f t="shared" si="20"/>
        <v>101480.20112478733</v>
      </c>
      <c r="J36" s="2">
        <f t="shared" si="21"/>
        <v>-43563.866782395286</v>
      </c>
      <c r="K36" s="6">
        <f t="shared" si="22"/>
        <v>-0.30034917946642886</v>
      </c>
      <c r="L36" s="7">
        <f t="shared" si="23"/>
        <v>0.69965082053357119</v>
      </c>
      <c r="O36">
        <f t="shared" si="10"/>
        <v>2008</v>
      </c>
      <c r="P36" s="6">
        <f t="shared" si="3"/>
        <v>0.16645986143204761</v>
      </c>
      <c r="Q36" s="6"/>
      <c r="R36" s="6">
        <f t="shared" si="4"/>
        <v>0.17958057882383033</v>
      </c>
      <c r="S36" s="6">
        <f t="shared" si="5"/>
        <v>8.9981950151645188E-2</v>
      </c>
      <c r="T36" s="6"/>
      <c r="U36" s="6">
        <f t="shared" si="11"/>
        <v>0.21346962098610953</v>
      </c>
      <c r="V36" s="6">
        <f t="shared" si="12"/>
        <v>0.35050798860636745</v>
      </c>
      <c r="W36" s="6">
        <f t="shared" si="24"/>
        <v>1</v>
      </c>
      <c r="X36" s="7">
        <f t="shared" si="25"/>
        <v>0.64949201139363266</v>
      </c>
      <c r="Y36" s="7">
        <f t="shared" si="26"/>
        <v>0</v>
      </c>
      <c r="Z36" s="22"/>
      <c r="AA36">
        <f t="shared" si="13"/>
        <v>2008</v>
      </c>
      <c r="AB36" s="36">
        <v>0</v>
      </c>
      <c r="AC36" s="36"/>
      <c r="AD36" s="36">
        <v>0</v>
      </c>
      <c r="AE36" s="36">
        <v>0</v>
      </c>
      <c r="AF36" s="36"/>
      <c r="AG36" s="36">
        <v>0</v>
      </c>
      <c r="AH36" s="36">
        <f>I36</f>
        <v>101480.20112478733</v>
      </c>
      <c r="AI36" s="2">
        <f t="shared" si="14"/>
        <v>101480.20112478733</v>
      </c>
      <c r="AJ36" s="2">
        <f t="shared" si="8"/>
        <v>0</v>
      </c>
    </row>
    <row r="37" spans="1:36" x14ac:dyDescent="0.25">
      <c r="A37">
        <f t="shared" si="9"/>
        <v>2009</v>
      </c>
      <c r="B37" s="2">
        <f t="shared" si="15"/>
        <v>0</v>
      </c>
      <c r="C37" s="2"/>
      <c r="D37" s="2">
        <f t="shared" si="16"/>
        <v>0</v>
      </c>
      <c r="E37" s="2">
        <f t="shared" si="17"/>
        <v>0</v>
      </c>
      <c r="F37" s="2"/>
      <c r="G37" s="2">
        <f t="shared" si="18"/>
        <v>0</v>
      </c>
      <c r="H37" s="2">
        <f t="shared" si="19"/>
        <v>107497.97705148721</v>
      </c>
      <c r="I37" s="2">
        <f t="shared" si="20"/>
        <v>107497.97705148721</v>
      </c>
      <c r="J37" s="2">
        <f t="shared" si="21"/>
        <v>6017.7759266998764</v>
      </c>
      <c r="K37" s="6">
        <f t="shared" si="22"/>
        <v>5.9299999999999881E-2</v>
      </c>
      <c r="L37" s="7">
        <f t="shared" si="23"/>
        <v>1.0592999999999999</v>
      </c>
      <c r="O37">
        <f t="shared" si="10"/>
        <v>2009</v>
      </c>
      <c r="P37" s="6">
        <f t="shared" si="3"/>
        <v>0</v>
      </c>
      <c r="Q37" s="6"/>
      <c r="R37" s="6">
        <f t="shared" si="4"/>
        <v>0</v>
      </c>
      <c r="S37" s="6">
        <f t="shared" si="5"/>
        <v>0</v>
      </c>
      <c r="T37" s="6"/>
      <c r="U37" s="6">
        <f t="shared" si="11"/>
        <v>0</v>
      </c>
      <c r="V37" s="6">
        <f t="shared" si="12"/>
        <v>1</v>
      </c>
      <c r="W37" s="6">
        <f t="shared" si="24"/>
        <v>1</v>
      </c>
      <c r="X37" s="7">
        <f t="shared" si="25"/>
        <v>0</v>
      </c>
      <c r="Y37" s="7">
        <f t="shared" si="26"/>
        <v>0</v>
      </c>
      <c r="Z37" s="22"/>
      <c r="AA37">
        <f t="shared" si="13"/>
        <v>2009</v>
      </c>
      <c r="AB37" s="36">
        <f>$I37*P$27</f>
        <v>21499.595410297443</v>
      </c>
      <c r="AC37" s="36"/>
      <c r="AD37" s="36">
        <f>$I37*R$27</f>
        <v>21499.595410297443</v>
      </c>
      <c r="AE37" s="36">
        <f>$I37*S$27</f>
        <v>10749.797705148721</v>
      </c>
      <c r="AF37" s="36"/>
      <c r="AG37" s="36">
        <f>$I37*U$27</f>
        <v>21499.595410297443</v>
      </c>
      <c r="AH37" s="36">
        <f>$I37*V$27</f>
        <v>32249.393115446161</v>
      </c>
      <c r="AI37" s="2">
        <f t="shared" si="14"/>
        <v>107497.97705148721</v>
      </c>
      <c r="AJ37" s="2">
        <f t="shared" si="8"/>
        <v>0</v>
      </c>
    </row>
    <row r="38" spans="1:36" x14ac:dyDescent="0.25">
      <c r="A38">
        <f t="shared" si="9"/>
        <v>2010</v>
      </c>
      <c r="B38" s="2">
        <f t="shared" si="15"/>
        <v>24705.185085972793</v>
      </c>
      <c r="C38" s="2"/>
      <c r="D38" s="2">
        <f t="shared" si="16"/>
        <v>26973.392401759171</v>
      </c>
      <c r="E38" s="2">
        <f t="shared" si="17"/>
        <v>13729.641629015949</v>
      </c>
      <c r="F38" s="2"/>
      <c r="G38" s="2">
        <f t="shared" si="18"/>
        <v>23890.350419922517</v>
      </c>
      <c r="H38" s="2">
        <f t="shared" si="19"/>
        <v>34319.804153457808</v>
      </c>
      <c r="I38" s="2">
        <f t="shared" si="20"/>
        <v>123618.37369012824</v>
      </c>
      <c r="J38" s="2">
        <f t="shared" si="21"/>
        <v>16120.396638641032</v>
      </c>
      <c r="K38" s="6">
        <f t="shared" si="22"/>
        <v>0.14996000000000009</v>
      </c>
      <c r="L38" s="7">
        <f t="shared" si="23"/>
        <v>1.1499600000000001</v>
      </c>
      <c r="O38">
        <f t="shared" si="10"/>
        <v>2010</v>
      </c>
      <c r="P38" s="6">
        <f t="shared" si="3"/>
        <v>0.19985042958015931</v>
      </c>
      <c r="Q38" s="6"/>
      <c r="R38" s="6">
        <f t="shared" si="4"/>
        <v>0.21819889387456953</v>
      </c>
      <c r="S38" s="6">
        <f t="shared" si="5"/>
        <v>0.11106473268635432</v>
      </c>
      <c r="T38" s="7"/>
      <c r="U38" s="6">
        <f t="shared" si="11"/>
        <v>0.19325889596159865</v>
      </c>
      <c r="V38" s="6">
        <f t="shared" si="12"/>
        <v>0.27762704789731818</v>
      </c>
      <c r="W38" s="6">
        <f t="shared" si="24"/>
        <v>1</v>
      </c>
      <c r="X38" s="7">
        <f t="shared" si="25"/>
        <v>0.72237295210268182</v>
      </c>
      <c r="Y38" s="7">
        <f t="shared" si="26"/>
        <v>0</v>
      </c>
      <c r="Z38" s="22"/>
      <c r="AA38">
        <f t="shared" si="13"/>
        <v>2010</v>
      </c>
      <c r="AB38" s="2">
        <f t="shared" ref="AB38:AB40" si="32">B38</f>
        <v>24705.185085972793</v>
      </c>
      <c r="AC38" s="2"/>
      <c r="AD38" s="2">
        <f t="shared" ref="AD38:AE40" si="33">D38</f>
        <v>26973.392401759171</v>
      </c>
      <c r="AE38" s="2">
        <f t="shared" si="33"/>
        <v>13729.641629015949</v>
      </c>
      <c r="AF38" s="2"/>
      <c r="AG38" s="2">
        <f t="shared" ref="AG38:AH40" si="34">G38</f>
        <v>23890.350419922517</v>
      </c>
      <c r="AH38" s="2">
        <f t="shared" si="34"/>
        <v>34319.804153457808</v>
      </c>
      <c r="AI38" s="2">
        <f t="shared" si="14"/>
        <v>123618.37369012824</v>
      </c>
      <c r="AJ38" s="2">
        <f t="shared" si="8"/>
        <v>0</v>
      </c>
    </row>
    <row r="39" spans="1:36" x14ac:dyDescent="0.25">
      <c r="A39">
        <f t="shared" si="9"/>
        <v>2011</v>
      </c>
      <c r="B39" s="2">
        <f t="shared" si="15"/>
        <v>25191.877232166458</v>
      </c>
      <c r="C39" s="2"/>
      <c r="D39" s="2">
        <f t="shared" si="16"/>
        <v>26404.253822082053</v>
      </c>
      <c r="E39" s="2">
        <f t="shared" si="17"/>
        <v>13345.211663403501</v>
      </c>
      <c r="F39" s="2"/>
      <c r="G39" s="2">
        <f t="shared" si="18"/>
        <v>20411.915398781799</v>
      </c>
      <c r="H39" s="2">
        <f t="shared" si="19"/>
        <v>36914.381347459224</v>
      </c>
      <c r="I39" s="2">
        <f t="shared" si="20"/>
        <v>122267.63946389305</v>
      </c>
      <c r="J39" s="2">
        <f t="shared" si="21"/>
        <v>-1350.7342262351885</v>
      </c>
      <c r="K39" s="6">
        <f t="shared" si="22"/>
        <v>-1.0926646144213542E-2</v>
      </c>
      <c r="L39" s="7">
        <f t="shared" si="23"/>
        <v>0.98907335385578643</v>
      </c>
      <c r="O39">
        <f t="shared" si="10"/>
        <v>2011</v>
      </c>
      <c r="P39" s="6">
        <f t="shared" si="3"/>
        <v>0.20603879605940942</v>
      </c>
      <c r="Q39" s="7"/>
      <c r="R39" s="6">
        <f t="shared" si="4"/>
        <v>0.21595455623300483</v>
      </c>
      <c r="S39" s="6">
        <f t="shared" si="5"/>
        <v>0.10914753668197287</v>
      </c>
      <c r="T39" s="7"/>
      <c r="U39" s="6">
        <f t="shared" si="11"/>
        <v>0.16694454467496003</v>
      </c>
      <c r="V39" s="6">
        <f t="shared" si="12"/>
        <v>0.30191456635065272</v>
      </c>
      <c r="W39" s="6">
        <f t="shared" si="24"/>
        <v>0.99999999999999989</v>
      </c>
      <c r="X39" s="7">
        <f t="shared" si="25"/>
        <v>0.69808543364934716</v>
      </c>
      <c r="Y39" s="7">
        <f t="shared" si="26"/>
        <v>0</v>
      </c>
      <c r="Z39" s="22"/>
      <c r="AA39">
        <f t="shared" si="13"/>
        <v>2011</v>
      </c>
      <c r="AB39" s="2">
        <f t="shared" si="32"/>
        <v>25191.877232166458</v>
      </c>
      <c r="AC39" s="2"/>
      <c r="AD39" s="2">
        <f t="shared" si="33"/>
        <v>26404.253822082053</v>
      </c>
      <c r="AE39" s="2">
        <f t="shared" si="33"/>
        <v>13345.211663403501</v>
      </c>
      <c r="AF39" s="2"/>
      <c r="AG39" s="2">
        <f t="shared" si="34"/>
        <v>20411.915398781799</v>
      </c>
      <c r="AH39" s="2">
        <f t="shared" si="34"/>
        <v>36914.381347459224</v>
      </c>
      <c r="AI39" s="2">
        <f t="shared" si="14"/>
        <v>122267.63946389305</v>
      </c>
      <c r="AJ39" s="2">
        <f t="shared" si="8"/>
        <v>0</v>
      </c>
    </row>
    <row r="40" spans="1:36" x14ac:dyDescent="0.25">
      <c r="A40">
        <f t="shared" si="9"/>
        <v>2012</v>
      </c>
      <c r="B40" s="2">
        <f t="shared" si="15"/>
        <v>29177.232210295188</v>
      </c>
      <c r="C40" s="2"/>
      <c r="D40" s="2">
        <f t="shared" si="16"/>
        <v>30576.125925971017</v>
      </c>
      <c r="E40" s="2">
        <f t="shared" si="17"/>
        <v>15752.687847481495</v>
      </c>
      <c r="F40" s="2"/>
      <c r="G40" s="2">
        <f t="shared" si="18"/>
        <v>24114.636852120817</v>
      </c>
      <c r="H40" s="2">
        <f t="shared" si="19"/>
        <v>38409.413792031322</v>
      </c>
      <c r="I40" s="2">
        <f t="shared" si="20"/>
        <v>138030.09662789985</v>
      </c>
      <c r="J40" s="2">
        <f t="shared" si="21"/>
        <v>15762.457164006802</v>
      </c>
      <c r="K40" s="6">
        <f t="shared" si="22"/>
        <v>0.12891765338008038</v>
      </c>
      <c r="L40" s="7">
        <f t="shared" si="23"/>
        <v>1.1289176533800804</v>
      </c>
      <c r="O40">
        <f t="shared" si="10"/>
        <v>2012</v>
      </c>
      <c r="P40" s="6">
        <f t="shared" si="3"/>
        <v>0.21138311805251342</v>
      </c>
      <c r="Q40" s="7"/>
      <c r="R40" s="6">
        <f t="shared" si="4"/>
        <v>0.22151781874352974</v>
      </c>
      <c r="S40" s="6">
        <f t="shared" si="5"/>
        <v>0.11412502224023963</v>
      </c>
      <c r="T40" s="7"/>
      <c r="U40" s="6">
        <f t="shared" si="11"/>
        <v>0.17470564348823731</v>
      </c>
      <c r="V40" s="6">
        <f t="shared" si="12"/>
        <v>0.27826839747547982</v>
      </c>
      <c r="W40" s="6">
        <f t="shared" si="24"/>
        <v>0.99999999999999978</v>
      </c>
      <c r="X40" s="7">
        <f t="shared" si="25"/>
        <v>0.72173160252451996</v>
      </c>
      <c r="Y40" s="7">
        <f t="shared" si="26"/>
        <v>0</v>
      </c>
      <c r="Z40" s="22"/>
      <c r="AA40">
        <f t="shared" si="13"/>
        <v>2012</v>
      </c>
      <c r="AB40" s="2">
        <f t="shared" si="32"/>
        <v>29177.232210295188</v>
      </c>
      <c r="AC40" s="2"/>
      <c r="AD40" s="2">
        <f t="shared" si="33"/>
        <v>30576.125925971017</v>
      </c>
      <c r="AE40" s="2">
        <f t="shared" si="33"/>
        <v>15752.687847481495</v>
      </c>
      <c r="AF40" s="2"/>
      <c r="AG40" s="2">
        <f t="shared" si="34"/>
        <v>24114.636852120817</v>
      </c>
      <c r="AH40" s="2">
        <f t="shared" si="34"/>
        <v>38409.413792031322</v>
      </c>
      <c r="AI40" s="2">
        <f t="shared" si="14"/>
        <v>138030.09662789985</v>
      </c>
      <c r="AJ40" s="2">
        <f t="shared" si="8"/>
        <v>0</v>
      </c>
    </row>
    <row r="41" spans="1:36" x14ac:dyDescent="0.25">
      <c r="A41">
        <f t="shared" si="9"/>
        <v>2013</v>
      </c>
      <c r="B41" s="2">
        <f t="shared" si="15"/>
        <v>38566.465535568183</v>
      </c>
      <c r="C41" s="2"/>
      <c r="D41" s="2">
        <f t="shared" ref="D41:E41" si="35">AD40*(1+(D17/100))</f>
        <v>41277.770000060875</v>
      </c>
      <c r="E41" s="2">
        <f t="shared" si="35"/>
        <v>21678.849015704032</v>
      </c>
      <c r="F41" s="2"/>
      <c r="G41" s="2">
        <f t="shared" ref="G41:H41" si="36">AG40*(1+(G17/100))</f>
        <v>27741.478234679784</v>
      </c>
      <c r="H41" s="2">
        <f t="shared" si="36"/>
        <v>37541.361040331416</v>
      </c>
      <c r="I41" s="2">
        <f t="shared" ref="I41:I42" si="37">SUM(B41:H41)</f>
        <v>166805.92382634431</v>
      </c>
      <c r="J41" s="2">
        <f t="shared" ref="J41:J42" si="38">I41-I40</f>
        <v>28775.827198444458</v>
      </c>
      <c r="K41" s="6">
        <f t="shared" ref="K41:K42" si="39">(J41/I40)</f>
        <v>0.20847502031399748</v>
      </c>
      <c r="L41" s="7">
        <f t="shared" ref="L41:L42" si="40">K41+1</f>
        <v>1.2084750203139976</v>
      </c>
      <c r="O41">
        <f t="shared" ref="O41:O42" si="41">A41</f>
        <v>2013</v>
      </c>
      <c r="P41" s="6">
        <f t="shared" ref="P41:P42" si="42">B41/$I41</f>
        <v>0.23120561099327835</v>
      </c>
      <c r="Q41" s="7"/>
      <c r="R41" s="6">
        <f t="shared" ref="R41:R42" si="43">D41/$I41</f>
        <v>0.24745985665972922</v>
      </c>
      <c r="S41" s="6">
        <f t="shared" ref="S41:S42" si="44">E41/$I41</f>
        <v>0.12996450316880298</v>
      </c>
      <c r="T41" s="7"/>
      <c r="U41" s="6">
        <f t="shared" ref="U41:U42" si="45">G41/$I41</f>
        <v>0.16630991033364287</v>
      </c>
      <c r="V41" s="6">
        <f t="shared" ref="V41:V42" si="46">H41/$I41</f>
        <v>0.22506011884454646</v>
      </c>
      <c r="W41" s="6">
        <f t="shared" ref="W41:W42" si="47">SUM(P41:V41)</f>
        <v>0.99999999999999989</v>
      </c>
      <c r="X41" s="7">
        <f t="shared" ref="X41:X42" si="48">SUM(P41:U41)</f>
        <v>0.77493988115545342</v>
      </c>
      <c r="Y41" s="7">
        <f t="shared" ref="Y41:Y42" si="49">W41-(X41+V41)</f>
        <v>0</v>
      </c>
      <c r="Z41" s="22"/>
      <c r="AA41">
        <f t="shared" ref="AA41:AA42" si="50">O41</f>
        <v>2013</v>
      </c>
      <c r="AB41" s="2">
        <f t="shared" ref="AB41:AB42" si="51">B41</f>
        <v>38566.465535568183</v>
      </c>
      <c r="AC41" s="2"/>
      <c r="AD41" s="2">
        <f t="shared" ref="AD41:AD42" si="52">D41</f>
        <v>41277.770000060875</v>
      </c>
      <c r="AE41" s="2">
        <f t="shared" ref="AE41:AE42" si="53">E41</f>
        <v>21678.849015704032</v>
      </c>
      <c r="AF41" s="2"/>
      <c r="AG41" s="2">
        <f t="shared" ref="AG41:AG42" si="54">G41</f>
        <v>27741.478234679784</v>
      </c>
      <c r="AH41" s="2">
        <f t="shared" ref="AH41:AH42" si="55">H41</f>
        <v>37541.361040331416</v>
      </c>
      <c r="AI41" s="2">
        <f t="shared" ref="AI41:AI42" si="56">SUM(AB41:AH41)</f>
        <v>166805.92382634431</v>
      </c>
      <c r="AJ41" s="2">
        <f t="shared" ref="AJ41:AJ42" si="57">AI41-I41</f>
        <v>0</v>
      </c>
    </row>
    <row r="42" spans="1:36" x14ac:dyDescent="0.25">
      <c r="A42">
        <f t="shared" si="9"/>
        <v>2014</v>
      </c>
      <c r="B42" s="2">
        <f t="shared" si="15"/>
        <v>43776.795029423447</v>
      </c>
      <c r="C42" s="2"/>
      <c r="D42" s="2">
        <f t="shared" ref="D42:E42" si="58">AD41*(1+(D18/100))</f>
        <v>46891.546720069156</v>
      </c>
      <c r="E42" s="2">
        <f t="shared" si="58"/>
        <v>23276.580188161421</v>
      </c>
      <c r="F42" s="2"/>
      <c r="G42" s="2">
        <f t="shared" ref="G42:H42" si="59">AG41*(1+(G18/100))</f>
        <v>26565.239557529359</v>
      </c>
      <c r="H42" s="2">
        <f t="shared" si="59"/>
        <v>39703.74343625451</v>
      </c>
      <c r="I42" s="2">
        <f t="shared" si="37"/>
        <v>180213.90493143786</v>
      </c>
      <c r="J42" s="2">
        <f t="shared" si="38"/>
        <v>13407.981105093553</v>
      </c>
      <c r="K42" s="6">
        <f t="shared" si="39"/>
        <v>8.0380725081755033E-2</v>
      </c>
      <c r="L42" s="7">
        <f t="shared" si="40"/>
        <v>1.080380725081755</v>
      </c>
      <c r="O42">
        <f t="shared" si="41"/>
        <v>2014</v>
      </c>
      <c r="P42" s="6">
        <f t="shared" si="42"/>
        <v>0.24291574529766874</v>
      </c>
      <c r="Q42" s="7"/>
      <c r="R42" s="6">
        <f t="shared" si="43"/>
        <v>0.26019938216148736</v>
      </c>
      <c r="S42" s="6">
        <f t="shared" si="44"/>
        <v>0.12916084470294878</v>
      </c>
      <c r="T42" s="7"/>
      <c r="U42" s="6">
        <f t="shared" si="45"/>
        <v>0.14740948856103012</v>
      </c>
      <c r="V42" s="6">
        <f t="shared" si="46"/>
        <v>0.22031453927686515</v>
      </c>
      <c r="W42" s="6">
        <f t="shared" si="47"/>
        <v>1</v>
      </c>
      <c r="X42" s="7">
        <f t="shared" si="48"/>
        <v>0.77968546072313494</v>
      </c>
      <c r="Y42" s="7">
        <f t="shared" si="49"/>
        <v>0</v>
      </c>
      <c r="AA42">
        <f t="shared" si="50"/>
        <v>2014</v>
      </c>
      <c r="AB42" s="2">
        <f t="shared" si="51"/>
        <v>43776.795029423447</v>
      </c>
      <c r="AC42" s="2"/>
      <c r="AD42" s="2">
        <f t="shared" si="52"/>
        <v>46891.546720069156</v>
      </c>
      <c r="AE42" s="2">
        <f t="shared" si="53"/>
        <v>23276.580188161421</v>
      </c>
      <c r="AF42" s="2"/>
      <c r="AG42" s="2">
        <f t="shared" si="54"/>
        <v>26565.239557529359</v>
      </c>
      <c r="AH42" s="2">
        <f t="shared" si="55"/>
        <v>39703.74343625451</v>
      </c>
      <c r="AI42" s="2">
        <f t="shared" si="56"/>
        <v>180213.90493143786</v>
      </c>
      <c r="AJ42" s="2">
        <f t="shared" si="57"/>
        <v>0</v>
      </c>
    </row>
    <row r="43" spans="1:36" x14ac:dyDescent="0.25">
      <c r="A43">
        <f t="shared" si="9"/>
        <v>2015</v>
      </c>
      <c r="B43" s="2">
        <f t="shared" si="15"/>
        <v>44324.004967291236</v>
      </c>
      <c r="C43" s="2"/>
      <c r="D43" s="2">
        <f t="shared" ref="D43:E45" si="60">AD42*(1+(D19/100))</f>
        <v>46206.930137956151</v>
      </c>
      <c r="E43" s="2">
        <f t="shared" si="60"/>
        <v>22396.725457048917</v>
      </c>
      <c r="F43" s="2"/>
      <c r="G43" s="2">
        <f t="shared" ref="G43:H45" si="61">AG42*(1+(G19/100))</f>
        <v>25404.338588865328</v>
      </c>
      <c r="H43" s="2">
        <f t="shared" si="61"/>
        <v>39822.854666563268</v>
      </c>
      <c r="I43" s="2">
        <f t="shared" ref="I43" si="62">SUM(B43:H43)</f>
        <v>178154.85381772491</v>
      </c>
      <c r="J43" s="2">
        <f t="shared" ref="J43" si="63">I43-I42</f>
        <v>-2059.0511137129506</v>
      </c>
      <c r="K43" s="6">
        <f t="shared" ref="K43" si="64">(J43/I42)</f>
        <v>-1.1425595125394535E-2</v>
      </c>
      <c r="L43" s="7">
        <f t="shared" ref="L43" si="65">K43+1</f>
        <v>0.98857440487460546</v>
      </c>
      <c r="O43">
        <f t="shared" ref="O43" si="66">A43</f>
        <v>2015</v>
      </c>
      <c r="P43" s="6">
        <f t="shared" ref="P43" si="67">B43/$I43</f>
        <v>0.24879482100802222</v>
      </c>
      <c r="Q43" s="7"/>
      <c r="R43" s="6">
        <f t="shared" ref="R43" si="68">D43/$I43</f>
        <v>0.25936385760913211</v>
      </c>
      <c r="S43" s="6">
        <f t="shared" ref="S43" si="69">E43/$I43</f>
        <v>0.12571493269537082</v>
      </c>
      <c r="T43" s="7"/>
      <c r="U43" s="6">
        <f t="shared" ref="U43" si="70">G43/$I43</f>
        <v>0.14259694891533631</v>
      </c>
      <c r="V43" s="6">
        <f t="shared" ref="V43" si="71">H43/$I43</f>
        <v>0.22352943977213843</v>
      </c>
      <c r="W43" s="6">
        <f t="shared" ref="W43" si="72">SUM(P43:V43)</f>
        <v>0.99999999999999989</v>
      </c>
      <c r="X43" s="7">
        <f t="shared" ref="X43" si="73">SUM(P43:U43)</f>
        <v>0.77647056022786143</v>
      </c>
      <c r="Y43" s="7">
        <f t="shared" ref="Y43" si="74">W43-(X43+V43)</f>
        <v>0</v>
      </c>
      <c r="AA43">
        <f t="shared" ref="AA43" si="75">O43</f>
        <v>2015</v>
      </c>
      <c r="AB43" s="2">
        <f t="shared" ref="AB43" si="76">B43</f>
        <v>44324.004967291236</v>
      </c>
      <c r="AC43" s="2"/>
      <c r="AD43" s="2">
        <f t="shared" ref="AD43" si="77">D43</f>
        <v>46206.930137956151</v>
      </c>
      <c r="AE43" s="2">
        <f t="shared" ref="AE43" si="78">E43</f>
        <v>22396.725457048917</v>
      </c>
      <c r="AF43" s="2"/>
      <c r="AG43" s="2">
        <f t="shared" ref="AG43" si="79">G43</f>
        <v>25404.338588865328</v>
      </c>
      <c r="AH43" s="2">
        <f t="shared" ref="AH43" si="80">H43</f>
        <v>39822.854666563268</v>
      </c>
      <c r="AI43" s="2">
        <f t="shared" ref="AI43" si="81">SUM(AB43:AH43)</f>
        <v>178154.85381772491</v>
      </c>
      <c r="AJ43" s="2">
        <f t="shared" ref="AJ43" si="82">AI43-I43</f>
        <v>0</v>
      </c>
    </row>
    <row r="44" spans="1:36" x14ac:dyDescent="0.25">
      <c r="A44">
        <f t="shared" si="9"/>
        <v>2016</v>
      </c>
      <c r="B44" s="2">
        <f t="shared" si="15"/>
        <v>49563.102354425064</v>
      </c>
      <c r="C44" s="2"/>
      <c r="D44" s="2">
        <f t="shared" si="60"/>
        <v>51322.037304227895</v>
      </c>
      <c r="E44" s="2">
        <f t="shared" si="60"/>
        <v>26466.210472594703</v>
      </c>
      <c r="F44" s="2"/>
      <c r="G44" s="2">
        <f t="shared" si="61"/>
        <v>26585.640333247567</v>
      </c>
      <c r="H44" s="2">
        <f t="shared" si="61"/>
        <v>40818.426033227348</v>
      </c>
      <c r="I44" s="2">
        <f t="shared" ref="I44:I45" si="83">SUM(B44:H44)</f>
        <v>194755.41649772259</v>
      </c>
      <c r="J44" s="2">
        <f t="shared" ref="J44:J45" si="84">I44-I43</f>
        <v>16600.562679997674</v>
      </c>
      <c r="K44" s="6">
        <f t="shared" ref="K44:K45" si="85">(J44/I43)</f>
        <v>9.3180524270094614E-2</v>
      </c>
      <c r="L44" s="7">
        <f t="shared" ref="L44:L45" si="86">K44+1</f>
        <v>1.0931805242700947</v>
      </c>
      <c r="O44">
        <f t="shared" ref="O44:O45" si="87">A44</f>
        <v>2016</v>
      </c>
      <c r="P44" s="6">
        <f t="shared" ref="P44:P45" si="88">B44/$I44</f>
        <v>0.254488954637134</v>
      </c>
      <c r="Q44" s="7"/>
      <c r="R44" s="6">
        <f t="shared" ref="R44:R45" si="89">D44/$I44</f>
        <v>0.26352046185492378</v>
      </c>
      <c r="S44" s="6">
        <f t="shared" ref="S44:S45" si="90">E44/$I44</f>
        <v>0.13589460539036763</v>
      </c>
      <c r="T44" s="7"/>
      <c r="U44" s="6">
        <f t="shared" ref="U44:U45" si="91">G44/$I44</f>
        <v>0.13650783537287883</v>
      </c>
      <c r="V44" s="6">
        <f t="shared" ref="V44:V45" si="92">H44/$I44</f>
        <v>0.2095881427446957</v>
      </c>
      <c r="W44" s="6">
        <f t="shared" ref="W44:W45" si="93">SUM(P44:V44)</f>
        <v>1</v>
      </c>
      <c r="X44" s="7">
        <f t="shared" ref="X44:X45" si="94">SUM(P44:U44)</f>
        <v>0.79041185725530427</v>
      </c>
      <c r="Y44" s="7">
        <f t="shared" ref="Y44:Y45" si="95">W44-(X44+V44)</f>
        <v>0</v>
      </c>
      <c r="AA44">
        <f t="shared" ref="AA44:AA45" si="96">O44</f>
        <v>2016</v>
      </c>
      <c r="AB44" s="2">
        <f t="shared" ref="AB44:AB45" si="97">B44</f>
        <v>49563.102354425064</v>
      </c>
      <c r="AC44" s="2"/>
      <c r="AD44" s="2">
        <f t="shared" ref="AD44:AD45" si="98">D44</f>
        <v>51322.037304227895</v>
      </c>
      <c r="AE44" s="2">
        <f t="shared" ref="AE44:AE45" si="99">E44</f>
        <v>26466.210472594703</v>
      </c>
      <c r="AF44" s="2"/>
      <c r="AG44" s="2">
        <f t="shared" ref="AG44:AG45" si="100">G44</f>
        <v>26585.640333247567</v>
      </c>
      <c r="AH44" s="2">
        <f t="shared" ref="AH44:AH45" si="101">H44</f>
        <v>40818.426033227348</v>
      </c>
      <c r="AI44" s="2">
        <f t="shared" ref="AI44:AI45" si="102">SUM(AB44:AH44)</f>
        <v>194755.41649772259</v>
      </c>
      <c r="AJ44" s="2">
        <f t="shared" ref="AJ44:AJ45" si="103">AI44-I44</f>
        <v>0</v>
      </c>
    </row>
    <row r="45" spans="1:36" x14ac:dyDescent="0.25">
      <c r="A45">
        <f t="shared" si="9"/>
        <v>2017</v>
      </c>
      <c r="B45" s="2">
        <f t="shared" si="15"/>
        <v>60303.426634628973</v>
      </c>
      <c r="C45" s="2"/>
      <c r="D45" s="2">
        <f t="shared" si="60"/>
        <v>61381.156615856562</v>
      </c>
      <c r="E45" s="2">
        <f t="shared" si="60"/>
        <v>30727.27035868245</v>
      </c>
      <c r="F45" s="2"/>
      <c r="G45" s="2">
        <f t="shared" si="61"/>
        <v>33870.105784557403</v>
      </c>
      <c r="H45" s="2">
        <f t="shared" si="61"/>
        <v>42230.743573977015</v>
      </c>
      <c r="I45" s="2">
        <f t="shared" si="83"/>
        <v>228512.70296770241</v>
      </c>
      <c r="J45" s="2">
        <f t="shared" si="84"/>
        <v>33757.286469979823</v>
      </c>
      <c r="K45" s="6">
        <f t="shared" si="85"/>
        <v>0.17333169509241644</v>
      </c>
      <c r="L45" s="7">
        <f t="shared" si="86"/>
        <v>1.1733316950924164</v>
      </c>
      <c r="O45">
        <f t="shared" si="87"/>
        <v>2017</v>
      </c>
      <c r="P45" s="6">
        <f t="shared" si="88"/>
        <v>0.26389529269693229</v>
      </c>
      <c r="Q45" s="7"/>
      <c r="R45" s="6">
        <f t="shared" si="89"/>
        <v>0.26861157309286243</v>
      </c>
      <c r="S45" s="6">
        <f t="shared" si="90"/>
        <v>0.13446635552258723</v>
      </c>
      <c r="T45" s="7"/>
      <c r="U45" s="6">
        <f t="shared" si="91"/>
        <v>0.14821979410634578</v>
      </c>
      <c r="V45" s="6">
        <f t="shared" si="92"/>
        <v>0.1848069845812722</v>
      </c>
      <c r="W45" s="6">
        <f t="shared" si="93"/>
        <v>0.99999999999999989</v>
      </c>
      <c r="X45" s="7">
        <f t="shared" si="94"/>
        <v>0.81519301541872768</v>
      </c>
      <c r="Y45" s="7">
        <f t="shared" si="95"/>
        <v>0</v>
      </c>
      <c r="AA45">
        <f t="shared" si="96"/>
        <v>2017</v>
      </c>
      <c r="AB45" s="2">
        <f t="shared" si="97"/>
        <v>60303.426634628973</v>
      </c>
      <c r="AC45" s="2"/>
      <c r="AD45" s="2">
        <f t="shared" si="98"/>
        <v>61381.156615856562</v>
      </c>
      <c r="AE45" s="2">
        <f t="shared" si="99"/>
        <v>30727.27035868245</v>
      </c>
      <c r="AF45" s="2"/>
      <c r="AG45" s="2">
        <f t="shared" si="100"/>
        <v>33870.105784557403</v>
      </c>
      <c r="AH45" s="2">
        <f t="shared" si="101"/>
        <v>42230.743573977015</v>
      </c>
      <c r="AI45" s="2">
        <f t="shared" si="102"/>
        <v>228512.70296770241</v>
      </c>
      <c r="AJ45" s="2">
        <f t="shared" si="103"/>
        <v>0</v>
      </c>
    </row>
    <row r="46" spans="1:36" x14ac:dyDescent="0.25">
      <c r="A46" s="9" t="s">
        <v>41</v>
      </c>
      <c r="B46" s="10">
        <f>AB45</f>
        <v>60303.426634628973</v>
      </c>
      <c r="C46" s="10"/>
      <c r="D46" s="10">
        <f>AD45</f>
        <v>61381.156615856562</v>
      </c>
      <c r="E46" s="10">
        <f>AE45</f>
        <v>30727.27035868245</v>
      </c>
      <c r="F46" s="10"/>
      <c r="G46" s="10">
        <f>AG45</f>
        <v>33870.105784557403</v>
      </c>
      <c r="H46" s="10">
        <f>AH45</f>
        <v>42230.743573977015</v>
      </c>
      <c r="I46" s="10">
        <f>SUM(B46:H46)</f>
        <v>228512.70296770241</v>
      </c>
      <c r="J46" s="10"/>
      <c r="K46" s="10"/>
    </row>
    <row r="47" spans="1:36" x14ac:dyDescent="0.25">
      <c r="A47" s="11" t="s">
        <v>42</v>
      </c>
      <c r="I47" s="6">
        <f>(I46-I27)/I27</f>
        <v>1.2851270296770241</v>
      </c>
      <c r="K47" s="6"/>
    </row>
    <row r="48" spans="1:36" x14ac:dyDescent="0.25">
      <c r="A48" s="1" t="s">
        <v>43</v>
      </c>
      <c r="I48" s="12">
        <f>STDEV(L28:L45)</f>
        <v>0.11692584103527999</v>
      </c>
    </row>
    <row r="49" spans="1:9" x14ac:dyDescent="0.25">
      <c r="A49" s="1" t="s">
        <v>44</v>
      </c>
      <c r="I49" s="13">
        <f>((1+I47)^(1/16))-1</f>
        <v>5.3008548106263209E-2</v>
      </c>
    </row>
    <row r="50" spans="1:9" x14ac:dyDescent="0.25">
      <c r="A50" s="1" t="s">
        <v>45</v>
      </c>
      <c r="I50" s="28">
        <f>J36</f>
        <v>-43563.866782395286</v>
      </c>
    </row>
    <row r="51" spans="1:9" x14ac:dyDescent="0.25">
      <c r="A51" s="1" t="s">
        <v>46</v>
      </c>
      <c r="I51" s="29">
        <f>K36</f>
        <v>-0.30034917946642886</v>
      </c>
    </row>
    <row r="52" spans="1:9" x14ac:dyDescent="0.25">
      <c r="A52" s="3" t="s">
        <v>47</v>
      </c>
      <c r="I52" s="30">
        <f>I46-I45</f>
        <v>0</v>
      </c>
    </row>
    <row r="53" spans="1:9" x14ac:dyDescent="0.25">
      <c r="A53" s="3" t="s">
        <v>146</v>
      </c>
      <c r="I53" s="30">
        <f>((SUM(J28:J45))-(I46-I27))</f>
        <v>0</v>
      </c>
    </row>
    <row r="54" spans="1:9" x14ac:dyDescent="0.25">
      <c r="A54" s="3" t="s">
        <v>153</v>
      </c>
      <c r="I54" s="66">
        <f>COUNTA(I28:I45)</f>
        <v>18</v>
      </c>
    </row>
    <row r="57" spans="1:9" x14ac:dyDescent="0.25">
      <c r="I57"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0DDE-F15E-4809-BAD6-06C56BFDB24E}">
  <dimension ref="A1:AU54"/>
  <sheetViews>
    <sheetView topLeftCell="A21" workbookViewId="0">
      <pane ySplit="855" topLeftCell="A27" activePane="bottomLeft"/>
      <selection activeCell="X1" sqref="X1:Y1048576"/>
      <selection pane="bottomLeft" activeCell="D54" sqref="D54"/>
    </sheetView>
  </sheetViews>
  <sheetFormatPr defaultColWidth="8.85546875" defaultRowHeight="15" x14ac:dyDescent="0.25"/>
  <cols>
    <col min="1" max="1" width="25.425781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95</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4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3" spans="1:46" x14ac:dyDescent="0.25">
      <c r="A23" s="32"/>
    </row>
    <row r="24" spans="1:46" x14ac:dyDescent="0.25">
      <c r="A24" s="18" t="s">
        <v>12</v>
      </c>
      <c r="O24" s="18" t="s">
        <v>13</v>
      </c>
      <c r="AA24" s="18" t="s">
        <v>31</v>
      </c>
      <c r="AK24" s="18" t="s">
        <v>34</v>
      </c>
    </row>
    <row r="25" spans="1:46"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P25" s="4" t="str">
        <f>B25</f>
        <v>LC Stocks</v>
      </c>
      <c r="Q25" s="4" t="str">
        <f t="shared" ref="Q25:V26" si="1">C25</f>
        <v>Ext Mkt</v>
      </c>
      <c r="R25" s="4" t="str">
        <f t="shared" si="1"/>
        <v>Mcap Stk</v>
      </c>
      <c r="S25" s="4" t="str">
        <f t="shared" si="1"/>
        <v>Small Cap</v>
      </c>
      <c r="T25" s="4" t="str">
        <f t="shared" si="1"/>
        <v>Intl Val</v>
      </c>
      <c r="U25" s="4" t="str">
        <f t="shared" si="1"/>
        <v>Tot Int Stk</v>
      </c>
      <c r="V25" s="4" t="str">
        <f t="shared" si="1"/>
        <v>Bonds</v>
      </c>
      <c r="W25" s="5"/>
      <c r="X25" s="5" t="s">
        <v>6</v>
      </c>
      <c r="Y25" s="3" t="s">
        <v>7</v>
      </c>
      <c r="AB25" s="4" t="str">
        <f t="shared" ref="AB25:AH27" si="2">P25</f>
        <v>LC Stocks</v>
      </c>
      <c r="AC25" s="4" t="str">
        <f t="shared" si="2"/>
        <v>Ext Mkt</v>
      </c>
      <c r="AD25" s="4" t="str">
        <f t="shared" si="2"/>
        <v>Mcap Stk</v>
      </c>
      <c r="AE25" s="4" t="str">
        <f t="shared" si="2"/>
        <v>Small Cap</v>
      </c>
      <c r="AF25" s="4" t="str">
        <f t="shared" si="2"/>
        <v>Intl Val</v>
      </c>
      <c r="AG25" s="4" t="str">
        <f t="shared" si="2"/>
        <v>Tot Int Stk</v>
      </c>
      <c r="AH25" s="4" t="str">
        <f t="shared" si="2"/>
        <v>Bonds</v>
      </c>
      <c r="AI25" s="5"/>
      <c r="AL25" s="4" t="str">
        <f>AB25</f>
        <v>LC Stocks</v>
      </c>
      <c r="AM25" s="4" t="str">
        <f t="shared" ref="AM25:AS27" si="3">AC25</f>
        <v>Ext Mkt</v>
      </c>
      <c r="AN25" s="4" t="str">
        <f t="shared" si="3"/>
        <v>Mcap Stk</v>
      </c>
      <c r="AO25" s="4" t="str">
        <f t="shared" si="3"/>
        <v>Small Cap</v>
      </c>
      <c r="AP25" s="4" t="str">
        <f t="shared" si="3"/>
        <v>Intl Val</v>
      </c>
      <c r="AQ25" s="4" t="str">
        <f t="shared" si="3"/>
        <v>Tot Int Stk</v>
      </c>
      <c r="AR25" s="4" t="str">
        <f t="shared" si="3"/>
        <v>Bonds</v>
      </c>
      <c r="AS25" s="4"/>
      <c r="AT25" t="s">
        <v>51</v>
      </c>
    </row>
    <row r="26" spans="1:46"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O26" t="s">
        <v>116</v>
      </c>
      <c r="P26" s="4" t="str">
        <f>B26</f>
        <v>VFINX</v>
      </c>
      <c r="Q26" s="4" t="str">
        <f t="shared" si="1"/>
        <v>VEXMX</v>
      </c>
      <c r="R26" s="4" t="str">
        <f t="shared" si="1"/>
        <v>VIMSX</v>
      </c>
      <c r="S26" s="4" t="str">
        <f t="shared" si="1"/>
        <v>NAESX</v>
      </c>
      <c r="T26" s="4" t="str">
        <f t="shared" si="1"/>
        <v>VTRIX</v>
      </c>
      <c r="U26" s="4" t="str">
        <f t="shared" si="1"/>
        <v>VGTSX</v>
      </c>
      <c r="V26" s="4" t="str">
        <f t="shared" si="1"/>
        <v>VBMFX</v>
      </c>
      <c r="W26" s="5" t="s">
        <v>114</v>
      </c>
      <c r="X26" s="5" t="s">
        <v>7</v>
      </c>
      <c r="Y26" s="3" t="s">
        <v>50</v>
      </c>
      <c r="AA26" t="str">
        <f>O26</f>
        <v>Fund</v>
      </c>
      <c r="AB26" s="4" t="str">
        <f t="shared" si="2"/>
        <v>VFINX</v>
      </c>
      <c r="AC26" s="4" t="str">
        <f t="shared" si="2"/>
        <v>VEXMX</v>
      </c>
      <c r="AD26" s="4" t="str">
        <f t="shared" si="2"/>
        <v>VIMSX</v>
      </c>
      <c r="AE26" s="4" t="str">
        <f t="shared" si="2"/>
        <v>NAESX</v>
      </c>
      <c r="AF26" s="4" t="str">
        <f t="shared" si="2"/>
        <v>VTRIX</v>
      </c>
      <c r="AG26" s="4" t="str">
        <f t="shared" si="2"/>
        <v>VGTSX</v>
      </c>
      <c r="AH26" s="4" t="str">
        <f t="shared" si="2"/>
        <v>VBMFX</v>
      </c>
      <c r="AI26" s="4" t="str">
        <f>W26</f>
        <v>Total</v>
      </c>
      <c r="AK26" t="s">
        <v>116</v>
      </c>
      <c r="AL26" s="4" t="str">
        <f>AB26</f>
        <v>VFINX</v>
      </c>
      <c r="AM26" s="4" t="str">
        <f t="shared" si="3"/>
        <v>VEXMX</v>
      </c>
      <c r="AN26" s="4" t="str">
        <f t="shared" si="3"/>
        <v>VIMSX</v>
      </c>
      <c r="AO26" s="4" t="str">
        <f t="shared" si="3"/>
        <v>NAESX</v>
      </c>
      <c r="AP26" s="4" t="str">
        <f t="shared" si="3"/>
        <v>VTRIX</v>
      </c>
      <c r="AQ26" s="4" t="str">
        <f t="shared" si="3"/>
        <v>VGTSX</v>
      </c>
      <c r="AR26" s="4" t="str">
        <f t="shared" si="3"/>
        <v>VBMFX</v>
      </c>
      <c r="AS26" s="4" t="str">
        <f t="shared" si="3"/>
        <v>Total</v>
      </c>
      <c r="AT26" t="s">
        <v>50</v>
      </c>
    </row>
    <row r="27" spans="1:46" x14ac:dyDescent="0.25">
      <c r="A27" t="s">
        <v>115</v>
      </c>
      <c r="B27" s="2">
        <v>60000</v>
      </c>
      <c r="C27" s="2">
        <f>'Non-Rebalanced Portfolio'!C27</f>
        <v>0</v>
      </c>
      <c r="D27" s="2">
        <v>0</v>
      </c>
      <c r="E27" s="2">
        <v>0</v>
      </c>
      <c r="F27" s="2"/>
      <c r="G27" s="2">
        <v>0</v>
      </c>
      <c r="H27" s="2">
        <v>40000</v>
      </c>
      <c r="I27" s="2">
        <f>SUM(B27:H27)</f>
        <v>100000</v>
      </c>
      <c r="O27" s="19" t="s">
        <v>49</v>
      </c>
      <c r="P27" s="20">
        <f>B27/$I27</f>
        <v>0.6</v>
      </c>
      <c r="Q27" s="20"/>
      <c r="R27" s="53">
        <v>0</v>
      </c>
      <c r="S27" s="53">
        <v>0</v>
      </c>
      <c r="T27" s="20"/>
      <c r="U27" s="53">
        <v>0</v>
      </c>
      <c r="V27" s="20">
        <f>H27/$I27</f>
        <v>0.4</v>
      </c>
      <c r="W27" s="20">
        <f>I27/$I27</f>
        <v>1</v>
      </c>
      <c r="X27" s="22"/>
      <c r="AA27" s="19" t="str">
        <f>O27</f>
        <v>Target Allocation</v>
      </c>
      <c r="AB27" s="22">
        <f t="shared" si="2"/>
        <v>0.6</v>
      </c>
      <c r="AC27" s="22">
        <f t="shared" si="2"/>
        <v>0</v>
      </c>
      <c r="AD27" s="23">
        <f t="shared" si="2"/>
        <v>0</v>
      </c>
      <c r="AE27" s="23">
        <f t="shared" si="2"/>
        <v>0</v>
      </c>
      <c r="AF27" s="22">
        <f t="shared" si="2"/>
        <v>0</v>
      </c>
      <c r="AG27" s="23">
        <f t="shared" si="2"/>
        <v>0</v>
      </c>
      <c r="AH27" s="22">
        <f t="shared" si="2"/>
        <v>0.4</v>
      </c>
      <c r="AI27" s="22">
        <f>W27</f>
        <v>1</v>
      </c>
      <c r="AK27" s="19" t="str">
        <f>AA27</f>
        <v>Target Allocation</v>
      </c>
      <c r="AL27" s="22">
        <f>AB27</f>
        <v>0.6</v>
      </c>
      <c r="AM27" s="22">
        <f t="shared" si="3"/>
        <v>0</v>
      </c>
      <c r="AN27" s="23">
        <f t="shared" si="3"/>
        <v>0</v>
      </c>
      <c r="AO27" s="23">
        <f t="shared" si="3"/>
        <v>0</v>
      </c>
      <c r="AP27" s="22">
        <f t="shared" si="3"/>
        <v>0</v>
      </c>
      <c r="AQ27" s="23">
        <f t="shared" si="3"/>
        <v>0</v>
      </c>
      <c r="AR27" s="22">
        <f t="shared" si="3"/>
        <v>0.4</v>
      </c>
      <c r="AS27" s="22">
        <f t="shared" si="3"/>
        <v>1</v>
      </c>
      <c r="AT27" s="2"/>
    </row>
    <row r="28" spans="1:46" x14ac:dyDescent="0.25">
      <c r="A28">
        <f t="shared" ref="A28:A45" si="4">A4</f>
        <v>2000</v>
      </c>
      <c r="B28" s="2">
        <f>B27*(1+(B4/100))</f>
        <v>54564</v>
      </c>
      <c r="C28" s="2">
        <f>C27*(1+(C4/100))</f>
        <v>0</v>
      </c>
      <c r="D28" s="2">
        <f>D27*(1+(D4/100))</f>
        <v>0</v>
      </c>
      <c r="E28" s="2">
        <f>E27*(1+(E4/100))</f>
        <v>0</v>
      </c>
      <c r="F28" s="2"/>
      <c r="G28" s="2">
        <f>G27*(1+(G4/100))</f>
        <v>0</v>
      </c>
      <c r="H28" s="2">
        <f>H27*(1+(H4/100))</f>
        <v>44556.000000000007</v>
      </c>
      <c r="I28" s="2">
        <f>SUM(B28:H28)</f>
        <v>99120</v>
      </c>
      <c r="J28" s="2">
        <f>I28-I27</f>
        <v>-880</v>
      </c>
      <c r="K28" s="6">
        <f>(J28/I27)</f>
        <v>-8.8000000000000005E-3</v>
      </c>
      <c r="L28" s="7">
        <f>K28+1</f>
        <v>0.99119999999999997</v>
      </c>
      <c r="O28">
        <f>A28</f>
        <v>2000</v>
      </c>
      <c r="P28" s="6">
        <f t="shared" ref="P28:U43" si="5">B28/$I28</f>
        <v>0.55048426150121066</v>
      </c>
      <c r="Q28" s="6"/>
      <c r="R28" s="6">
        <f t="shared" ref="R28:V43" si="6">D28/$I28</f>
        <v>0</v>
      </c>
      <c r="S28" s="6">
        <f t="shared" si="6"/>
        <v>0</v>
      </c>
      <c r="T28" s="6"/>
      <c r="U28" s="6">
        <f t="shared" si="6"/>
        <v>0</v>
      </c>
      <c r="V28" s="6">
        <f t="shared" si="6"/>
        <v>0.4495157384987894</v>
      </c>
      <c r="W28" s="6">
        <f>SUM(P28:V28)</f>
        <v>1</v>
      </c>
      <c r="X28" s="7">
        <f>SUM(P28:U28)</f>
        <v>0.55048426150121066</v>
      </c>
      <c r="Y28" s="7">
        <f>W28-(X28+V28)</f>
        <v>0</v>
      </c>
      <c r="AA28">
        <f>O28</f>
        <v>2000</v>
      </c>
      <c r="AB28" s="1" t="b">
        <f t="shared" ref="AB28:AB45" si="7">AND((B28/$I28)&gt;0.15,(B28/$I28)&lt;0.25)</f>
        <v>0</v>
      </c>
      <c r="AD28" s="1" t="b">
        <f t="shared" ref="AD28:AD38" si="8">AND((D28/$I28)&gt;0.15,(D28/$I28)&lt;0.25)</f>
        <v>0</v>
      </c>
      <c r="AE28" s="1" t="b">
        <f t="shared" ref="AE28:AE38" si="9">AND((E28/$I28)&gt;0.05,(E28/$I28)&lt;0.15)</f>
        <v>0</v>
      </c>
      <c r="AG28" s="1" t="b">
        <f t="shared" ref="AG28:AG45" si="10">AND((G28/$I28)&gt;0.15,(G28/$I28)&lt;0.25)</f>
        <v>0</v>
      </c>
      <c r="AH28" s="1" t="b">
        <f t="shared" ref="AH28:AH45" si="11">AND((H28/$I28)&gt;0.25,(H28/$I28)&lt;0.35)</f>
        <v>0</v>
      </c>
      <c r="AI28" s="1" t="b">
        <f>AND((I28/$I28)&gt;0.999,(I28/$I28)&lt;1.01)</f>
        <v>1</v>
      </c>
      <c r="AK28">
        <f>A28</f>
        <v>2000</v>
      </c>
      <c r="AL28" s="36">
        <f>AL$27*$AS28</f>
        <v>59472</v>
      </c>
      <c r="AM28" s="2"/>
      <c r="AN28" s="2">
        <f>D28</f>
        <v>0</v>
      </c>
      <c r="AO28" s="2">
        <f>E28</f>
        <v>0</v>
      </c>
      <c r="AP28" s="2"/>
      <c r="AQ28" s="2">
        <f>G28</f>
        <v>0</v>
      </c>
      <c r="AR28" s="36">
        <f>AR$27*$AS28</f>
        <v>39648</v>
      </c>
      <c r="AS28" s="2">
        <f>I28</f>
        <v>99120</v>
      </c>
      <c r="AT28" s="2">
        <f>(SUM(AL28:AR28))-AS28</f>
        <v>0</v>
      </c>
    </row>
    <row r="29" spans="1:46" x14ac:dyDescent="0.25">
      <c r="A29">
        <f t="shared" si="4"/>
        <v>2001</v>
      </c>
      <c r="B29" s="2">
        <f t="shared" ref="B29:E42" si="12">AL28*(1+(B5/100))</f>
        <v>52323.465600000003</v>
      </c>
      <c r="C29" s="2">
        <f t="shared" si="12"/>
        <v>0</v>
      </c>
      <c r="D29" s="2">
        <f t="shared" si="12"/>
        <v>0</v>
      </c>
      <c r="E29" s="2">
        <f t="shared" si="12"/>
        <v>0</v>
      </c>
      <c r="F29" s="2"/>
      <c r="G29" s="2">
        <f t="shared" ref="G29:H42" si="13">AQ28*(1+(G5/100))</f>
        <v>0</v>
      </c>
      <c r="H29" s="2">
        <f t="shared" si="13"/>
        <v>42990.326399999998</v>
      </c>
      <c r="I29" s="2">
        <f t="shared" ref="I29:I45" si="14">SUM(B29:H29)</f>
        <v>95313.792000000001</v>
      </c>
      <c r="J29" s="2">
        <f t="shared" ref="J29:J45" si="15">I29-I28</f>
        <v>-3806.2079999999987</v>
      </c>
      <c r="K29" s="6">
        <f t="shared" ref="K29:K45" si="16">(J29/I28)</f>
        <v>-3.839999999999999E-2</v>
      </c>
      <c r="L29" s="7">
        <f t="shared" ref="L29:L45" si="17">K29+1</f>
        <v>0.96160000000000001</v>
      </c>
      <c r="O29">
        <f t="shared" ref="O29:O45" si="18">A29</f>
        <v>2001</v>
      </c>
      <c r="P29" s="6">
        <f t="shared" si="5"/>
        <v>0.54896006655574048</v>
      </c>
      <c r="Q29" s="6"/>
      <c r="R29" s="6">
        <f t="shared" si="6"/>
        <v>0</v>
      </c>
      <c r="S29" s="6">
        <f t="shared" si="6"/>
        <v>0</v>
      </c>
      <c r="T29" s="6"/>
      <c r="U29" s="57">
        <f t="shared" si="6"/>
        <v>0</v>
      </c>
      <c r="V29" s="57">
        <f t="shared" si="6"/>
        <v>0.45103993344425952</v>
      </c>
      <c r="W29" s="6">
        <f t="shared" ref="W29:W45" si="19">SUM(P29:V29)</f>
        <v>1</v>
      </c>
      <c r="X29" s="7">
        <f t="shared" ref="X29:X45" si="20">SUM(P29:U29)</f>
        <v>0.54896006655574048</v>
      </c>
      <c r="Y29" s="7">
        <f t="shared" ref="Y29:Y45" si="21">W29-(X29+V29)</f>
        <v>0</v>
      </c>
      <c r="AA29">
        <f t="shared" ref="AA29:AA45" si="22">O29</f>
        <v>2001</v>
      </c>
      <c r="AB29" s="1" t="b">
        <f t="shared" si="7"/>
        <v>0</v>
      </c>
      <c r="AD29" s="1" t="b">
        <f t="shared" si="8"/>
        <v>0</v>
      </c>
      <c r="AE29" s="1" t="b">
        <f t="shared" si="9"/>
        <v>0</v>
      </c>
      <c r="AG29" s="35" t="b">
        <f t="shared" si="10"/>
        <v>0</v>
      </c>
      <c r="AH29" s="35" t="b">
        <f t="shared" si="11"/>
        <v>0</v>
      </c>
      <c r="AI29" s="1" t="b">
        <f t="shared" ref="AI29:AI45" si="23">AND((I29/$I29)&gt;0.999,(I29/$I29)&lt;1.01)</f>
        <v>1</v>
      </c>
      <c r="AK29">
        <f t="shared" ref="AK29:AK44" si="24">A29</f>
        <v>2001</v>
      </c>
      <c r="AL29" s="36">
        <f t="shared" ref="AL29:AL45" si="25">AL$27*$AS29</f>
        <v>57188.275199999996</v>
      </c>
      <c r="AM29" s="2"/>
      <c r="AN29" s="36">
        <f>AN$27*$AS29</f>
        <v>0</v>
      </c>
      <c r="AO29" s="36">
        <f>AO$27*$AS29</f>
        <v>0</v>
      </c>
      <c r="AP29" s="2"/>
      <c r="AQ29" s="36">
        <f>AQ$27*$AS29</f>
        <v>0</v>
      </c>
      <c r="AR29" s="36">
        <f t="shared" ref="AR29:AR45" si="26">AR$27*$AS29</f>
        <v>38125.516800000005</v>
      </c>
      <c r="AS29" s="2">
        <f t="shared" ref="AS29:AS45" si="27">I29</f>
        <v>95313.792000000001</v>
      </c>
      <c r="AT29" s="2">
        <f t="shared" ref="AT29:AT45" si="28">(SUM(AL29:AR29))-AS29</f>
        <v>0</v>
      </c>
    </row>
    <row r="30" spans="1:46" x14ac:dyDescent="0.25">
      <c r="A30">
        <f t="shared" si="4"/>
        <v>2002</v>
      </c>
      <c r="B30" s="2">
        <f t="shared" si="12"/>
        <v>44521.072243199997</v>
      </c>
      <c r="C30" s="2">
        <f t="shared" si="12"/>
        <v>0</v>
      </c>
      <c r="D30" s="2">
        <f t="shared" si="12"/>
        <v>0</v>
      </c>
      <c r="E30" s="2">
        <f t="shared" si="12"/>
        <v>0</v>
      </c>
      <c r="F30" s="2"/>
      <c r="G30" s="2">
        <f t="shared" si="13"/>
        <v>0</v>
      </c>
      <c r="H30" s="2">
        <f t="shared" si="13"/>
        <v>41274.684487680002</v>
      </c>
      <c r="I30" s="2">
        <f t="shared" si="14"/>
        <v>85795.756730880006</v>
      </c>
      <c r="J30" s="2">
        <f t="shared" si="15"/>
        <v>-9518.0352691199951</v>
      </c>
      <c r="K30" s="6">
        <f t="shared" si="16"/>
        <v>-9.9859999999999949E-2</v>
      </c>
      <c r="L30" s="7">
        <f t="shared" si="17"/>
        <v>0.90014000000000005</v>
      </c>
      <c r="O30">
        <f t="shared" si="18"/>
        <v>2002</v>
      </c>
      <c r="P30" s="6">
        <f t="shared" si="5"/>
        <v>0.51891927922323189</v>
      </c>
      <c r="Q30" s="6"/>
      <c r="R30" s="6">
        <f t="shared" si="6"/>
        <v>0</v>
      </c>
      <c r="S30" s="6">
        <f t="shared" si="6"/>
        <v>0</v>
      </c>
      <c r="T30" s="6"/>
      <c r="U30" s="6">
        <f t="shared" si="5"/>
        <v>0</v>
      </c>
      <c r="V30" s="6">
        <f t="shared" si="6"/>
        <v>0.48108072077676806</v>
      </c>
      <c r="W30" s="6">
        <f t="shared" si="19"/>
        <v>1</v>
      </c>
      <c r="X30" s="7">
        <f t="shared" si="20"/>
        <v>0.51891927922323189</v>
      </c>
      <c r="Y30" s="7">
        <f t="shared" si="21"/>
        <v>0</v>
      </c>
      <c r="AA30">
        <f t="shared" si="22"/>
        <v>2002</v>
      </c>
      <c r="AB30" s="1" t="b">
        <f t="shared" si="7"/>
        <v>0</v>
      </c>
      <c r="AD30" s="1" t="b">
        <f t="shared" si="8"/>
        <v>0</v>
      </c>
      <c r="AE30" s="1" t="b">
        <f t="shared" si="9"/>
        <v>0</v>
      </c>
      <c r="AG30" s="1" t="b">
        <f t="shared" si="10"/>
        <v>0</v>
      </c>
      <c r="AH30" s="1" t="b">
        <f t="shared" si="11"/>
        <v>0</v>
      </c>
      <c r="AI30" s="1" t="b">
        <f t="shared" si="23"/>
        <v>1</v>
      </c>
      <c r="AK30">
        <f t="shared" si="24"/>
        <v>2002</v>
      </c>
      <c r="AL30" s="36">
        <f t="shared" si="25"/>
        <v>51477.454038528005</v>
      </c>
      <c r="AM30" s="2"/>
      <c r="AN30" s="2">
        <f t="shared" ref="AN30:AO40" si="29">D30</f>
        <v>0</v>
      </c>
      <c r="AO30" s="2">
        <f t="shared" si="29"/>
        <v>0</v>
      </c>
      <c r="AP30" s="2"/>
      <c r="AQ30" s="2">
        <f t="shared" ref="AQ30:AQ40" si="30">G30</f>
        <v>0</v>
      </c>
      <c r="AR30" s="36">
        <f t="shared" si="26"/>
        <v>34318.302692352001</v>
      </c>
      <c r="AS30" s="2">
        <f t="shared" si="27"/>
        <v>85795.756730880006</v>
      </c>
      <c r="AT30" s="2">
        <f t="shared" si="28"/>
        <v>0</v>
      </c>
    </row>
    <row r="31" spans="1:46" x14ac:dyDescent="0.25">
      <c r="A31">
        <f t="shared" si="4"/>
        <v>2003</v>
      </c>
      <c r="B31" s="2">
        <f t="shared" si="12"/>
        <v>66148.528439508489</v>
      </c>
      <c r="C31" s="2">
        <f t="shared" si="12"/>
        <v>0</v>
      </c>
      <c r="D31" s="2">
        <f t="shared" si="12"/>
        <v>0</v>
      </c>
      <c r="E31" s="2">
        <f t="shared" si="12"/>
        <v>0</v>
      </c>
      <c r="F31" s="2"/>
      <c r="G31" s="2">
        <f t="shared" si="13"/>
        <v>0</v>
      </c>
      <c r="H31" s="2">
        <f t="shared" si="13"/>
        <v>35680.739309238379</v>
      </c>
      <c r="I31" s="2">
        <f t="shared" si="14"/>
        <v>101829.26774874688</v>
      </c>
      <c r="J31" s="2">
        <f t="shared" si="15"/>
        <v>16033.511017866869</v>
      </c>
      <c r="K31" s="6">
        <f t="shared" si="16"/>
        <v>0.18688000000000016</v>
      </c>
      <c r="L31" s="7">
        <f t="shared" si="17"/>
        <v>1.1868800000000002</v>
      </c>
      <c r="O31">
        <f t="shared" si="18"/>
        <v>2003</v>
      </c>
      <c r="P31" s="6">
        <f t="shared" si="5"/>
        <v>0.64960231868428142</v>
      </c>
      <c r="Q31" s="6"/>
      <c r="R31" s="6">
        <f t="shared" si="6"/>
        <v>0</v>
      </c>
      <c r="S31" s="6">
        <f t="shared" si="6"/>
        <v>0</v>
      </c>
      <c r="T31" s="6"/>
      <c r="U31" s="6">
        <f t="shared" si="5"/>
        <v>0</v>
      </c>
      <c r="V31" s="6">
        <f t="shared" si="6"/>
        <v>0.35039768131571852</v>
      </c>
      <c r="W31" s="6">
        <f t="shared" si="19"/>
        <v>1</v>
      </c>
      <c r="X31" s="7">
        <f t="shared" si="20"/>
        <v>0.64960231868428142</v>
      </c>
      <c r="Y31" s="7">
        <f t="shared" si="21"/>
        <v>0</v>
      </c>
      <c r="AA31">
        <f t="shared" si="22"/>
        <v>2003</v>
      </c>
      <c r="AB31" s="1" t="b">
        <f t="shared" si="7"/>
        <v>0</v>
      </c>
      <c r="AD31" s="1" t="b">
        <f t="shared" si="8"/>
        <v>0</v>
      </c>
      <c r="AE31" s="1" t="b">
        <f t="shared" si="9"/>
        <v>0</v>
      </c>
      <c r="AG31" s="1" t="b">
        <f t="shared" si="10"/>
        <v>0</v>
      </c>
      <c r="AH31" s="1" t="b">
        <f t="shared" si="11"/>
        <v>0</v>
      </c>
      <c r="AI31" s="1" t="b">
        <f t="shared" si="23"/>
        <v>1</v>
      </c>
      <c r="AK31">
        <f t="shared" si="24"/>
        <v>2003</v>
      </c>
      <c r="AL31" s="36">
        <f t="shared" si="25"/>
        <v>61097.560649248124</v>
      </c>
      <c r="AM31" s="2"/>
      <c r="AN31" s="2">
        <f t="shared" si="29"/>
        <v>0</v>
      </c>
      <c r="AO31" s="2">
        <f t="shared" si="29"/>
        <v>0</v>
      </c>
      <c r="AP31" s="2"/>
      <c r="AQ31" s="2">
        <f t="shared" si="30"/>
        <v>0</v>
      </c>
      <c r="AR31" s="36">
        <f t="shared" si="26"/>
        <v>40731.707099498752</v>
      </c>
      <c r="AS31" s="2">
        <f t="shared" si="27"/>
        <v>101829.26774874688</v>
      </c>
      <c r="AT31" s="2">
        <f t="shared" si="28"/>
        <v>0</v>
      </c>
    </row>
    <row r="32" spans="1:46" x14ac:dyDescent="0.25">
      <c r="A32">
        <f t="shared" si="4"/>
        <v>2004</v>
      </c>
      <c r="B32" s="2">
        <f t="shared" si="12"/>
        <v>67659.438662977365</v>
      </c>
      <c r="C32" s="2">
        <f t="shared" si="12"/>
        <v>0</v>
      </c>
      <c r="D32" s="2">
        <f t="shared" si="12"/>
        <v>0</v>
      </c>
      <c r="E32" s="2">
        <f t="shared" si="12"/>
        <v>0</v>
      </c>
      <c r="F32" s="2"/>
      <c r="G32" s="2">
        <f t="shared" si="13"/>
        <v>0</v>
      </c>
      <c r="H32" s="2">
        <f t="shared" si="13"/>
        <v>42458.731480517497</v>
      </c>
      <c r="I32" s="2">
        <f t="shared" si="14"/>
        <v>110118.17014349486</v>
      </c>
      <c r="J32" s="2">
        <f t="shared" si="15"/>
        <v>8288.9023947479873</v>
      </c>
      <c r="K32" s="6">
        <f t="shared" si="16"/>
        <v>8.1399999999999917E-2</v>
      </c>
      <c r="L32" s="7">
        <f t="shared" si="17"/>
        <v>1.0813999999999999</v>
      </c>
      <c r="O32">
        <f t="shared" si="18"/>
        <v>2004</v>
      </c>
      <c r="P32" s="6">
        <f t="shared" si="5"/>
        <v>0.61442574440540032</v>
      </c>
      <c r="Q32" s="6"/>
      <c r="R32" s="6">
        <f t="shared" si="6"/>
        <v>0</v>
      </c>
      <c r="S32" s="6">
        <f t="shared" si="6"/>
        <v>0</v>
      </c>
      <c r="T32" s="56"/>
      <c r="U32" s="6">
        <f t="shared" si="5"/>
        <v>0</v>
      </c>
      <c r="V32" s="6">
        <f t="shared" si="6"/>
        <v>0.38557425559459962</v>
      </c>
      <c r="W32" s="6">
        <f t="shared" si="19"/>
        <v>1</v>
      </c>
      <c r="X32" s="7">
        <f t="shared" si="20"/>
        <v>0.61442574440540032</v>
      </c>
      <c r="Y32" s="7">
        <f t="shared" si="21"/>
        <v>0</v>
      </c>
      <c r="AA32">
        <f t="shared" si="22"/>
        <v>2004</v>
      </c>
      <c r="AB32" s="1" t="b">
        <f t="shared" si="7"/>
        <v>0</v>
      </c>
      <c r="AD32" s="1" t="b">
        <f t="shared" si="8"/>
        <v>0</v>
      </c>
      <c r="AE32" s="1" t="b">
        <f t="shared" si="9"/>
        <v>0</v>
      </c>
      <c r="AG32" s="1" t="b">
        <f t="shared" si="10"/>
        <v>0</v>
      </c>
      <c r="AH32" s="1" t="b">
        <f t="shared" si="11"/>
        <v>0</v>
      </c>
      <c r="AI32" s="1" t="b">
        <f t="shared" si="23"/>
        <v>1</v>
      </c>
      <c r="AK32">
        <f t="shared" si="24"/>
        <v>2004</v>
      </c>
      <c r="AL32" s="36">
        <f t="shared" si="25"/>
        <v>66070.902086096918</v>
      </c>
      <c r="AM32" s="2"/>
      <c r="AN32" s="2">
        <f t="shared" si="29"/>
        <v>0</v>
      </c>
      <c r="AO32" s="2">
        <f t="shared" si="29"/>
        <v>0</v>
      </c>
      <c r="AP32" s="2"/>
      <c r="AQ32" s="2">
        <f t="shared" si="30"/>
        <v>0</v>
      </c>
      <c r="AR32" s="36">
        <f t="shared" si="26"/>
        <v>44047.268057397945</v>
      </c>
      <c r="AS32" s="2">
        <f t="shared" si="27"/>
        <v>110118.17014349486</v>
      </c>
      <c r="AT32" s="2">
        <f t="shared" si="28"/>
        <v>0</v>
      </c>
    </row>
    <row r="33" spans="1:47" x14ac:dyDescent="0.25">
      <c r="A33">
        <f t="shared" si="4"/>
        <v>2005</v>
      </c>
      <c r="B33" s="2">
        <f t="shared" si="12"/>
        <v>69222.484115603744</v>
      </c>
      <c r="C33" s="2">
        <f t="shared" si="12"/>
        <v>0</v>
      </c>
      <c r="D33" s="2">
        <f t="shared" si="12"/>
        <v>0</v>
      </c>
      <c r="E33" s="2">
        <f t="shared" si="12"/>
        <v>0</v>
      </c>
      <c r="F33" s="2"/>
      <c r="G33" s="2">
        <f t="shared" si="13"/>
        <v>0</v>
      </c>
      <c r="H33" s="2">
        <f t="shared" si="13"/>
        <v>45104.402490775494</v>
      </c>
      <c r="I33" s="2">
        <f t="shared" si="14"/>
        <v>114326.88660637924</v>
      </c>
      <c r="J33" s="2">
        <f t="shared" si="15"/>
        <v>4208.7164628843748</v>
      </c>
      <c r="K33" s="6">
        <f t="shared" si="16"/>
        <v>3.8220000000000011E-2</v>
      </c>
      <c r="L33" s="7">
        <f t="shared" si="17"/>
        <v>1.0382199999999999</v>
      </c>
      <c r="O33">
        <f t="shared" si="18"/>
        <v>2005</v>
      </c>
      <c r="P33" s="6">
        <f t="shared" si="5"/>
        <v>0.60547860761688277</v>
      </c>
      <c r="Q33" s="6"/>
      <c r="R33" s="6">
        <f t="shared" si="6"/>
        <v>0</v>
      </c>
      <c r="S33" s="6">
        <f t="shared" si="6"/>
        <v>0</v>
      </c>
      <c r="T33" s="56"/>
      <c r="U33" s="6">
        <f t="shared" si="5"/>
        <v>0</v>
      </c>
      <c r="V33" s="6">
        <f t="shared" si="6"/>
        <v>0.39452139238311723</v>
      </c>
      <c r="W33" s="6">
        <f t="shared" si="19"/>
        <v>1</v>
      </c>
      <c r="X33" s="7">
        <f t="shared" si="20"/>
        <v>0.60547860761688277</v>
      </c>
      <c r="Y33" s="7">
        <f t="shared" si="21"/>
        <v>0</v>
      </c>
      <c r="AA33">
        <f t="shared" si="22"/>
        <v>2005</v>
      </c>
      <c r="AB33" s="1" t="b">
        <f t="shared" si="7"/>
        <v>0</v>
      </c>
      <c r="AD33" s="1" t="b">
        <f t="shared" si="8"/>
        <v>0</v>
      </c>
      <c r="AE33" s="1" t="b">
        <f t="shared" si="9"/>
        <v>0</v>
      </c>
      <c r="AG33" s="1" t="b">
        <f t="shared" si="10"/>
        <v>0</v>
      </c>
      <c r="AH33" s="1" t="b">
        <f t="shared" si="11"/>
        <v>0</v>
      </c>
      <c r="AI33" s="1" t="b">
        <f t="shared" si="23"/>
        <v>1</v>
      </c>
      <c r="AK33">
        <f t="shared" si="24"/>
        <v>2005</v>
      </c>
      <c r="AL33" s="36">
        <f t="shared" si="25"/>
        <v>68596.131963827545</v>
      </c>
      <c r="AM33" s="2"/>
      <c r="AN33" s="2">
        <f t="shared" si="29"/>
        <v>0</v>
      </c>
      <c r="AO33" s="2">
        <f t="shared" si="29"/>
        <v>0</v>
      </c>
      <c r="AP33" s="2"/>
      <c r="AQ33" s="2">
        <f t="shared" si="30"/>
        <v>0</v>
      </c>
      <c r="AR33" s="36">
        <f t="shared" si="26"/>
        <v>45730.754642551699</v>
      </c>
      <c r="AS33" s="2">
        <f t="shared" si="27"/>
        <v>114326.88660637924</v>
      </c>
      <c r="AT33" s="2">
        <f t="shared" si="28"/>
        <v>0</v>
      </c>
    </row>
    <row r="34" spans="1:47" x14ac:dyDescent="0.25">
      <c r="A34">
        <f t="shared" si="4"/>
        <v>2006</v>
      </c>
      <c r="B34" s="2">
        <f t="shared" si="12"/>
        <v>79324.567002970187</v>
      </c>
      <c r="C34" s="2">
        <f t="shared" si="12"/>
        <v>0</v>
      </c>
      <c r="D34" s="2">
        <f t="shared" si="12"/>
        <v>0</v>
      </c>
      <c r="E34" s="2">
        <f t="shared" si="12"/>
        <v>0</v>
      </c>
      <c r="F34" s="2"/>
      <c r="G34" s="2">
        <f t="shared" si="13"/>
        <v>0</v>
      </c>
      <c r="H34" s="2">
        <f t="shared" si="13"/>
        <v>47683.457865788652</v>
      </c>
      <c r="I34" s="2">
        <f t="shared" si="14"/>
        <v>127008.02486875883</v>
      </c>
      <c r="J34" s="2">
        <f t="shared" si="15"/>
        <v>12681.138262379594</v>
      </c>
      <c r="K34" s="6">
        <f t="shared" si="16"/>
        <v>0.11092000000000009</v>
      </c>
      <c r="L34" s="7">
        <f t="shared" si="17"/>
        <v>1.1109200000000001</v>
      </c>
      <c r="O34">
        <f t="shared" si="18"/>
        <v>2006</v>
      </c>
      <c r="P34" s="6">
        <f t="shared" si="5"/>
        <v>0.62456342490908445</v>
      </c>
      <c r="Q34" s="6"/>
      <c r="R34" s="6">
        <f t="shared" si="6"/>
        <v>0</v>
      </c>
      <c r="S34" s="6">
        <f t="shared" si="6"/>
        <v>0</v>
      </c>
      <c r="T34" s="6"/>
      <c r="U34" s="57">
        <f t="shared" si="5"/>
        <v>0</v>
      </c>
      <c r="V34" s="57">
        <f t="shared" si="6"/>
        <v>0.3754365750909156</v>
      </c>
      <c r="W34" s="6">
        <f t="shared" si="19"/>
        <v>1</v>
      </c>
      <c r="X34" s="7">
        <f t="shared" si="20"/>
        <v>0.62456342490908445</v>
      </c>
      <c r="Y34" s="7">
        <f t="shared" si="21"/>
        <v>0</v>
      </c>
      <c r="AA34">
        <f t="shared" si="22"/>
        <v>2006</v>
      </c>
      <c r="AB34" s="1" t="b">
        <f t="shared" si="7"/>
        <v>0</v>
      </c>
      <c r="AD34" s="1" t="b">
        <f t="shared" si="8"/>
        <v>0</v>
      </c>
      <c r="AE34" s="1" t="b">
        <f t="shared" si="9"/>
        <v>0</v>
      </c>
      <c r="AG34" s="35" t="b">
        <f t="shared" si="10"/>
        <v>0</v>
      </c>
      <c r="AH34" s="35" t="b">
        <f t="shared" si="11"/>
        <v>0</v>
      </c>
      <c r="AI34" s="1" t="b">
        <f t="shared" si="23"/>
        <v>1</v>
      </c>
      <c r="AK34">
        <f t="shared" si="24"/>
        <v>2006</v>
      </c>
      <c r="AL34" s="36">
        <f t="shared" si="25"/>
        <v>76204.814921255296</v>
      </c>
      <c r="AM34" s="2"/>
      <c r="AN34" s="36">
        <f>AN$27*$AS34</f>
        <v>0</v>
      </c>
      <c r="AO34" s="36">
        <f>AO$27*$AS34</f>
        <v>0</v>
      </c>
      <c r="AP34" s="2"/>
      <c r="AQ34" s="36">
        <f>AQ$27*$AS34</f>
        <v>0</v>
      </c>
      <c r="AR34" s="36">
        <f t="shared" si="26"/>
        <v>50803.209947503536</v>
      </c>
      <c r="AS34" s="2">
        <f t="shared" si="27"/>
        <v>127008.02486875883</v>
      </c>
      <c r="AT34" s="2">
        <f t="shared" si="28"/>
        <v>0</v>
      </c>
    </row>
    <row r="35" spans="1:47" x14ac:dyDescent="0.25">
      <c r="A35">
        <f t="shared" si="4"/>
        <v>2007</v>
      </c>
      <c r="B35" s="2">
        <f t="shared" si="12"/>
        <v>80312.25444551096</v>
      </c>
      <c r="C35" s="2">
        <f t="shared" si="12"/>
        <v>0</v>
      </c>
      <c r="D35" s="2">
        <f t="shared" si="12"/>
        <v>0</v>
      </c>
      <c r="E35" s="2">
        <f t="shared" si="12"/>
        <v>0</v>
      </c>
      <c r="F35" s="2"/>
      <c r="G35" s="2">
        <f t="shared" si="13"/>
        <v>0</v>
      </c>
      <c r="H35" s="2">
        <f t="shared" si="13"/>
        <v>54318.792075870777</v>
      </c>
      <c r="I35" s="2">
        <f t="shared" si="14"/>
        <v>134631.04652138174</v>
      </c>
      <c r="J35" s="2">
        <f t="shared" si="15"/>
        <v>7623.0216526229051</v>
      </c>
      <c r="K35" s="6">
        <f t="shared" si="16"/>
        <v>6.0019999999999997E-2</v>
      </c>
      <c r="L35" s="7">
        <f t="shared" si="17"/>
        <v>1.06002</v>
      </c>
      <c r="O35">
        <f t="shared" si="18"/>
        <v>2007</v>
      </c>
      <c r="P35" s="6">
        <f t="shared" si="5"/>
        <v>0.59653591441670917</v>
      </c>
      <c r="Q35" s="6"/>
      <c r="R35" s="6">
        <f t="shared" si="6"/>
        <v>0</v>
      </c>
      <c r="S35" s="6">
        <f t="shared" si="6"/>
        <v>0</v>
      </c>
      <c r="T35" s="6"/>
      <c r="U35" s="6">
        <f t="shared" si="5"/>
        <v>0</v>
      </c>
      <c r="V35" s="6">
        <f t="shared" si="6"/>
        <v>0.40346408558329089</v>
      </c>
      <c r="W35" s="6">
        <f t="shared" si="19"/>
        <v>1</v>
      </c>
      <c r="X35" s="7">
        <f t="shared" si="20"/>
        <v>0.59653591441670917</v>
      </c>
      <c r="Y35" s="7">
        <f t="shared" si="21"/>
        <v>0</v>
      </c>
      <c r="AA35">
        <f t="shared" si="22"/>
        <v>2007</v>
      </c>
      <c r="AB35" s="1" t="b">
        <f t="shared" si="7"/>
        <v>0</v>
      </c>
      <c r="AD35" s="1" t="b">
        <f t="shared" si="8"/>
        <v>0</v>
      </c>
      <c r="AE35" s="1" t="b">
        <f t="shared" si="9"/>
        <v>0</v>
      </c>
      <c r="AG35" s="1" t="b">
        <f t="shared" si="10"/>
        <v>0</v>
      </c>
      <c r="AH35" s="1" t="b">
        <f t="shared" si="11"/>
        <v>0</v>
      </c>
      <c r="AI35" s="1" t="b">
        <f t="shared" si="23"/>
        <v>1</v>
      </c>
      <c r="AK35">
        <f t="shared" si="24"/>
        <v>2007</v>
      </c>
      <c r="AL35" s="36">
        <f t="shared" si="25"/>
        <v>80778.627912829033</v>
      </c>
      <c r="AM35" s="2"/>
      <c r="AN35" s="2">
        <f t="shared" si="29"/>
        <v>0</v>
      </c>
      <c r="AO35" s="2">
        <f t="shared" si="29"/>
        <v>0</v>
      </c>
      <c r="AP35" s="2"/>
      <c r="AQ35" s="2">
        <f t="shared" si="30"/>
        <v>0</v>
      </c>
      <c r="AR35" s="36">
        <f t="shared" si="26"/>
        <v>53852.418608552696</v>
      </c>
      <c r="AS35" s="2">
        <f t="shared" si="27"/>
        <v>134631.04652138174</v>
      </c>
      <c r="AT35" s="2">
        <f t="shared" si="28"/>
        <v>0</v>
      </c>
    </row>
    <row r="36" spans="1:47" x14ac:dyDescent="0.25">
      <c r="A36">
        <f t="shared" si="4"/>
        <v>2008</v>
      </c>
      <c r="B36" s="2">
        <f t="shared" si="12"/>
        <v>50874.379859499721</v>
      </c>
      <c r="C36" s="2">
        <f t="shared" si="12"/>
        <v>0</v>
      </c>
      <c r="D36" s="2">
        <f t="shared" si="12"/>
        <v>0</v>
      </c>
      <c r="E36" s="2">
        <f t="shared" si="12"/>
        <v>0</v>
      </c>
      <c r="F36" s="2"/>
      <c r="G36" s="2">
        <f t="shared" si="13"/>
        <v>0</v>
      </c>
      <c r="H36" s="2">
        <f t="shared" si="13"/>
        <v>56571.965748284609</v>
      </c>
      <c r="I36" s="2">
        <f t="shared" si="14"/>
        <v>107446.34560778433</v>
      </c>
      <c r="J36" s="2">
        <f t="shared" si="15"/>
        <v>-27184.700913597408</v>
      </c>
      <c r="K36" s="6">
        <f t="shared" si="16"/>
        <v>-0.20192000000000004</v>
      </c>
      <c r="L36" s="7">
        <f t="shared" si="17"/>
        <v>0.7980799999999999</v>
      </c>
      <c r="O36">
        <f t="shared" si="18"/>
        <v>2008</v>
      </c>
      <c r="P36" s="6">
        <f t="shared" si="5"/>
        <v>0.47348636728147547</v>
      </c>
      <c r="Q36" s="6"/>
      <c r="R36" s="6">
        <f t="shared" si="6"/>
        <v>0</v>
      </c>
      <c r="S36" s="6">
        <f t="shared" si="6"/>
        <v>0</v>
      </c>
      <c r="T36" s="6"/>
      <c r="U36" s="6">
        <f t="shared" si="5"/>
        <v>0</v>
      </c>
      <c r="V36" s="57">
        <f t="shared" si="6"/>
        <v>0.52651363271852447</v>
      </c>
      <c r="W36" s="6">
        <f t="shared" si="19"/>
        <v>1</v>
      </c>
      <c r="X36" s="7">
        <f t="shared" si="20"/>
        <v>0.47348636728147547</v>
      </c>
      <c r="Y36" s="7">
        <f t="shared" si="21"/>
        <v>0</v>
      </c>
      <c r="AA36">
        <f t="shared" si="22"/>
        <v>2008</v>
      </c>
      <c r="AB36" s="1" t="b">
        <f t="shared" si="7"/>
        <v>0</v>
      </c>
      <c r="AD36" s="1" t="b">
        <f t="shared" si="8"/>
        <v>0</v>
      </c>
      <c r="AE36" s="1" t="b">
        <f t="shared" si="9"/>
        <v>0</v>
      </c>
      <c r="AG36" s="1" t="b">
        <f t="shared" si="10"/>
        <v>0</v>
      </c>
      <c r="AH36" s="35" t="b">
        <f t="shared" si="11"/>
        <v>0</v>
      </c>
      <c r="AI36" s="1" t="b">
        <f t="shared" si="23"/>
        <v>1</v>
      </c>
      <c r="AK36">
        <f t="shared" si="24"/>
        <v>2008</v>
      </c>
      <c r="AL36" s="36">
        <f t="shared" si="25"/>
        <v>64467.807364670596</v>
      </c>
      <c r="AM36" s="2"/>
      <c r="AN36" s="36">
        <f>AN$27*$AS36</f>
        <v>0</v>
      </c>
      <c r="AO36" s="36">
        <f>AO$27*$AS36</f>
        <v>0</v>
      </c>
      <c r="AP36" s="2"/>
      <c r="AQ36" s="36">
        <f>AQ$27*$AS36</f>
        <v>0</v>
      </c>
      <c r="AR36" s="36">
        <f t="shared" si="26"/>
        <v>42978.538243113733</v>
      </c>
      <c r="AS36" s="2">
        <f t="shared" si="27"/>
        <v>107446.34560778433</v>
      </c>
      <c r="AT36" s="2">
        <f t="shared" si="28"/>
        <v>0</v>
      </c>
    </row>
    <row r="37" spans="1:47" x14ac:dyDescent="0.25">
      <c r="A37">
        <f t="shared" si="4"/>
        <v>2009</v>
      </c>
      <c r="B37" s="2">
        <f t="shared" si="12"/>
        <v>81545.329535571829</v>
      </c>
      <c r="C37" s="2">
        <f t="shared" si="12"/>
        <v>0</v>
      </c>
      <c r="D37" s="2">
        <f t="shared" si="12"/>
        <v>0</v>
      </c>
      <c r="E37" s="2">
        <f t="shared" si="12"/>
        <v>0</v>
      </c>
      <c r="F37" s="2"/>
      <c r="G37" s="2">
        <f t="shared" si="13"/>
        <v>0</v>
      </c>
      <c r="H37" s="2">
        <f t="shared" si="13"/>
        <v>45527.165560930371</v>
      </c>
      <c r="I37" s="2">
        <f t="shared" si="14"/>
        <v>127072.4950965022</v>
      </c>
      <c r="J37" s="2">
        <f t="shared" si="15"/>
        <v>19626.149488717871</v>
      </c>
      <c r="K37" s="6">
        <f t="shared" si="16"/>
        <v>0.18265999999999985</v>
      </c>
      <c r="L37" s="7">
        <f t="shared" si="17"/>
        <v>1.1826599999999998</v>
      </c>
      <c r="O37">
        <f t="shared" si="18"/>
        <v>2009</v>
      </c>
      <c r="P37" s="6">
        <f t="shared" si="5"/>
        <v>0.64172289584495967</v>
      </c>
      <c r="Q37" s="6"/>
      <c r="R37" s="6">
        <f t="shared" si="6"/>
        <v>0</v>
      </c>
      <c r="S37" s="6">
        <f t="shared" si="6"/>
        <v>0</v>
      </c>
      <c r="T37" s="6"/>
      <c r="U37" s="6">
        <f t="shared" si="5"/>
        <v>0</v>
      </c>
      <c r="V37" s="6">
        <f t="shared" si="6"/>
        <v>0.35827710415504033</v>
      </c>
      <c r="W37" s="6">
        <f t="shared" si="19"/>
        <v>1</v>
      </c>
      <c r="X37" s="7">
        <f t="shared" si="20"/>
        <v>0.64172289584495967</v>
      </c>
      <c r="Y37" s="7">
        <f t="shared" si="21"/>
        <v>0</v>
      </c>
      <c r="AA37">
        <f t="shared" si="22"/>
        <v>2009</v>
      </c>
      <c r="AB37" s="1" t="b">
        <f t="shared" si="7"/>
        <v>0</v>
      </c>
      <c r="AD37" s="1" t="b">
        <f t="shared" si="8"/>
        <v>0</v>
      </c>
      <c r="AE37" s="1" t="b">
        <f t="shared" si="9"/>
        <v>0</v>
      </c>
      <c r="AG37" s="1" t="b">
        <f t="shared" si="10"/>
        <v>0</v>
      </c>
      <c r="AH37" s="1" t="b">
        <f t="shared" si="11"/>
        <v>0</v>
      </c>
      <c r="AI37" s="1" t="b">
        <f t="shared" si="23"/>
        <v>1</v>
      </c>
      <c r="AK37">
        <f t="shared" si="24"/>
        <v>2009</v>
      </c>
      <c r="AL37" s="36">
        <f t="shared" si="25"/>
        <v>76243.497057901317</v>
      </c>
      <c r="AM37" s="2"/>
      <c r="AN37" s="2">
        <f t="shared" si="29"/>
        <v>0</v>
      </c>
      <c r="AO37" s="2">
        <f t="shared" si="29"/>
        <v>0</v>
      </c>
      <c r="AP37" s="2"/>
      <c r="AQ37" s="2">
        <f t="shared" si="30"/>
        <v>0</v>
      </c>
      <c r="AR37" s="36">
        <f t="shared" si="26"/>
        <v>50828.998038600883</v>
      </c>
      <c r="AS37" s="2">
        <f t="shared" si="27"/>
        <v>127072.4950965022</v>
      </c>
      <c r="AT37" s="2">
        <f t="shared" si="28"/>
        <v>0</v>
      </c>
    </row>
    <row r="38" spans="1:47" x14ac:dyDescent="0.25">
      <c r="A38">
        <f t="shared" si="4"/>
        <v>2010</v>
      </c>
      <c r="B38" s="2">
        <f t="shared" si="12"/>
        <v>87611.40246923441</v>
      </c>
      <c r="C38" s="2">
        <f t="shared" si="12"/>
        <v>0</v>
      </c>
      <c r="D38" s="2">
        <f t="shared" si="12"/>
        <v>0</v>
      </c>
      <c r="E38" s="2">
        <f t="shared" si="12"/>
        <v>0</v>
      </c>
      <c r="F38" s="2"/>
      <c r="G38" s="2">
        <f t="shared" si="13"/>
        <v>0</v>
      </c>
      <c r="H38" s="2">
        <f t="shared" si="13"/>
        <v>54092.219712679063</v>
      </c>
      <c r="I38" s="2">
        <f t="shared" si="14"/>
        <v>141703.62218191347</v>
      </c>
      <c r="J38" s="2">
        <f t="shared" si="15"/>
        <v>14631.127085411266</v>
      </c>
      <c r="K38" s="6">
        <f t="shared" si="16"/>
        <v>0.11514000000000002</v>
      </c>
      <c r="L38" s="7">
        <f t="shared" si="17"/>
        <v>1.11514</v>
      </c>
      <c r="O38">
        <f t="shared" si="18"/>
        <v>2010</v>
      </c>
      <c r="P38" s="56">
        <f t="shared" si="5"/>
        <v>0.61827214520149942</v>
      </c>
      <c r="Q38" s="6"/>
      <c r="R38" s="6">
        <f t="shared" si="6"/>
        <v>0</v>
      </c>
      <c r="S38" s="6">
        <f t="shared" si="6"/>
        <v>0</v>
      </c>
      <c r="T38" s="7"/>
      <c r="U38" s="6">
        <f t="shared" si="5"/>
        <v>0</v>
      </c>
      <c r="V38" s="6">
        <f t="shared" si="6"/>
        <v>0.38172785479850069</v>
      </c>
      <c r="W38" s="6">
        <f t="shared" si="19"/>
        <v>1</v>
      </c>
      <c r="X38" s="7">
        <f t="shared" si="20"/>
        <v>0.61827214520149942</v>
      </c>
      <c r="Y38" s="7">
        <f t="shared" si="21"/>
        <v>0</v>
      </c>
      <c r="AA38">
        <f t="shared" si="22"/>
        <v>2010</v>
      </c>
      <c r="AB38" s="1" t="b">
        <f t="shared" si="7"/>
        <v>0</v>
      </c>
      <c r="AD38" s="1" t="b">
        <f t="shared" si="8"/>
        <v>0</v>
      </c>
      <c r="AE38" s="1" t="b">
        <f t="shared" si="9"/>
        <v>0</v>
      </c>
      <c r="AG38" s="1" t="b">
        <f t="shared" si="10"/>
        <v>0</v>
      </c>
      <c r="AH38" s="35" t="b">
        <f t="shared" si="11"/>
        <v>0</v>
      </c>
      <c r="AI38" s="1" t="b">
        <f t="shared" si="23"/>
        <v>1</v>
      </c>
      <c r="AK38">
        <f t="shared" si="24"/>
        <v>2010</v>
      </c>
      <c r="AL38" s="36">
        <f t="shared" si="25"/>
        <v>85022.173309148071</v>
      </c>
      <c r="AM38" s="2"/>
      <c r="AN38" s="36">
        <f>AN$27*$AS38</f>
        <v>0</v>
      </c>
      <c r="AO38" s="36">
        <f>AO$27*$AS38</f>
        <v>0</v>
      </c>
      <c r="AP38" s="2"/>
      <c r="AQ38" s="36">
        <f>AQ$27*$AS38</f>
        <v>0</v>
      </c>
      <c r="AR38" s="36">
        <f t="shared" si="26"/>
        <v>56681.448872765388</v>
      </c>
      <c r="AS38" s="2">
        <f t="shared" si="27"/>
        <v>141703.62218191347</v>
      </c>
      <c r="AT38" s="2">
        <f t="shared" si="28"/>
        <v>0</v>
      </c>
    </row>
    <row r="39" spans="1:47" x14ac:dyDescent="0.25">
      <c r="A39">
        <f t="shared" si="4"/>
        <v>2011</v>
      </c>
      <c r="B39" s="2">
        <f t="shared" si="12"/>
        <v>86697.110123338294</v>
      </c>
      <c r="C39" s="2">
        <f t="shared" si="12"/>
        <v>0</v>
      </c>
      <c r="D39" s="2">
        <f t="shared" si="12"/>
        <v>0</v>
      </c>
      <c r="E39" s="2">
        <f t="shared" si="12"/>
        <v>0</v>
      </c>
      <c r="F39" s="2"/>
      <c r="G39" s="2">
        <f t="shared" si="13"/>
        <v>0</v>
      </c>
      <c r="H39" s="2">
        <f t="shared" si="13"/>
        <v>60966.566407546459</v>
      </c>
      <c r="I39" s="2">
        <f t="shared" si="14"/>
        <v>147663.67653088475</v>
      </c>
      <c r="J39" s="2">
        <f t="shared" si="15"/>
        <v>5960.0543489712873</v>
      </c>
      <c r="K39" s="6">
        <f t="shared" si="16"/>
        <v>4.2060000000000049E-2</v>
      </c>
      <c r="L39" s="7">
        <f t="shared" si="17"/>
        <v>1.04206</v>
      </c>
      <c r="O39">
        <f t="shared" si="18"/>
        <v>2011</v>
      </c>
      <c r="P39" s="6">
        <f t="shared" si="5"/>
        <v>0.58712550141066733</v>
      </c>
      <c r="Q39" s="7"/>
      <c r="R39" s="6">
        <f t="shared" si="5"/>
        <v>0</v>
      </c>
      <c r="S39" s="6">
        <f t="shared" si="5"/>
        <v>0</v>
      </c>
      <c r="T39" s="7"/>
      <c r="U39" s="6">
        <f t="shared" si="5"/>
        <v>0</v>
      </c>
      <c r="V39" s="6">
        <f t="shared" si="6"/>
        <v>0.41287449858933273</v>
      </c>
      <c r="W39" s="6">
        <f t="shared" si="19"/>
        <v>1</v>
      </c>
      <c r="X39" s="7">
        <f t="shared" si="20"/>
        <v>0.58712550141066733</v>
      </c>
      <c r="Y39" s="7">
        <f t="shared" si="21"/>
        <v>0</v>
      </c>
      <c r="AA39">
        <f t="shared" si="22"/>
        <v>2011</v>
      </c>
      <c r="AB39" s="1" t="b">
        <f t="shared" si="7"/>
        <v>0</v>
      </c>
      <c r="AD39" s="1" t="b">
        <f>AND((D39/$I39)&gt;0.15,(D39/$I39)&lt;0.25)</f>
        <v>0</v>
      </c>
      <c r="AE39" s="1" t="b">
        <f>AND((E39/$I39)&gt;0.05,(E39/$I39)&lt;0.15)</f>
        <v>0</v>
      </c>
      <c r="AG39" s="1" t="b">
        <f t="shared" si="10"/>
        <v>0</v>
      </c>
      <c r="AH39" s="1" t="b">
        <f t="shared" si="11"/>
        <v>0</v>
      </c>
      <c r="AI39" s="1" t="b">
        <f t="shared" si="23"/>
        <v>1</v>
      </c>
      <c r="AK39">
        <f t="shared" si="24"/>
        <v>2011</v>
      </c>
      <c r="AL39" s="36">
        <f t="shared" si="25"/>
        <v>88598.205918530846</v>
      </c>
      <c r="AM39" s="2"/>
      <c r="AN39" s="2">
        <f t="shared" si="29"/>
        <v>0</v>
      </c>
      <c r="AO39" s="2">
        <f t="shared" si="29"/>
        <v>0</v>
      </c>
      <c r="AP39" s="2"/>
      <c r="AQ39" s="2">
        <f t="shared" si="30"/>
        <v>0</v>
      </c>
      <c r="AR39" s="36">
        <f t="shared" si="26"/>
        <v>59065.470612353907</v>
      </c>
      <c r="AS39" s="2">
        <f t="shared" si="27"/>
        <v>147663.67653088475</v>
      </c>
      <c r="AT39" s="2">
        <f t="shared" si="28"/>
        <v>0</v>
      </c>
    </row>
    <row r="40" spans="1:47" x14ac:dyDescent="0.25">
      <c r="A40">
        <f t="shared" si="4"/>
        <v>2012</v>
      </c>
      <c r="B40" s="2">
        <f t="shared" si="12"/>
        <v>102614.44209484242</v>
      </c>
      <c r="C40" s="2">
        <f t="shared" si="12"/>
        <v>0</v>
      </c>
      <c r="D40" s="2">
        <f t="shared" si="12"/>
        <v>0</v>
      </c>
      <c r="E40" s="2">
        <f t="shared" si="12"/>
        <v>0</v>
      </c>
      <c r="F40" s="2"/>
      <c r="G40" s="2">
        <f t="shared" si="13"/>
        <v>0</v>
      </c>
      <c r="H40" s="2">
        <f t="shared" si="13"/>
        <v>61457.622172154239</v>
      </c>
      <c r="I40" s="2">
        <f t="shared" si="14"/>
        <v>164072.06426699666</v>
      </c>
      <c r="J40" s="2">
        <f t="shared" si="15"/>
        <v>16408.387736111908</v>
      </c>
      <c r="K40" s="6">
        <f t="shared" si="16"/>
        <v>0.11111999999999997</v>
      </c>
      <c r="L40" s="7">
        <f t="shared" si="17"/>
        <v>1.1111199999999999</v>
      </c>
      <c r="O40">
        <f t="shared" si="18"/>
        <v>2012</v>
      </c>
      <c r="P40" s="6">
        <f t="shared" si="5"/>
        <v>0.62542299661602707</v>
      </c>
      <c r="Q40" s="7"/>
      <c r="R40" s="6">
        <f t="shared" si="5"/>
        <v>0</v>
      </c>
      <c r="S40" s="6">
        <f t="shared" si="5"/>
        <v>0</v>
      </c>
      <c r="T40" s="7"/>
      <c r="U40" s="6">
        <f t="shared" si="5"/>
        <v>0</v>
      </c>
      <c r="V40" s="6">
        <f t="shared" si="6"/>
        <v>0.37457700338397298</v>
      </c>
      <c r="W40" s="6">
        <f t="shared" si="19"/>
        <v>1</v>
      </c>
      <c r="X40" s="7">
        <f t="shared" si="20"/>
        <v>0.62542299661602707</v>
      </c>
      <c r="Y40" s="7">
        <f t="shared" si="21"/>
        <v>0</v>
      </c>
      <c r="AA40">
        <f t="shared" si="22"/>
        <v>2012</v>
      </c>
      <c r="AB40" s="1" t="b">
        <f t="shared" si="7"/>
        <v>0</v>
      </c>
      <c r="AD40" s="1" t="b">
        <f t="shared" ref="AD40:AD45" si="31">AND((D40/$I40)&gt;0.15,(D40/$I40)&lt;0.25)</f>
        <v>0</v>
      </c>
      <c r="AE40" s="1" t="b">
        <f t="shared" ref="AE40:AE45" si="32">AND((E40/$I40)&gt;0.05,(E40/$I40)&lt;0.15)</f>
        <v>0</v>
      </c>
      <c r="AG40" s="1" t="b">
        <f t="shared" si="10"/>
        <v>0</v>
      </c>
      <c r="AH40" s="1" t="b">
        <f t="shared" si="11"/>
        <v>0</v>
      </c>
      <c r="AI40" s="1" t="b">
        <f t="shared" si="23"/>
        <v>1</v>
      </c>
      <c r="AK40">
        <f t="shared" si="24"/>
        <v>2012</v>
      </c>
      <c r="AL40" s="36">
        <f t="shared" si="25"/>
        <v>98443.238560197991</v>
      </c>
      <c r="AM40" s="2"/>
      <c r="AN40" s="2">
        <f t="shared" si="29"/>
        <v>0</v>
      </c>
      <c r="AO40" s="2">
        <f t="shared" si="29"/>
        <v>0</v>
      </c>
      <c r="AP40" s="2"/>
      <c r="AQ40" s="2">
        <f t="shared" si="30"/>
        <v>0</v>
      </c>
      <c r="AR40" s="36">
        <f t="shared" si="26"/>
        <v>65628.825706798671</v>
      </c>
      <c r="AS40" s="2">
        <f t="shared" si="27"/>
        <v>164072.06426699666</v>
      </c>
      <c r="AT40" s="2">
        <f t="shared" si="28"/>
        <v>0</v>
      </c>
    </row>
    <row r="41" spans="1:47" x14ac:dyDescent="0.25">
      <c r="A41">
        <f t="shared" si="4"/>
        <v>2013</v>
      </c>
      <c r="B41" s="2">
        <f t="shared" si="12"/>
        <v>130122.27272886972</v>
      </c>
      <c r="C41" s="2">
        <f t="shared" si="12"/>
        <v>0</v>
      </c>
      <c r="D41" s="2">
        <f t="shared" si="12"/>
        <v>0</v>
      </c>
      <c r="E41" s="2">
        <f t="shared" si="12"/>
        <v>0</v>
      </c>
      <c r="F41" s="2"/>
      <c r="G41" s="2">
        <f t="shared" si="13"/>
        <v>0</v>
      </c>
      <c r="H41" s="2">
        <f t="shared" si="13"/>
        <v>64145.614245825025</v>
      </c>
      <c r="I41" s="2">
        <f t="shared" si="14"/>
        <v>194267.88697469473</v>
      </c>
      <c r="J41" s="2">
        <f t="shared" si="15"/>
        <v>30195.822707698069</v>
      </c>
      <c r="K41" s="6">
        <f t="shared" si="16"/>
        <v>0.18404000000000001</v>
      </c>
      <c r="L41" s="7">
        <f t="shared" si="17"/>
        <v>1.18404</v>
      </c>
      <c r="O41">
        <f t="shared" si="18"/>
        <v>2013</v>
      </c>
      <c r="P41" s="6">
        <f t="shared" si="5"/>
        <v>0.66980845241714815</v>
      </c>
      <c r="Q41" s="7"/>
      <c r="R41" s="6">
        <f t="shared" si="5"/>
        <v>0</v>
      </c>
      <c r="S41" s="6">
        <f t="shared" si="5"/>
        <v>0</v>
      </c>
      <c r="T41" s="7"/>
      <c r="U41" s="6">
        <f t="shared" si="5"/>
        <v>0</v>
      </c>
      <c r="V41" s="6">
        <f t="shared" si="6"/>
        <v>0.33019154758285196</v>
      </c>
      <c r="W41" s="6">
        <f t="shared" si="19"/>
        <v>1</v>
      </c>
      <c r="X41" s="7">
        <f t="shared" si="20"/>
        <v>0.66980845241714815</v>
      </c>
      <c r="Y41" s="7">
        <f t="shared" si="21"/>
        <v>0</v>
      </c>
      <c r="AA41">
        <f t="shared" si="22"/>
        <v>2013</v>
      </c>
      <c r="AB41" s="1" t="b">
        <f t="shared" si="7"/>
        <v>0</v>
      </c>
      <c r="AD41" s="1" t="b">
        <f t="shared" si="31"/>
        <v>0</v>
      </c>
      <c r="AE41" s="1" t="b">
        <f t="shared" si="32"/>
        <v>0</v>
      </c>
      <c r="AG41" s="1" t="b">
        <f t="shared" si="10"/>
        <v>0</v>
      </c>
      <c r="AH41" s="35" t="b">
        <f t="shared" si="11"/>
        <v>1</v>
      </c>
      <c r="AI41" s="1" t="b">
        <f t="shared" si="23"/>
        <v>1</v>
      </c>
      <c r="AK41">
        <f t="shared" si="24"/>
        <v>2013</v>
      </c>
      <c r="AL41" s="36">
        <f t="shared" si="25"/>
        <v>116560.73218481684</v>
      </c>
      <c r="AM41" s="2"/>
      <c r="AN41" s="36">
        <f>AN$27*$AS41</f>
        <v>0</v>
      </c>
      <c r="AO41" s="36">
        <f>AO$27*$AS41</f>
        <v>0</v>
      </c>
      <c r="AP41" s="2"/>
      <c r="AQ41" s="36">
        <f>AQ$27*$AS41</f>
        <v>0</v>
      </c>
      <c r="AR41" s="36">
        <f t="shared" si="26"/>
        <v>77707.154789877895</v>
      </c>
      <c r="AS41" s="2">
        <f t="shared" si="27"/>
        <v>194267.88697469473</v>
      </c>
      <c r="AT41" s="2">
        <f t="shared" si="28"/>
        <v>0</v>
      </c>
    </row>
    <row r="42" spans="1:47" x14ac:dyDescent="0.25">
      <c r="A42">
        <f t="shared" si="4"/>
        <v>2014</v>
      </c>
      <c r="B42" s="2">
        <f t="shared" si="12"/>
        <v>132308.08710298559</v>
      </c>
      <c r="C42" s="2">
        <f t="shared" si="12"/>
        <v>0</v>
      </c>
      <c r="D42" s="2">
        <f t="shared" si="12"/>
        <v>0</v>
      </c>
      <c r="E42" s="2">
        <f t="shared" si="12"/>
        <v>0</v>
      </c>
      <c r="F42" s="2"/>
      <c r="G42" s="2">
        <f t="shared" si="13"/>
        <v>0</v>
      </c>
      <c r="H42" s="2">
        <f t="shared" si="13"/>
        <v>82183.086905774864</v>
      </c>
      <c r="I42" s="2">
        <f t="shared" si="14"/>
        <v>214491.17400876046</v>
      </c>
      <c r="J42" s="2">
        <f t="shared" si="15"/>
        <v>20223.287034065725</v>
      </c>
      <c r="K42" s="6">
        <f t="shared" si="16"/>
        <v>0.10410000000000001</v>
      </c>
      <c r="L42" s="7">
        <f t="shared" si="17"/>
        <v>1.1041000000000001</v>
      </c>
      <c r="O42">
        <f t="shared" si="18"/>
        <v>2014</v>
      </c>
      <c r="P42" s="6">
        <f t="shared" si="5"/>
        <v>0.61684630015397157</v>
      </c>
      <c r="Q42" s="7"/>
      <c r="R42" s="6">
        <f t="shared" si="5"/>
        <v>0</v>
      </c>
      <c r="S42" s="6">
        <f t="shared" si="5"/>
        <v>0</v>
      </c>
      <c r="T42" s="7"/>
      <c r="U42" s="6">
        <f t="shared" si="5"/>
        <v>0</v>
      </c>
      <c r="V42" s="6">
        <f t="shared" si="6"/>
        <v>0.38315369984602848</v>
      </c>
      <c r="W42" s="6">
        <f t="shared" si="19"/>
        <v>1</v>
      </c>
      <c r="X42" s="7">
        <f t="shared" si="20"/>
        <v>0.61684630015397157</v>
      </c>
      <c r="Y42" s="7">
        <f t="shared" si="21"/>
        <v>0</v>
      </c>
      <c r="AA42">
        <f t="shared" si="22"/>
        <v>2014</v>
      </c>
      <c r="AB42" s="1" t="b">
        <f t="shared" si="7"/>
        <v>0</v>
      </c>
      <c r="AD42" s="1" t="b">
        <f t="shared" si="31"/>
        <v>0</v>
      </c>
      <c r="AE42" s="1" t="b">
        <f t="shared" si="32"/>
        <v>0</v>
      </c>
      <c r="AG42" s="1" t="b">
        <f t="shared" si="10"/>
        <v>0</v>
      </c>
      <c r="AH42" s="1" t="b">
        <f t="shared" si="11"/>
        <v>0</v>
      </c>
      <c r="AI42" s="1" t="b">
        <f t="shared" si="23"/>
        <v>1</v>
      </c>
      <c r="AK42">
        <f t="shared" si="24"/>
        <v>2014</v>
      </c>
      <c r="AL42" s="36">
        <f t="shared" si="25"/>
        <v>128694.70440525627</v>
      </c>
      <c r="AM42" s="2"/>
      <c r="AN42" s="2">
        <f t="shared" ref="AN42:AO45" si="33">D42</f>
        <v>0</v>
      </c>
      <c r="AO42" s="2">
        <f t="shared" si="33"/>
        <v>0</v>
      </c>
      <c r="AP42" s="2"/>
      <c r="AQ42" s="2">
        <f t="shared" ref="AQ42:AQ45" si="34">G42</f>
        <v>0</v>
      </c>
      <c r="AR42" s="36">
        <f t="shared" si="26"/>
        <v>85796.469603504185</v>
      </c>
      <c r="AS42" s="2">
        <f t="shared" si="27"/>
        <v>214491.17400876046</v>
      </c>
      <c r="AT42" s="2">
        <f t="shared" si="28"/>
        <v>0</v>
      </c>
      <c r="AU42" s="59"/>
    </row>
    <row r="43" spans="1:47" x14ac:dyDescent="0.25">
      <c r="A43">
        <f t="shared" si="4"/>
        <v>2015</v>
      </c>
      <c r="B43" s="2">
        <f>AL42*(1+(B19/100))</f>
        <v>130303.38821032197</v>
      </c>
      <c r="C43" s="2">
        <f>AM42*(1+(C19/100))</f>
        <v>0</v>
      </c>
      <c r="D43" s="2">
        <f>AN42*(1+(D19/100))</f>
        <v>0</v>
      </c>
      <c r="E43" s="2">
        <f>AO42*(1+(E19/100))</f>
        <v>0</v>
      </c>
      <c r="F43" s="2"/>
      <c r="G43" s="2">
        <f>AQ42*(1+(G19/100))</f>
        <v>0</v>
      </c>
      <c r="H43" s="2">
        <f>AR42*(1+(H19/100))</f>
        <v>86053.859012314686</v>
      </c>
      <c r="I43" s="2">
        <f t="shared" si="14"/>
        <v>216357.24722263665</v>
      </c>
      <c r="J43" s="2">
        <f t="shared" si="15"/>
        <v>1866.073213876196</v>
      </c>
      <c r="K43" s="6">
        <f t="shared" si="16"/>
        <v>8.6999999999999075E-3</v>
      </c>
      <c r="L43" s="7">
        <f t="shared" si="17"/>
        <v>1.0086999999999999</v>
      </c>
      <c r="O43">
        <f t="shared" si="18"/>
        <v>2015</v>
      </c>
      <c r="P43" s="6">
        <f t="shared" si="5"/>
        <v>0.60226033508476262</v>
      </c>
      <c r="Q43" s="7"/>
      <c r="R43" s="6">
        <f t="shared" si="5"/>
        <v>0</v>
      </c>
      <c r="S43" s="6">
        <f t="shared" si="5"/>
        <v>0</v>
      </c>
      <c r="T43" s="7"/>
      <c r="U43" s="6">
        <f t="shared" si="5"/>
        <v>0</v>
      </c>
      <c r="V43" s="6">
        <f t="shared" si="6"/>
        <v>0.39773966491523743</v>
      </c>
      <c r="W43" s="6">
        <f t="shared" si="19"/>
        <v>1</v>
      </c>
      <c r="X43" s="7">
        <f t="shared" si="20"/>
        <v>0.60226033508476262</v>
      </c>
      <c r="Y43" s="7">
        <f t="shared" si="21"/>
        <v>0</v>
      </c>
      <c r="AA43">
        <f t="shared" si="22"/>
        <v>2015</v>
      </c>
      <c r="AB43" s="1" t="b">
        <f t="shared" si="7"/>
        <v>0</v>
      </c>
      <c r="AD43" s="1" t="b">
        <f t="shared" si="31"/>
        <v>0</v>
      </c>
      <c r="AE43" s="1" t="b">
        <f t="shared" si="32"/>
        <v>0</v>
      </c>
      <c r="AG43" s="1" t="b">
        <f t="shared" si="10"/>
        <v>0</v>
      </c>
      <c r="AH43" s="1" t="b">
        <f t="shared" si="11"/>
        <v>0</v>
      </c>
      <c r="AI43" s="1" t="b">
        <f t="shared" si="23"/>
        <v>1</v>
      </c>
      <c r="AK43">
        <f t="shared" si="24"/>
        <v>2015</v>
      </c>
      <c r="AL43" s="36">
        <f t="shared" si="25"/>
        <v>129814.34833358199</v>
      </c>
      <c r="AM43" s="2"/>
      <c r="AN43" s="2">
        <f t="shared" si="33"/>
        <v>0</v>
      </c>
      <c r="AO43" s="2">
        <f t="shared" si="33"/>
        <v>0</v>
      </c>
      <c r="AP43" s="2"/>
      <c r="AQ43" s="2">
        <f t="shared" si="34"/>
        <v>0</v>
      </c>
      <c r="AR43" s="36">
        <f t="shared" si="26"/>
        <v>86542.898889054661</v>
      </c>
      <c r="AS43" s="2">
        <f t="shared" si="27"/>
        <v>216357.24722263665</v>
      </c>
      <c r="AT43" s="2">
        <f t="shared" si="28"/>
        <v>0</v>
      </c>
      <c r="AU43" s="59"/>
    </row>
    <row r="44" spans="1:47" x14ac:dyDescent="0.25">
      <c r="A44">
        <f t="shared" si="4"/>
        <v>2016</v>
      </c>
      <c r="B44" s="2">
        <f t="shared" ref="B44:E45" si="35">AL43*(1+(B20/100))</f>
        <v>145158.4043066114</v>
      </c>
      <c r="C44" s="2">
        <f t="shared" si="35"/>
        <v>0</v>
      </c>
      <c r="D44" s="2">
        <f t="shared" si="35"/>
        <v>0</v>
      </c>
      <c r="E44" s="2">
        <f t="shared" si="35"/>
        <v>0</v>
      </c>
      <c r="F44" s="2"/>
      <c r="G44" s="2">
        <f t="shared" ref="G44:H45" si="36">AQ43*(1+(G20/100))</f>
        <v>0</v>
      </c>
      <c r="H44" s="2">
        <f t="shared" si="36"/>
        <v>88706.471361281016</v>
      </c>
      <c r="I44" s="2">
        <f t="shared" si="14"/>
        <v>233864.8756678924</v>
      </c>
      <c r="J44" s="2">
        <f t="shared" si="15"/>
        <v>17507.628445255745</v>
      </c>
      <c r="K44" s="6">
        <f t="shared" si="16"/>
        <v>8.0919999999999936E-2</v>
      </c>
      <c r="L44" s="7">
        <f t="shared" si="17"/>
        <v>1.0809199999999999</v>
      </c>
      <c r="O44">
        <f t="shared" si="18"/>
        <v>2016</v>
      </c>
      <c r="P44" s="6">
        <f t="shared" ref="P44:P45" si="37">B44/$I44</f>
        <v>0.62069348332901608</v>
      </c>
      <c r="Q44" s="7"/>
      <c r="R44" s="6">
        <f t="shared" ref="R44:S45" si="38">D44/$I44</f>
        <v>0</v>
      </c>
      <c r="S44" s="6">
        <f t="shared" si="38"/>
        <v>0</v>
      </c>
      <c r="T44" s="7"/>
      <c r="U44" s="6">
        <f t="shared" ref="U44:V45" si="39">G44/$I44</f>
        <v>0</v>
      </c>
      <c r="V44" s="6">
        <f t="shared" si="39"/>
        <v>0.37930651667098397</v>
      </c>
      <c r="W44" s="6">
        <f t="shared" si="19"/>
        <v>1</v>
      </c>
      <c r="X44" s="7">
        <f t="shared" si="20"/>
        <v>0.62069348332901608</v>
      </c>
      <c r="Y44" s="7">
        <f t="shared" si="21"/>
        <v>0</v>
      </c>
      <c r="AA44">
        <f t="shared" si="22"/>
        <v>2016</v>
      </c>
      <c r="AB44" s="1" t="b">
        <f t="shared" si="7"/>
        <v>0</v>
      </c>
      <c r="AD44" s="1" t="b">
        <f t="shared" si="31"/>
        <v>0</v>
      </c>
      <c r="AE44" s="1" t="b">
        <f t="shared" si="32"/>
        <v>0</v>
      </c>
      <c r="AG44" s="1" t="b">
        <f t="shared" si="10"/>
        <v>0</v>
      </c>
      <c r="AH44" s="1" t="b">
        <f t="shared" si="11"/>
        <v>0</v>
      </c>
      <c r="AI44" s="1" t="b">
        <f t="shared" si="23"/>
        <v>1</v>
      </c>
      <c r="AK44">
        <f t="shared" si="24"/>
        <v>2016</v>
      </c>
      <c r="AL44" s="36">
        <f t="shared" si="25"/>
        <v>140318.92540073543</v>
      </c>
      <c r="AM44" s="2"/>
      <c r="AN44" s="2">
        <f t="shared" si="33"/>
        <v>0</v>
      </c>
      <c r="AO44" s="2">
        <f t="shared" si="33"/>
        <v>0</v>
      </c>
      <c r="AP44" s="2"/>
      <c r="AQ44" s="2">
        <f t="shared" si="34"/>
        <v>0</v>
      </c>
      <c r="AR44" s="36">
        <f t="shared" si="26"/>
        <v>93545.950267156964</v>
      </c>
      <c r="AS44" s="2">
        <f t="shared" si="27"/>
        <v>233864.8756678924</v>
      </c>
      <c r="AT44" s="2">
        <f t="shared" si="28"/>
        <v>0</v>
      </c>
      <c r="AU44" s="59"/>
    </row>
    <row r="45" spans="1:47" x14ac:dyDescent="0.25">
      <c r="A45">
        <f t="shared" si="4"/>
        <v>2017</v>
      </c>
      <c r="B45" s="2">
        <f t="shared" si="35"/>
        <v>170726.03653507479</v>
      </c>
      <c r="C45" s="2">
        <f t="shared" si="35"/>
        <v>0</v>
      </c>
      <c r="D45" s="2">
        <f t="shared" si="35"/>
        <v>0</v>
      </c>
      <c r="E45" s="2">
        <f t="shared" si="35"/>
        <v>0</v>
      </c>
      <c r="F45" s="2"/>
      <c r="G45" s="2">
        <f t="shared" si="36"/>
        <v>0</v>
      </c>
      <c r="H45" s="2">
        <f t="shared" si="36"/>
        <v>96782.64014640059</v>
      </c>
      <c r="I45" s="2">
        <f t="shared" si="14"/>
        <v>267508.67668147536</v>
      </c>
      <c r="J45" s="2">
        <f t="shared" si="15"/>
        <v>33643.801013582968</v>
      </c>
      <c r="K45" s="6">
        <f t="shared" si="16"/>
        <v>0.14385999999999988</v>
      </c>
      <c r="L45" s="7">
        <f t="shared" si="17"/>
        <v>1.1438599999999999</v>
      </c>
      <c r="O45">
        <f t="shared" si="18"/>
        <v>2017</v>
      </c>
      <c r="P45" s="6">
        <f t="shared" si="37"/>
        <v>0.63820747294249291</v>
      </c>
      <c r="Q45" s="7"/>
      <c r="R45" s="6">
        <f t="shared" si="38"/>
        <v>0</v>
      </c>
      <c r="S45" s="6">
        <f t="shared" si="38"/>
        <v>0</v>
      </c>
      <c r="T45" s="7"/>
      <c r="U45" s="6">
        <f t="shared" si="39"/>
        <v>0</v>
      </c>
      <c r="V45" s="6">
        <f t="shared" si="39"/>
        <v>0.36179252705750709</v>
      </c>
      <c r="W45" s="6">
        <f t="shared" si="19"/>
        <v>1</v>
      </c>
      <c r="X45" s="7">
        <f t="shared" si="20"/>
        <v>0.63820747294249291</v>
      </c>
      <c r="Y45" s="7">
        <f t="shared" si="21"/>
        <v>0</v>
      </c>
      <c r="AA45">
        <f t="shared" si="22"/>
        <v>2017</v>
      </c>
      <c r="AB45" s="1" t="b">
        <f t="shared" si="7"/>
        <v>0</v>
      </c>
      <c r="AD45" s="1" t="b">
        <f t="shared" si="31"/>
        <v>0</v>
      </c>
      <c r="AE45" s="1" t="b">
        <f t="shared" si="32"/>
        <v>0</v>
      </c>
      <c r="AG45" s="1" t="b">
        <f t="shared" si="10"/>
        <v>0</v>
      </c>
      <c r="AH45" s="1" t="b">
        <f t="shared" si="11"/>
        <v>0</v>
      </c>
      <c r="AI45" s="1" t="b">
        <f t="shared" si="23"/>
        <v>1</v>
      </c>
      <c r="AK45">
        <f t="shared" ref="AK45" si="40">A45</f>
        <v>2017</v>
      </c>
      <c r="AL45" s="36">
        <f t="shared" si="25"/>
        <v>160505.2060088852</v>
      </c>
      <c r="AM45" s="2"/>
      <c r="AN45" s="2">
        <f t="shared" si="33"/>
        <v>0</v>
      </c>
      <c r="AO45" s="2">
        <f t="shared" si="33"/>
        <v>0</v>
      </c>
      <c r="AP45" s="2"/>
      <c r="AQ45" s="2">
        <f t="shared" si="34"/>
        <v>0</v>
      </c>
      <c r="AR45" s="36">
        <f t="shared" si="26"/>
        <v>107003.47067259015</v>
      </c>
      <c r="AS45" s="2">
        <f t="shared" si="27"/>
        <v>267508.67668147536</v>
      </c>
      <c r="AT45" s="2">
        <f t="shared" si="28"/>
        <v>0</v>
      </c>
      <c r="AU45" s="59"/>
    </row>
    <row r="46" spans="1:47" x14ac:dyDescent="0.25">
      <c r="A46" s="9" t="s">
        <v>41</v>
      </c>
      <c r="B46" s="10">
        <f>AL45</f>
        <v>160505.2060088852</v>
      </c>
      <c r="C46" s="10"/>
      <c r="D46" s="10">
        <f>AN45</f>
        <v>0</v>
      </c>
      <c r="E46" s="10">
        <f>AO45</f>
        <v>0</v>
      </c>
      <c r="F46" s="10"/>
      <c r="G46" s="10">
        <f>AQ45</f>
        <v>0</v>
      </c>
      <c r="H46" s="10">
        <f>AR45</f>
        <v>107003.47067259015</v>
      </c>
      <c r="I46" s="10">
        <f>SUM(B46:H46)</f>
        <v>267508.67668147536</v>
      </c>
      <c r="J46" s="10"/>
      <c r="K46" s="10"/>
    </row>
    <row r="47" spans="1:47" x14ac:dyDescent="0.25">
      <c r="A47" s="11" t="s">
        <v>42</v>
      </c>
      <c r="I47" s="6">
        <f>(I46-I27)/I27</f>
        <v>1.6750867668147535</v>
      </c>
      <c r="K47" s="6"/>
    </row>
    <row r="48" spans="1:47" x14ac:dyDescent="0.25">
      <c r="A48" s="1" t="s">
        <v>43</v>
      </c>
      <c r="I48" s="26">
        <f>STDEV(L28:L45)</f>
        <v>0.10193017685131904</v>
      </c>
      <c r="K48" s="27"/>
    </row>
    <row r="49" spans="1:11" x14ac:dyDescent="0.25">
      <c r="A49" s="1" t="s">
        <v>44</v>
      </c>
      <c r="I49" s="13">
        <f>((1+I47)^(1/16))-1</f>
        <v>6.3429287941681567E-2</v>
      </c>
      <c r="K49" s="27"/>
    </row>
    <row r="50" spans="1:11" x14ac:dyDescent="0.25">
      <c r="A50" s="1" t="s">
        <v>45</v>
      </c>
      <c r="I50" s="28">
        <f>J36</f>
        <v>-27184.700913597408</v>
      </c>
    </row>
    <row r="51" spans="1:11" x14ac:dyDescent="0.25">
      <c r="A51" s="1" t="s">
        <v>46</v>
      </c>
      <c r="I51" s="29">
        <f>K36</f>
        <v>-0.20192000000000004</v>
      </c>
    </row>
    <row r="52" spans="1:11" x14ac:dyDescent="0.25">
      <c r="A52" s="3" t="s">
        <v>47</v>
      </c>
      <c r="I52" s="30">
        <f>I46-AS45</f>
        <v>0</v>
      </c>
    </row>
    <row r="53" spans="1:11" x14ac:dyDescent="0.25">
      <c r="A53" s="3" t="s">
        <v>146</v>
      </c>
      <c r="I53" s="30">
        <f>((SUM(J28:J45))-(I46-I27))</f>
        <v>0</v>
      </c>
    </row>
    <row r="54" spans="1:11" x14ac:dyDescent="0.25">
      <c r="A54" s="3" t="s">
        <v>153</v>
      </c>
      <c r="I54" s="66">
        <f>COUNTA(I28:I45)</f>
        <v>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88DA-288E-4D74-A133-6F20E78ED3E5}">
  <dimension ref="A1:AB57"/>
  <sheetViews>
    <sheetView topLeftCell="A17" workbookViewId="0">
      <selection activeCell="A26" sqref="A26"/>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28" max="28" width="9.28515625" bestFit="1" customWidth="1"/>
  </cols>
  <sheetData>
    <row r="1" spans="1:8" x14ac:dyDescent="0.25">
      <c r="A1" t="s">
        <v>95</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28"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28"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28"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28"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28"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4" spans="1:28" x14ac:dyDescent="0.25">
      <c r="A24" s="18" t="s">
        <v>11</v>
      </c>
      <c r="O24" s="18" t="s">
        <v>126</v>
      </c>
    </row>
    <row r="25" spans="1:28" x14ac:dyDescent="0.25">
      <c r="B25" s="4" t="str">
        <f t="shared" ref="B25:H26" si="0">B2</f>
        <v>LC Stocks</v>
      </c>
      <c r="C25" s="4" t="str">
        <f t="shared" si="0"/>
        <v>Ext Mkt</v>
      </c>
      <c r="D25" s="4" t="str">
        <f t="shared" si="0"/>
        <v>Mcap Stk</v>
      </c>
      <c r="E25" s="4" t="str">
        <f t="shared" si="0"/>
        <v>Small Cap</v>
      </c>
      <c r="F25" s="4" t="str">
        <f t="shared" si="0"/>
        <v>Intl Val</v>
      </c>
      <c r="G25" s="4" t="str">
        <f t="shared" si="0"/>
        <v>Tot Int Stk</v>
      </c>
      <c r="H25" s="4" t="str">
        <f t="shared" si="0"/>
        <v>Bonds</v>
      </c>
      <c r="I25" s="5"/>
      <c r="J25" s="5" t="s">
        <v>39</v>
      </c>
      <c r="K25" s="5" t="s">
        <v>36</v>
      </c>
      <c r="L25" s="5" t="s">
        <v>37</v>
      </c>
      <c r="P25" s="4" t="str">
        <f>B25</f>
        <v>LC Stocks</v>
      </c>
      <c r="Q25" s="4" t="str">
        <f t="shared" ref="Q25:V26" si="1">C25</f>
        <v>Ext Mkt</v>
      </c>
      <c r="R25" s="4" t="str">
        <f t="shared" si="1"/>
        <v>Mcap Stk</v>
      </c>
      <c r="S25" s="4" t="str">
        <f t="shared" si="1"/>
        <v>Small Cap</v>
      </c>
      <c r="T25" s="4" t="str">
        <f t="shared" si="1"/>
        <v>Intl Val</v>
      </c>
      <c r="U25" s="4" t="str">
        <f t="shared" si="1"/>
        <v>Tot Int Stk</v>
      </c>
      <c r="V25" s="4" t="str">
        <f t="shared" si="1"/>
        <v>Bonds</v>
      </c>
      <c r="W25" s="5"/>
      <c r="X25" s="5" t="s">
        <v>6</v>
      </c>
      <c r="Y25" s="3" t="s">
        <v>7</v>
      </c>
    </row>
    <row r="26" spans="1:28" x14ac:dyDescent="0.25">
      <c r="A26" t="s">
        <v>116</v>
      </c>
      <c r="B26" s="4" t="str">
        <f t="shared" si="0"/>
        <v>VFINX</v>
      </c>
      <c r="C26" s="4" t="str">
        <f t="shared" si="0"/>
        <v>VEXMX</v>
      </c>
      <c r="D26" s="4" t="str">
        <f t="shared" si="0"/>
        <v>VIMSX</v>
      </c>
      <c r="E26" s="4" t="str">
        <f t="shared" si="0"/>
        <v>NAESX</v>
      </c>
      <c r="F26" s="4" t="str">
        <f t="shared" si="0"/>
        <v>VTRIX</v>
      </c>
      <c r="G26" s="4" t="str">
        <f t="shared" si="0"/>
        <v>VGTSX</v>
      </c>
      <c r="H26" s="4" t="str">
        <f t="shared" si="0"/>
        <v>VBMFX</v>
      </c>
      <c r="I26" s="5" t="s">
        <v>114</v>
      </c>
      <c r="J26" s="5" t="s">
        <v>40</v>
      </c>
      <c r="K26" s="5" t="s">
        <v>38</v>
      </c>
      <c r="L26" s="5" t="s">
        <v>38</v>
      </c>
      <c r="O26" t="s">
        <v>116</v>
      </c>
      <c r="P26" s="4" t="str">
        <f>B26</f>
        <v>VFINX</v>
      </c>
      <c r="Q26" s="4" t="str">
        <f t="shared" si="1"/>
        <v>VEXMX</v>
      </c>
      <c r="R26" s="4" t="str">
        <f t="shared" si="1"/>
        <v>VIMSX</v>
      </c>
      <c r="S26" s="4" t="str">
        <f t="shared" si="1"/>
        <v>NAESX</v>
      </c>
      <c r="T26" s="4" t="str">
        <f t="shared" si="1"/>
        <v>VTRIX</v>
      </c>
      <c r="U26" s="4" t="str">
        <f t="shared" si="1"/>
        <v>VGTSX</v>
      </c>
      <c r="V26" s="4" t="str">
        <f t="shared" si="1"/>
        <v>VBMFX</v>
      </c>
      <c r="W26" s="5" t="s">
        <v>114</v>
      </c>
      <c r="X26" s="5" t="s">
        <v>7</v>
      </c>
      <c r="Y26" s="3" t="s">
        <v>50</v>
      </c>
      <c r="AA26" t="s">
        <v>154</v>
      </c>
      <c r="AB26" s="2">
        <f>I27</f>
        <v>100000</v>
      </c>
    </row>
    <row r="27" spans="1:28" x14ac:dyDescent="0.25">
      <c r="A27" t="s">
        <v>115</v>
      </c>
      <c r="B27" s="28">
        <v>100000</v>
      </c>
      <c r="C27" s="54"/>
      <c r="D27" s="28">
        <v>0</v>
      </c>
      <c r="E27" s="28">
        <v>0</v>
      </c>
      <c r="F27" s="54"/>
      <c r="G27" s="28">
        <v>0</v>
      </c>
      <c r="H27" s="28">
        <v>0</v>
      </c>
      <c r="I27" s="2">
        <f>SUM(B27:H27)</f>
        <v>100000</v>
      </c>
      <c r="O27" s="19" t="s">
        <v>49</v>
      </c>
      <c r="P27" s="20">
        <f>B27/$I27</f>
        <v>1</v>
      </c>
      <c r="Q27" s="20">
        <f>C27/$I27</f>
        <v>0</v>
      </c>
      <c r="R27" s="20">
        <f t="shared" ref="R27:V27" si="2">D27/$I27</f>
        <v>0</v>
      </c>
      <c r="S27" s="20">
        <f t="shared" si="2"/>
        <v>0</v>
      </c>
      <c r="T27" s="20">
        <f t="shared" si="2"/>
        <v>0</v>
      </c>
      <c r="U27" s="20">
        <f t="shared" si="2"/>
        <v>0</v>
      </c>
      <c r="V27" s="20">
        <f t="shared" si="2"/>
        <v>0</v>
      </c>
      <c r="W27" s="20">
        <f>I27/$I27</f>
        <v>1</v>
      </c>
      <c r="X27" s="22"/>
      <c r="AA27">
        <f>A28</f>
        <v>2000</v>
      </c>
      <c r="AB27" s="2">
        <f>I28</f>
        <v>90940</v>
      </c>
    </row>
    <row r="28" spans="1:28" x14ac:dyDescent="0.25">
      <c r="A28">
        <f t="shared" ref="A28:A43" si="3">A4</f>
        <v>2000</v>
      </c>
      <c r="B28" s="2">
        <f t="shared" ref="B28:B43" si="4">B27*(1+(B4/100))</f>
        <v>90940</v>
      </c>
      <c r="C28" s="2"/>
      <c r="D28" s="2"/>
      <c r="E28" s="2"/>
      <c r="F28" s="2"/>
      <c r="G28" s="2"/>
      <c r="H28" s="2"/>
      <c r="I28" s="2">
        <f>SUM(B28:H28)</f>
        <v>90940</v>
      </c>
      <c r="J28" s="2">
        <f>I28-I27</f>
        <v>-9060</v>
      </c>
      <c r="K28" s="6">
        <f>(J28/I27)</f>
        <v>-9.06E-2</v>
      </c>
      <c r="L28" s="7">
        <f>K28+1</f>
        <v>0.90939999999999999</v>
      </c>
      <c r="O28">
        <f>A28</f>
        <v>2000</v>
      </c>
      <c r="P28" s="7">
        <f>B28/$I28</f>
        <v>1</v>
      </c>
      <c r="Q28" s="6"/>
      <c r="R28" s="7"/>
      <c r="S28" s="7"/>
      <c r="T28" s="6"/>
      <c r="U28" s="7"/>
      <c r="V28" s="7"/>
      <c r="W28" s="6">
        <f>SUM(P28:V28)</f>
        <v>1</v>
      </c>
      <c r="X28" s="7">
        <f>SUM(P28:U28)</f>
        <v>1</v>
      </c>
      <c r="Y28" s="7">
        <f>W28-(X28+V28)</f>
        <v>0</v>
      </c>
      <c r="AA28">
        <f t="shared" ref="AA28:AA43" si="5">A29</f>
        <v>2001</v>
      </c>
      <c r="AB28" s="2">
        <f t="shared" ref="AB28:AB43" si="6">I29</f>
        <v>80009.012000000002</v>
      </c>
    </row>
    <row r="29" spans="1:28" x14ac:dyDescent="0.25">
      <c r="A29">
        <f t="shared" si="3"/>
        <v>2001</v>
      </c>
      <c r="B29" s="2">
        <f t="shared" si="4"/>
        <v>80009.012000000002</v>
      </c>
      <c r="C29" s="2"/>
      <c r="D29" s="2"/>
      <c r="E29" s="2"/>
      <c r="F29" s="2"/>
      <c r="G29" s="2"/>
      <c r="H29" s="2"/>
      <c r="I29" s="2">
        <f t="shared" ref="I29:I42" si="7">SUM(B29:H29)</f>
        <v>80009.012000000002</v>
      </c>
      <c r="J29" s="2">
        <f t="shared" ref="J29:J43" si="8">I29-I28</f>
        <v>-10930.987999999998</v>
      </c>
      <c r="K29" s="6">
        <f t="shared" ref="K29:K43" si="9">(J29/I28)</f>
        <v>-0.12019999999999997</v>
      </c>
      <c r="L29" s="7">
        <f t="shared" ref="L29:L43" si="10">K29+1</f>
        <v>0.87980000000000003</v>
      </c>
      <c r="O29">
        <f t="shared" ref="O29:O43" si="11">A29</f>
        <v>2001</v>
      </c>
      <c r="P29" s="7">
        <f t="shared" ref="P29:S43" si="12">B29/$I29</f>
        <v>1</v>
      </c>
      <c r="Q29" s="6"/>
      <c r="R29" s="7"/>
      <c r="S29" s="7"/>
      <c r="T29" s="6"/>
      <c r="U29" s="7"/>
      <c r="V29" s="7"/>
      <c r="W29" s="6">
        <f t="shared" ref="W29:W42" si="13">SUM(P29:V29)</f>
        <v>1</v>
      </c>
      <c r="X29" s="7">
        <f t="shared" ref="X29:X42" si="14">SUM(P29:U29)</f>
        <v>1</v>
      </c>
      <c r="Y29" s="7">
        <f t="shared" ref="Y29:Y43" si="15">W29-(X29+V29)</f>
        <v>0</v>
      </c>
      <c r="AA29">
        <f t="shared" si="5"/>
        <v>2002</v>
      </c>
      <c r="AB29" s="2">
        <f t="shared" si="6"/>
        <v>62287.015842000001</v>
      </c>
    </row>
    <row r="30" spans="1:28" x14ac:dyDescent="0.25">
      <c r="A30">
        <f t="shared" si="3"/>
        <v>2002</v>
      </c>
      <c r="B30" s="2">
        <f t="shared" si="4"/>
        <v>62287.015842000001</v>
      </c>
      <c r="C30" s="2"/>
      <c r="D30" s="2"/>
      <c r="E30" s="2"/>
      <c r="F30" s="2"/>
      <c r="G30" s="2"/>
      <c r="H30" s="2"/>
      <c r="I30" s="2">
        <f t="shared" si="7"/>
        <v>62287.015842000001</v>
      </c>
      <c r="J30" s="2">
        <f t="shared" si="8"/>
        <v>-17721.996158000002</v>
      </c>
      <c r="K30" s="6">
        <f t="shared" si="9"/>
        <v>-0.2215</v>
      </c>
      <c r="L30" s="7">
        <f t="shared" si="10"/>
        <v>0.77849999999999997</v>
      </c>
      <c r="O30">
        <f t="shared" si="11"/>
        <v>2002</v>
      </c>
      <c r="P30" s="7">
        <f t="shared" si="12"/>
        <v>1</v>
      </c>
      <c r="Q30" s="6"/>
      <c r="R30" s="7"/>
      <c r="S30" s="7"/>
      <c r="T30" s="6"/>
      <c r="U30" s="7"/>
      <c r="V30" s="7"/>
      <c r="W30" s="6">
        <f t="shared" si="13"/>
        <v>1</v>
      </c>
      <c r="X30" s="7">
        <f t="shared" si="14"/>
        <v>1</v>
      </c>
      <c r="Y30" s="7">
        <f t="shared" si="15"/>
        <v>0</v>
      </c>
      <c r="AA30">
        <f t="shared" si="5"/>
        <v>2003</v>
      </c>
      <c r="AB30" s="2">
        <f t="shared" si="6"/>
        <v>80038.815356969993</v>
      </c>
    </row>
    <row r="31" spans="1:28" x14ac:dyDescent="0.25">
      <c r="A31">
        <f t="shared" si="3"/>
        <v>2003</v>
      </c>
      <c r="B31" s="2">
        <f t="shared" si="4"/>
        <v>80038.815356969993</v>
      </c>
      <c r="C31" s="2"/>
      <c r="D31" s="2"/>
      <c r="E31" s="2"/>
      <c r="F31" s="2"/>
      <c r="G31" s="2"/>
      <c r="H31" s="2"/>
      <c r="I31" s="2">
        <f t="shared" si="7"/>
        <v>80038.815356969993</v>
      </c>
      <c r="J31" s="2">
        <f t="shared" si="8"/>
        <v>17751.799514969993</v>
      </c>
      <c r="K31" s="6">
        <f t="shared" si="9"/>
        <v>0.28499999999999986</v>
      </c>
      <c r="L31" s="7">
        <f t="shared" si="10"/>
        <v>1.2849999999999999</v>
      </c>
      <c r="O31">
        <f t="shared" si="11"/>
        <v>2003</v>
      </c>
      <c r="P31" s="7">
        <f t="shared" si="12"/>
        <v>1</v>
      </c>
      <c r="Q31" s="6"/>
      <c r="R31" s="7"/>
      <c r="S31" s="7"/>
      <c r="T31" s="6"/>
      <c r="U31" s="7"/>
      <c r="V31" s="7"/>
      <c r="W31" s="6">
        <f t="shared" si="13"/>
        <v>1</v>
      </c>
      <c r="X31" s="7">
        <f t="shared" si="14"/>
        <v>1</v>
      </c>
      <c r="Y31" s="7">
        <f t="shared" si="15"/>
        <v>0</v>
      </c>
      <c r="AA31">
        <f t="shared" si="5"/>
        <v>2004</v>
      </c>
      <c r="AB31" s="2">
        <f t="shared" si="6"/>
        <v>88634.984126308569</v>
      </c>
    </row>
    <row r="32" spans="1:28" x14ac:dyDescent="0.25">
      <c r="A32">
        <f t="shared" si="3"/>
        <v>2004</v>
      </c>
      <c r="B32" s="2">
        <f t="shared" si="4"/>
        <v>88634.984126308569</v>
      </c>
      <c r="C32" s="2"/>
      <c r="D32" s="2"/>
      <c r="E32" s="2"/>
      <c r="F32" s="2"/>
      <c r="G32" s="2"/>
      <c r="H32" s="2"/>
      <c r="I32" s="2">
        <f t="shared" si="7"/>
        <v>88634.984126308569</v>
      </c>
      <c r="J32" s="2">
        <f t="shared" si="8"/>
        <v>8596.1687693385757</v>
      </c>
      <c r="K32" s="6">
        <f t="shared" si="9"/>
        <v>0.10739999999999998</v>
      </c>
      <c r="L32" s="7">
        <f t="shared" si="10"/>
        <v>1.1073999999999999</v>
      </c>
      <c r="O32">
        <f t="shared" si="11"/>
        <v>2004</v>
      </c>
      <c r="P32" s="7">
        <f t="shared" si="12"/>
        <v>1</v>
      </c>
      <c r="Q32" s="6"/>
      <c r="R32" s="7"/>
      <c r="S32" s="7"/>
      <c r="T32" s="6"/>
      <c r="U32" s="7"/>
      <c r="V32" s="7"/>
      <c r="W32" s="6">
        <f t="shared" si="13"/>
        <v>1</v>
      </c>
      <c r="X32" s="7">
        <f t="shared" si="14"/>
        <v>1</v>
      </c>
      <c r="Y32" s="7">
        <f t="shared" si="15"/>
        <v>0</v>
      </c>
      <c r="AA32">
        <f t="shared" si="5"/>
        <v>2005</v>
      </c>
      <c r="AB32" s="2">
        <f t="shared" si="6"/>
        <v>92862.872869133498</v>
      </c>
    </row>
    <row r="33" spans="1:28" x14ac:dyDescent="0.25">
      <c r="A33">
        <f t="shared" si="3"/>
        <v>2005</v>
      </c>
      <c r="B33" s="2">
        <f t="shared" si="4"/>
        <v>92862.872869133498</v>
      </c>
      <c r="C33" s="2"/>
      <c r="D33" s="2"/>
      <c r="E33" s="2"/>
      <c r="F33" s="2"/>
      <c r="G33" s="2"/>
      <c r="H33" s="2"/>
      <c r="I33" s="2">
        <f t="shared" si="7"/>
        <v>92862.872869133498</v>
      </c>
      <c r="J33" s="2">
        <f t="shared" si="8"/>
        <v>4227.8887428249291</v>
      </c>
      <c r="K33" s="6">
        <f t="shared" si="9"/>
        <v>4.7700000000000117E-2</v>
      </c>
      <c r="L33" s="7">
        <f t="shared" si="10"/>
        <v>1.0477000000000001</v>
      </c>
      <c r="O33">
        <f t="shared" si="11"/>
        <v>2005</v>
      </c>
      <c r="P33" s="7">
        <f t="shared" si="12"/>
        <v>1</v>
      </c>
      <c r="Q33" s="6"/>
      <c r="R33" s="7"/>
      <c r="S33" s="7"/>
      <c r="T33" s="6"/>
      <c r="U33" s="7"/>
      <c r="V33" s="7"/>
      <c r="W33" s="6">
        <f t="shared" si="13"/>
        <v>1</v>
      </c>
      <c r="X33" s="7">
        <f t="shared" si="14"/>
        <v>1</v>
      </c>
      <c r="Y33" s="7">
        <f t="shared" si="15"/>
        <v>0</v>
      </c>
      <c r="AA33">
        <f t="shared" si="5"/>
        <v>2006</v>
      </c>
      <c r="AB33" s="2">
        <f t="shared" si="6"/>
        <v>107386.62618586599</v>
      </c>
    </row>
    <row r="34" spans="1:28" x14ac:dyDescent="0.25">
      <c r="A34">
        <f t="shared" si="3"/>
        <v>2006</v>
      </c>
      <c r="B34" s="2">
        <f t="shared" si="4"/>
        <v>107386.62618586599</v>
      </c>
      <c r="C34" s="2"/>
      <c r="D34" s="2"/>
      <c r="E34" s="2"/>
      <c r="F34" s="2"/>
      <c r="G34" s="2"/>
      <c r="H34" s="2"/>
      <c r="I34" s="2">
        <f t="shared" si="7"/>
        <v>107386.62618586599</v>
      </c>
      <c r="J34" s="2">
        <f t="shared" si="8"/>
        <v>14523.753316732487</v>
      </c>
      <c r="K34" s="6">
        <f t="shared" si="9"/>
        <v>0.15640000000000009</v>
      </c>
      <c r="L34" s="7">
        <f t="shared" si="10"/>
        <v>1.1564000000000001</v>
      </c>
      <c r="O34">
        <f t="shared" si="11"/>
        <v>2006</v>
      </c>
      <c r="P34" s="7">
        <f t="shared" si="12"/>
        <v>1</v>
      </c>
      <c r="Q34" s="6"/>
      <c r="R34" s="7"/>
      <c r="S34" s="7"/>
      <c r="T34" s="6"/>
      <c r="U34" s="7"/>
      <c r="V34" s="7"/>
      <c r="W34" s="6">
        <f t="shared" si="13"/>
        <v>1</v>
      </c>
      <c r="X34" s="7">
        <f t="shared" si="14"/>
        <v>1</v>
      </c>
      <c r="Y34" s="7">
        <f t="shared" si="15"/>
        <v>0</v>
      </c>
      <c r="AA34">
        <f t="shared" si="5"/>
        <v>2007</v>
      </c>
      <c r="AB34" s="2">
        <f t="shared" si="6"/>
        <v>113174.76533728417</v>
      </c>
    </row>
    <row r="35" spans="1:28" x14ac:dyDescent="0.25">
      <c r="A35">
        <f t="shared" si="3"/>
        <v>2007</v>
      </c>
      <c r="B35" s="2">
        <f t="shared" si="4"/>
        <v>113174.76533728417</v>
      </c>
      <c r="C35" s="2"/>
      <c r="D35" s="2"/>
      <c r="E35" s="2"/>
      <c r="F35" s="2"/>
      <c r="G35" s="2"/>
      <c r="H35" s="2"/>
      <c r="I35" s="2">
        <f t="shared" si="7"/>
        <v>113174.76533728417</v>
      </c>
      <c r="J35" s="2">
        <f t="shared" si="8"/>
        <v>5788.1391514181887</v>
      </c>
      <c r="K35" s="6">
        <f t="shared" si="9"/>
        <v>5.3900000000000114E-2</v>
      </c>
      <c r="L35" s="7">
        <f t="shared" si="10"/>
        <v>1.0539000000000001</v>
      </c>
      <c r="O35">
        <f t="shared" si="11"/>
        <v>2007</v>
      </c>
      <c r="P35" s="7">
        <f t="shared" si="12"/>
        <v>1</v>
      </c>
      <c r="Q35" s="6"/>
      <c r="R35" s="7"/>
      <c r="S35" s="7"/>
      <c r="T35" s="6"/>
      <c r="U35" s="7"/>
      <c r="V35" s="7"/>
      <c r="W35" s="6">
        <f t="shared" si="13"/>
        <v>1</v>
      </c>
      <c r="X35" s="7">
        <f t="shared" si="14"/>
        <v>1</v>
      </c>
      <c r="Y35" s="7">
        <f t="shared" si="15"/>
        <v>0</v>
      </c>
      <c r="AA35">
        <f t="shared" si="5"/>
        <v>2008</v>
      </c>
      <c r="AB35" s="2">
        <f t="shared" si="6"/>
        <v>71277.467209421564</v>
      </c>
    </row>
    <row r="36" spans="1:28" x14ac:dyDescent="0.25">
      <c r="A36">
        <f t="shared" si="3"/>
        <v>2008</v>
      </c>
      <c r="B36" s="2">
        <f t="shared" si="4"/>
        <v>71277.467209421564</v>
      </c>
      <c r="C36" s="2"/>
      <c r="D36" s="2"/>
      <c r="E36" s="2"/>
      <c r="F36" s="2"/>
      <c r="G36" s="2"/>
      <c r="H36" s="2"/>
      <c r="I36" s="2">
        <f t="shared" si="7"/>
        <v>71277.467209421564</v>
      </c>
      <c r="J36" s="2">
        <f t="shared" si="8"/>
        <v>-41897.29812786261</v>
      </c>
      <c r="K36" s="6">
        <f t="shared" si="9"/>
        <v>-0.37020000000000008</v>
      </c>
      <c r="L36" s="7">
        <f t="shared" si="10"/>
        <v>0.62979999999999992</v>
      </c>
      <c r="O36">
        <f t="shared" si="11"/>
        <v>2008</v>
      </c>
      <c r="P36" s="7">
        <f t="shared" si="12"/>
        <v>1</v>
      </c>
      <c r="Q36" s="6"/>
      <c r="R36" s="7"/>
      <c r="S36" s="7"/>
      <c r="T36" s="6"/>
      <c r="U36" s="7"/>
      <c r="V36" s="7"/>
      <c r="W36" s="6">
        <f t="shared" si="13"/>
        <v>1</v>
      </c>
      <c r="X36" s="7">
        <f t="shared" si="14"/>
        <v>1</v>
      </c>
      <c r="Y36" s="7">
        <f t="shared" si="15"/>
        <v>0</v>
      </c>
      <c r="AA36">
        <f t="shared" si="5"/>
        <v>2009</v>
      </c>
      <c r="AB36" s="2">
        <f t="shared" si="6"/>
        <v>90158.868273197324</v>
      </c>
    </row>
    <row r="37" spans="1:28" x14ac:dyDescent="0.25">
      <c r="A37">
        <f t="shared" si="3"/>
        <v>2009</v>
      </c>
      <c r="B37" s="2">
        <f t="shared" si="4"/>
        <v>90158.868273197324</v>
      </c>
      <c r="C37" s="2"/>
      <c r="D37" s="2"/>
      <c r="E37" s="2"/>
      <c r="F37" s="2"/>
      <c r="G37" s="2"/>
      <c r="H37" s="2"/>
      <c r="I37" s="2">
        <f t="shared" si="7"/>
        <v>90158.868273197324</v>
      </c>
      <c r="J37" s="2">
        <f t="shared" si="8"/>
        <v>18881.40106377576</v>
      </c>
      <c r="K37" s="6">
        <f t="shared" si="9"/>
        <v>0.2648999999999998</v>
      </c>
      <c r="L37" s="7">
        <f t="shared" si="10"/>
        <v>1.2648999999999999</v>
      </c>
      <c r="O37">
        <f t="shared" si="11"/>
        <v>2009</v>
      </c>
      <c r="P37" s="7">
        <f t="shared" si="12"/>
        <v>1</v>
      </c>
      <c r="Q37" s="6"/>
      <c r="R37" s="7"/>
      <c r="S37" s="7"/>
      <c r="T37" s="6"/>
      <c r="U37" s="7"/>
      <c r="V37" s="7"/>
      <c r="W37" s="6">
        <f t="shared" si="13"/>
        <v>1</v>
      </c>
      <c r="X37" s="7">
        <f t="shared" si="14"/>
        <v>1</v>
      </c>
      <c r="Y37" s="7">
        <f t="shared" si="15"/>
        <v>0</v>
      </c>
      <c r="AA37">
        <f t="shared" si="5"/>
        <v>2010</v>
      </c>
      <c r="AB37" s="2">
        <f t="shared" si="6"/>
        <v>103601.55553273104</v>
      </c>
    </row>
    <row r="38" spans="1:28" x14ac:dyDescent="0.25">
      <c r="A38">
        <f t="shared" si="3"/>
        <v>2010</v>
      </c>
      <c r="B38" s="2">
        <f t="shared" si="4"/>
        <v>103601.55553273104</v>
      </c>
      <c r="C38" s="2"/>
      <c r="D38" s="2"/>
      <c r="E38" s="2"/>
      <c r="F38" s="2"/>
      <c r="G38" s="2"/>
      <c r="H38" s="2"/>
      <c r="I38" s="2">
        <f t="shared" si="7"/>
        <v>103601.55553273104</v>
      </c>
      <c r="J38" s="2">
        <f t="shared" si="8"/>
        <v>13442.687259533719</v>
      </c>
      <c r="K38" s="6">
        <f t="shared" si="9"/>
        <v>0.14909999999999998</v>
      </c>
      <c r="L38" s="7">
        <f t="shared" si="10"/>
        <v>1.1491</v>
      </c>
      <c r="O38">
        <f t="shared" si="11"/>
        <v>2010</v>
      </c>
      <c r="P38" s="7">
        <f t="shared" si="12"/>
        <v>1</v>
      </c>
      <c r="Q38" s="6"/>
      <c r="R38" s="7"/>
      <c r="S38" s="7"/>
      <c r="T38" s="7"/>
      <c r="U38" s="7"/>
      <c r="V38" s="7"/>
      <c r="W38" s="6">
        <f t="shared" si="13"/>
        <v>1</v>
      </c>
      <c r="X38" s="7">
        <f t="shared" si="14"/>
        <v>1</v>
      </c>
      <c r="Y38" s="7">
        <f t="shared" si="15"/>
        <v>0</v>
      </c>
      <c r="AA38">
        <f t="shared" si="5"/>
        <v>2011</v>
      </c>
      <c r="AB38" s="2">
        <f t="shared" si="6"/>
        <v>105642.50617672584</v>
      </c>
    </row>
    <row r="39" spans="1:28" x14ac:dyDescent="0.25">
      <c r="A39">
        <f t="shared" si="3"/>
        <v>2011</v>
      </c>
      <c r="B39" s="2">
        <f t="shared" si="4"/>
        <v>105642.50617672584</v>
      </c>
      <c r="C39" s="2"/>
      <c r="D39" s="2"/>
      <c r="E39" s="2"/>
      <c r="F39" s="2"/>
      <c r="G39" s="2"/>
      <c r="H39" s="2"/>
      <c r="I39" s="2">
        <f t="shared" si="7"/>
        <v>105642.50617672584</v>
      </c>
      <c r="J39" s="2">
        <f t="shared" si="8"/>
        <v>2040.9506439948018</v>
      </c>
      <c r="K39" s="6">
        <f t="shared" si="9"/>
        <v>1.9700000000000002E-2</v>
      </c>
      <c r="L39" s="7">
        <f t="shared" si="10"/>
        <v>1.0197000000000001</v>
      </c>
      <c r="O39">
        <f t="shared" si="11"/>
        <v>2011</v>
      </c>
      <c r="P39" s="7">
        <f t="shared" si="12"/>
        <v>1</v>
      </c>
      <c r="Q39" s="7"/>
      <c r="R39" s="7"/>
      <c r="S39" s="7"/>
      <c r="T39" s="7"/>
      <c r="U39" s="7"/>
      <c r="V39" s="7"/>
      <c r="W39" s="6">
        <f t="shared" si="13"/>
        <v>1</v>
      </c>
      <c r="X39" s="7">
        <f t="shared" si="14"/>
        <v>1</v>
      </c>
      <c r="Y39" s="7">
        <f t="shared" si="15"/>
        <v>0</v>
      </c>
      <c r="AA39">
        <f t="shared" si="5"/>
        <v>2012</v>
      </c>
      <c r="AB39" s="2">
        <f t="shared" si="6"/>
        <v>122355.15065388386</v>
      </c>
    </row>
    <row r="40" spans="1:28" x14ac:dyDescent="0.25">
      <c r="A40">
        <f t="shared" si="3"/>
        <v>2012</v>
      </c>
      <c r="B40" s="2">
        <f t="shared" si="4"/>
        <v>122355.15065388386</v>
      </c>
      <c r="C40" s="2"/>
      <c r="D40" s="2"/>
      <c r="E40" s="2"/>
      <c r="F40" s="2"/>
      <c r="G40" s="2"/>
      <c r="H40" s="2"/>
      <c r="I40" s="2">
        <f t="shared" si="7"/>
        <v>122355.15065388386</v>
      </c>
      <c r="J40" s="2">
        <f t="shared" si="8"/>
        <v>16712.644477158014</v>
      </c>
      <c r="K40" s="6">
        <f t="shared" si="9"/>
        <v>0.15819999999999987</v>
      </c>
      <c r="L40" s="7">
        <f t="shared" si="10"/>
        <v>1.1581999999999999</v>
      </c>
      <c r="O40">
        <f t="shared" si="11"/>
        <v>2012</v>
      </c>
      <c r="P40" s="7">
        <f t="shared" si="12"/>
        <v>1</v>
      </c>
      <c r="Q40" s="7"/>
      <c r="R40" s="7"/>
      <c r="S40" s="7"/>
      <c r="T40" s="7"/>
      <c r="U40" s="7"/>
      <c r="V40" s="7"/>
      <c r="W40" s="6">
        <f t="shared" si="13"/>
        <v>1</v>
      </c>
      <c r="X40" s="7">
        <f t="shared" si="14"/>
        <v>1</v>
      </c>
      <c r="Y40" s="7">
        <f t="shared" si="15"/>
        <v>0</v>
      </c>
      <c r="AA40">
        <f t="shared" si="5"/>
        <v>2013</v>
      </c>
      <c r="AB40" s="2">
        <f t="shared" si="6"/>
        <v>161729.0381343037</v>
      </c>
    </row>
    <row r="41" spans="1:28" x14ac:dyDescent="0.25">
      <c r="A41">
        <f t="shared" si="3"/>
        <v>2013</v>
      </c>
      <c r="B41" s="2">
        <f t="shared" si="4"/>
        <v>161729.0381343037</v>
      </c>
      <c r="C41" s="2"/>
      <c r="D41" s="2"/>
      <c r="E41" s="2"/>
      <c r="F41" s="2"/>
      <c r="G41" s="2"/>
      <c r="H41" s="2"/>
      <c r="I41" s="2">
        <f t="shared" si="7"/>
        <v>161729.0381343037</v>
      </c>
      <c r="J41" s="2">
        <f t="shared" si="8"/>
        <v>39373.887480419842</v>
      </c>
      <c r="K41" s="6">
        <f t="shared" si="9"/>
        <v>0.32180000000000014</v>
      </c>
      <c r="L41" s="7">
        <f t="shared" si="10"/>
        <v>1.3218000000000001</v>
      </c>
      <c r="O41">
        <f t="shared" si="11"/>
        <v>2013</v>
      </c>
      <c r="P41" s="7">
        <f t="shared" si="12"/>
        <v>1</v>
      </c>
      <c r="Q41" s="7"/>
      <c r="R41" s="7"/>
      <c r="S41" s="7"/>
      <c r="T41" s="7"/>
      <c r="U41" s="7"/>
      <c r="V41" s="7"/>
      <c r="W41" s="6">
        <f t="shared" si="13"/>
        <v>1</v>
      </c>
      <c r="X41" s="7">
        <f t="shared" si="14"/>
        <v>1</v>
      </c>
      <c r="Y41" s="7">
        <f t="shared" si="15"/>
        <v>0</v>
      </c>
      <c r="AA41">
        <f t="shared" si="5"/>
        <v>2014</v>
      </c>
      <c r="AB41" s="2">
        <f t="shared" si="6"/>
        <v>183578.63118624812</v>
      </c>
    </row>
    <row r="42" spans="1:28" x14ac:dyDescent="0.25">
      <c r="A42">
        <f t="shared" si="3"/>
        <v>2014</v>
      </c>
      <c r="B42" s="2">
        <f t="shared" si="4"/>
        <v>183578.63118624812</v>
      </c>
      <c r="C42" s="2"/>
      <c r="D42" s="2"/>
      <c r="E42" s="2"/>
      <c r="F42" s="2"/>
      <c r="G42" s="2"/>
      <c r="H42" s="2"/>
      <c r="I42" s="2">
        <f t="shared" si="7"/>
        <v>183578.63118624812</v>
      </c>
      <c r="J42" s="2">
        <f t="shared" si="8"/>
        <v>21849.593051944423</v>
      </c>
      <c r="K42" s="6">
        <f t="shared" si="9"/>
        <v>0.13509999999999994</v>
      </c>
      <c r="L42" s="7">
        <f t="shared" si="10"/>
        <v>1.1351</v>
      </c>
      <c r="O42">
        <f t="shared" si="11"/>
        <v>2014</v>
      </c>
      <c r="P42" s="7">
        <f t="shared" si="12"/>
        <v>1</v>
      </c>
      <c r="Q42" s="7"/>
      <c r="R42" s="7"/>
      <c r="S42" s="7"/>
      <c r="T42" s="7"/>
      <c r="U42" s="7"/>
      <c r="V42" s="7"/>
      <c r="W42" s="6">
        <f t="shared" si="13"/>
        <v>1</v>
      </c>
      <c r="X42" s="7">
        <f t="shared" si="14"/>
        <v>1</v>
      </c>
      <c r="Y42" s="7">
        <f t="shared" si="15"/>
        <v>0</v>
      </c>
      <c r="AA42">
        <f t="shared" si="5"/>
        <v>2015</v>
      </c>
      <c r="AB42" s="2">
        <f t="shared" si="6"/>
        <v>185873.36407607622</v>
      </c>
    </row>
    <row r="43" spans="1:28" x14ac:dyDescent="0.25">
      <c r="A43">
        <f t="shared" si="3"/>
        <v>2015</v>
      </c>
      <c r="B43" s="2">
        <f t="shared" si="4"/>
        <v>185873.36407607622</v>
      </c>
      <c r="C43" s="2"/>
      <c r="D43" s="2"/>
      <c r="E43" s="2"/>
      <c r="F43" s="2"/>
      <c r="G43" s="2"/>
      <c r="H43" s="2"/>
      <c r="I43" s="2">
        <f t="shared" ref="I43" si="16">SUM(B43:H43)</f>
        <v>185873.36407607622</v>
      </c>
      <c r="J43" s="2">
        <f t="shared" si="8"/>
        <v>2294.7328898280975</v>
      </c>
      <c r="K43" s="6">
        <f t="shared" si="9"/>
        <v>1.2499999999999978E-2</v>
      </c>
      <c r="L43" s="7">
        <f t="shared" si="10"/>
        <v>1.0125</v>
      </c>
      <c r="O43">
        <f t="shared" si="11"/>
        <v>2015</v>
      </c>
      <c r="P43" s="7">
        <f t="shared" si="12"/>
        <v>1</v>
      </c>
      <c r="Q43" s="7"/>
      <c r="R43" s="7"/>
      <c r="S43" s="7"/>
      <c r="T43" s="7"/>
      <c r="U43" s="7"/>
      <c r="V43" s="7"/>
      <c r="W43" s="6">
        <f t="shared" ref="W43" si="17">SUM(P43:V43)</f>
        <v>1</v>
      </c>
      <c r="X43" s="7">
        <f t="shared" ref="X43" si="18">SUM(P43:U43)</f>
        <v>1</v>
      </c>
      <c r="Y43" s="7">
        <f t="shared" si="15"/>
        <v>0</v>
      </c>
      <c r="AA43">
        <f t="shared" si="5"/>
        <v>2016</v>
      </c>
      <c r="AB43" s="2">
        <f t="shared" si="6"/>
        <v>207843.59570986844</v>
      </c>
    </row>
    <row r="44" spans="1:28" x14ac:dyDescent="0.25">
      <c r="A44">
        <f t="shared" ref="A44:A45" si="19">A20</f>
        <v>2016</v>
      </c>
      <c r="B44" s="2">
        <f t="shared" ref="B44:B45" si="20">B43*(1+(B20/100))</f>
        <v>207843.59570986844</v>
      </c>
      <c r="C44" s="2"/>
      <c r="D44" s="2"/>
      <c r="E44" s="2"/>
      <c r="F44" s="2"/>
      <c r="G44" s="2"/>
      <c r="H44" s="2"/>
      <c r="I44" s="2">
        <f t="shared" ref="I44:I45" si="21">SUM(B44:H44)</f>
        <v>207843.59570986844</v>
      </c>
      <c r="J44" s="2">
        <f t="shared" ref="J44:J45" si="22">I44-I43</f>
        <v>21970.231633792224</v>
      </c>
      <c r="K44" s="6">
        <f t="shared" ref="K44:K45" si="23">(J44/I43)</f>
        <v>0.11820000000000008</v>
      </c>
      <c r="L44" s="7">
        <f t="shared" ref="L44:L45" si="24">K44+1</f>
        <v>1.1182000000000001</v>
      </c>
      <c r="O44">
        <f t="shared" ref="O44:O45" si="25">A44</f>
        <v>2016</v>
      </c>
      <c r="P44" s="7">
        <f t="shared" ref="P44:P45" si="26">B44/$I44</f>
        <v>1</v>
      </c>
      <c r="Q44" s="7"/>
      <c r="R44" s="7"/>
      <c r="S44" s="7"/>
      <c r="T44" s="7"/>
      <c r="U44" s="7"/>
      <c r="V44" s="7"/>
      <c r="W44" s="6">
        <f t="shared" ref="W44:W45" si="27">SUM(P44:V44)</f>
        <v>1</v>
      </c>
      <c r="X44" s="7">
        <f t="shared" ref="X44:X45" si="28">SUM(P44:U44)</f>
        <v>1</v>
      </c>
      <c r="Y44" s="7">
        <f t="shared" ref="Y44:Y45" si="29">W44-(X44+V44)</f>
        <v>0</v>
      </c>
      <c r="AA44">
        <f t="shared" ref="AA44" si="30">A45</f>
        <v>2017</v>
      </c>
      <c r="AB44" s="2">
        <f t="shared" ref="AB44" si="31">I45</f>
        <v>252883.30290019693</v>
      </c>
    </row>
    <row r="45" spans="1:28" x14ac:dyDescent="0.25">
      <c r="A45">
        <f t="shared" si="19"/>
        <v>2017</v>
      </c>
      <c r="B45" s="2">
        <f t="shared" si="20"/>
        <v>252883.30290019693</v>
      </c>
      <c r="C45" s="2"/>
      <c r="D45" s="2"/>
      <c r="E45" s="2"/>
      <c r="F45" s="2"/>
      <c r="G45" s="2"/>
      <c r="H45" s="2"/>
      <c r="I45" s="2">
        <f t="shared" si="21"/>
        <v>252883.30290019693</v>
      </c>
      <c r="J45" s="2">
        <f t="shared" si="22"/>
        <v>45039.707190328481</v>
      </c>
      <c r="K45" s="6">
        <f t="shared" si="23"/>
        <v>0.21669999999999995</v>
      </c>
      <c r="L45" s="7">
        <f t="shared" si="24"/>
        <v>1.2166999999999999</v>
      </c>
      <c r="O45">
        <f t="shared" si="25"/>
        <v>2017</v>
      </c>
      <c r="P45" s="7">
        <f t="shared" si="26"/>
        <v>1</v>
      </c>
      <c r="Q45" s="7"/>
      <c r="R45" s="7"/>
      <c r="S45" s="7"/>
      <c r="T45" s="7"/>
      <c r="U45" s="7"/>
      <c r="V45" s="7"/>
      <c r="W45" s="6">
        <f t="shared" si="27"/>
        <v>1</v>
      </c>
      <c r="X45" s="7">
        <f t="shared" si="28"/>
        <v>1</v>
      </c>
      <c r="Y45" s="7">
        <f t="shared" si="29"/>
        <v>0</v>
      </c>
    </row>
    <row r="46" spans="1:28" x14ac:dyDescent="0.25">
      <c r="A46" s="9" t="s">
        <v>41</v>
      </c>
      <c r="B46" s="10">
        <f>B45</f>
        <v>252883.30290019693</v>
      </c>
      <c r="C46" s="10"/>
      <c r="D46" s="10"/>
      <c r="E46" s="10"/>
      <c r="F46" s="10"/>
      <c r="G46" s="10"/>
      <c r="H46" s="10"/>
      <c r="I46" s="49">
        <f>SUM(B46:H46)</f>
        <v>252883.30290019693</v>
      </c>
      <c r="J46" s="10"/>
      <c r="K46" s="10"/>
      <c r="L46" s="65"/>
      <c r="P46" s="6"/>
      <c r="Q46" s="6"/>
      <c r="R46" s="6"/>
      <c r="S46" s="6"/>
      <c r="T46" s="6"/>
      <c r="U46" s="6"/>
      <c r="V46" s="6"/>
    </row>
    <row r="47" spans="1:28" x14ac:dyDescent="0.25">
      <c r="A47" s="11" t="s">
        <v>42</v>
      </c>
      <c r="I47" s="48">
        <f>(I46-I27)/I27</f>
        <v>1.5288330290019692</v>
      </c>
      <c r="K47" s="6"/>
      <c r="P47" s="6"/>
      <c r="Q47" s="6"/>
      <c r="R47" s="6"/>
      <c r="S47" s="6"/>
      <c r="T47" s="6"/>
      <c r="U47" s="6"/>
      <c r="V47" s="6"/>
    </row>
    <row r="48" spans="1:28" x14ac:dyDescent="0.25">
      <c r="A48" s="1" t="s">
        <v>43</v>
      </c>
      <c r="I48" s="26">
        <f>STDEV(L28:L45)</f>
        <v>0.17919618644182569</v>
      </c>
    </row>
    <row r="49" spans="1:9" x14ac:dyDescent="0.25">
      <c r="A49" s="1" t="s">
        <v>44</v>
      </c>
      <c r="I49" s="13">
        <f>((1+I47)^(1/I54))-1</f>
        <v>5.289352053885632E-2</v>
      </c>
    </row>
    <row r="50" spans="1:9" x14ac:dyDescent="0.25">
      <c r="A50" s="1" t="s">
        <v>45</v>
      </c>
      <c r="I50" s="28">
        <f>J36</f>
        <v>-41897.29812786261</v>
      </c>
    </row>
    <row r="51" spans="1:9" x14ac:dyDescent="0.25">
      <c r="A51" s="1" t="s">
        <v>46</v>
      </c>
      <c r="I51" s="29">
        <f>K36</f>
        <v>-0.37020000000000008</v>
      </c>
    </row>
    <row r="52" spans="1:9" x14ac:dyDescent="0.25">
      <c r="A52" s="3" t="s">
        <v>47</v>
      </c>
      <c r="I52" s="30">
        <f>I46-I45</f>
        <v>0</v>
      </c>
    </row>
    <row r="53" spans="1:9" x14ac:dyDescent="0.25">
      <c r="A53" s="3" t="s">
        <v>146</v>
      </c>
      <c r="I53" s="30">
        <f>((SUM(J28:J45))-(I46-I27))</f>
        <v>0</v>
      </c>
    </row>
    <row r="54" spans="1:9" x14ac:dyDescent="0.25">
      <c r="A54" s="3" t="s">
        <v>153</v>
      </c>
      <c r="I54" s="66">
        <f>COUNTA(I28:I45)</f>
        <v>18</v>
      </c>
    </row>
    <row r="57" spans="1:9" x14ac:dyDescent="0.25">
      <c r="I57" s="7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Charts</vt:lpstr>
      </vt:variant>
      <vt:variant>
        <vt:i4>1</vt:i4>
      </vt:variant>
    </vt:vector>
  </HeadingPairs>
  <TitlesOfParts>
    <vt:vector size="20" baseType="lpstr">
      <vt:lpstr>Instructions</vt:lpstr>
      <vt:lpstr>Notes</vt:lpstr>
      <vt:lpstr>Summary</vt:lpstr>
      <vt:lpstr>Geometric Fund Returns</vt:lpstr>
      <vt:lpstr>Non-Rebalanced Portfolio</vt:lpstr>
      <vt:lpstr>Rebalanced Portfolio</vt:lpstr>
      <vt:lpstr>Panic Portfolio</vt:lpstr>
      <vt:lpstr>60-40 Portfolio</vt:lpstr>
      <vt:lpstr>SP500 Only</vt:lpstr>
      <vt:lpstr>4.5% Withdrawals-No Rebalancing</vt:lpstr>
      <vt:lpstr>4.5% Withdrawals-Rebalanced</vt:lpstr>
      <vt:lpstr>4.5% Withdrawals-Panic</vt:lpstr>
      <vt:lpstr>4.5% 60-40 Portfolio</vt:lpstr>
      <vt:lpstr>4.5% Withdrawals-SP500 Only</vt:lpstr>
      <vt:lpstr>4% Withdrawals-No Rebalancing</vt:lpstr>
      <vt:lpstr>4% Withdrawals-Rebalanced</vt:lpstr>
      <vt:lpstr>4% Withdrawals-Panic</vt:lpstr>
      <vt:lpstr>4% Withdrawals-SP500 Only</vt:lpstr>
      <vt:lpstr>Chart Data</vt:lpstr>
      <vt:lpstr>Staying Invested Chart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2018-02-13T17:06:13Z</cp:lastPrinted>
  <dcterms:created xsi:type="dcterms:W3CDTF">2014-01-10T23:26:08Z</dcterms:created>
  <dcterms:modified xsi:type="dcterms:W3CDTF">2018-03-29T21:21:02Z</dcterms:modified>
</cp:coreProperties>
</file>