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autoCompressPictures="0" defaultThemeVersion="124226"/>
  <mc:AlternateContent xmlns:mc="http://schemas.openxmlformats.org/markup-compatibility/2006">
    <mc:Choice Requires="x15">
      <x15ac:absPath xmlns:x15ac="http://schemas.microsoft.com/office/spreadsheetml/2010/11/ac" url="C:\Users\charles.AAIILOCAL\Documents\My Dropbox\AAII\Rebalancing\"/>
    </mc:Choice>
  </mc:AlternateContent>
  <xr:revisionPtr revIDLastSave="0" documentId="13_ncr:1_{13316CDA-0D43-42B9-9DDF-B1D9DBB548AE}" xr6:coauthVersionLast="31" xr6:coauthVersionMax="31" xr10:uidLastSave="{00000000-0000-0000-0000-000000000000}"/>
  <bookViews>
    <workbookView xWindow="480" yWindow="45" windowWidth="20730" windowHeight="11700" tabRatio="892" firstSheet="7" activeTab="9" xr2:uid="{00000000-000D-0000-FFFF-FFFF00000000}"/>
  </bookViews>
  <sheets>
    <sheet name="Instructions" sheetId="2" r:id="rId1"/>
    <sheet name="Notes" sheetId="3" r:id="rId2"/>
    <sheet name="Summary" sheetId="8" r:id="rId3"/>
    <sheet name="Non-Rebalanced Strategy" sheetId="1" r:id="rId4"/>
    <sheet name="Rebalanced Strategy" sheetId="4" r:id="rId5"/>
    <sheet name="Panic Portfolio" sheetId="7" r:id="rId6"/>
    <sheet name="60-40 Portfolio" sheetId="16" r:id="rId7"/>
    <sheet name="SP500 Only" sheetId="17" r:id="rId8"/>
    <sheet name="4.5% Withdrawals-No Rebalancing" sheetId="13" r:id="rId9"/>
    <sheet name="4.5% 60-40 Portfolio" sheetId="18" r:id="rId10"/>
    <sheet name="4.5% Withdrawals-Rebalanced" sheetId="14" r:id="rId11"/>
    <sheet name="4.5% Withdrawals-Panic" sheetId="15" r:id="rId12"/>
    <sheet name="4.5% SP500" sheetId="19" r:id="rId13"/>
    <sheet name="4% Withdrawals-No Rebalancing" sheetId="9" r:id="rId14"/>
    <sheet name="4% Withdrawals-Rebalanced" sheetId="10" r:id="rId15"/>
    <sheet name="4% Withdrawals-Panic" sheetId="12" r:id="rId16"/>
  </sheets>
  <calcPr calcId="179017"/>
  <extLst>
    <ext xmlns:mx="http://schemas.microsoft.com/office/mac/excel/2008/main" uri="http://schemas.microsoft.com/office/mac/excel/2008/main">
      <mx:ArchID Flags="2"/>
    </ext>
  </extLst>
</workbook>
</file>

<file path=xl/calcChain.xml><?xml version="1.0" encoding="utf-8"?>
<calcChain xmlns="http://schemas.openxmlformats.org/spreadsheetml/2006/main">
  <c r="AX22" i="18" l="1"/>
  <c r="AX23" i="18"/>
  <c r="AX24" i="18"/>
  <c r="AX25" i="18"/>
  <c r="AX26" i="18"/>
  <c r="AX27" i="18"/>
  <c r="AX28" i="18"/>
  <c r="AX29" i="18"/>
  <c r="AX30" i="18"/>
  <c r="AX31" i="18"/>
  <c r="AX21" i="18"/>
  <c r="AR22" i="18"/>
  <c r="AR23" i="18"/>
  <c r="AR24" i="18"/>
  <c r="AR25" i="18"/>
  <c r="AR26" i="18"/>
  <c r="AR27" i="18"/>
  <c r="AR28" i="18"/>
  <c r="AR29" i="18"/>
  <c r="AR30" i="18"/>
  <c r="AR31" i="18"/>
  <c r="AR21" i="18"/>
  <c r="G32" i="19" l="1"/>
  <c r="E32" i="19"/>
  <c r="D32" i="19"/>
  <c r="A30" i="19"/>
  <c r="N30" i="19" s="1"/>
  <c r="A24" i="19"/>
  <c r="N24" i="19" s="1"/>
  <c r="AS20" i="19"/>
  <c r="AQ20" i="19"/>
  <c r="BA20" i="19" s="1"/>
  <c r="S20" i="19"/>
  <c r="R20" i="19"/>
  <c r="I20" i="19"/>
  <c r="Z20" i="19" s="1"/>
  <c r="AO20" i="19" s="1"/>
  <c r="AY20" i="19" s="1"/>
  <c r="BI20" i="19" s="1"/>
  <c r="AY19" i="19"/>
  <c r="BI19" i="19" s="1"/>
  <c r="AQ19" i="19"/>
  <c r="Z19" i="19"/>
  <c r="R19" i="19"/>
  <c r="D19" i="19"/>
  <c r="AJ19" i="19" s="1"/>
  <c r="AT19" i="19" s="1"/>
  <c r="BD19" i="19" s="1"/>
  <c r="C18" i="19"/>
  <c r="T18" i="19" s="1"/>
  <c r="H14" i="19"/>
  <c r="G14" i="19"/>
  <c r="E14" i="19"/>
  <c r="D14" i="19"/>
  <c r="B14" i="19"/>
  <c r="A14" i="19"/>
  <c r="A31" i="19" s="1"/>
  <c r="N31" i="19" s="1"/>
  <c r="H13" i="19"/>
  <c r="G13" i="19"/>
  <c r="E13" i="19"/>
  <c r="D13" i="19"/>
  <c r="B13" i="19"/>
  <c r="A13" i="19"/>
  <c r="H12" i="19"/>
  <c r="G12" i="19"/>
  <c r="E12" i="19"/>
  <c r="D12" i="19"/>
  <c r="B12" i="19"/>
  <c r="A12" i="19"/>
  <c r="A29" i="19" s="1"/>
  <c r="R29" i="19" s="1"/>
  <c r="H11" i="19"/>
  <c r="G11" i="19"/>
  <c r="E11" i="19"/>
  <c r="D11" i="19"/>
  <c r="B11" i="19"/>
  <c r="A11" i="19"/>
  <c r="A28" i="19" s="1"/>
  <c r="AG28" i="19" s="1"/>
  <c r="AQ28" i="19" s="1"/>
  <c r="BA28" i="19" s="1"/>
  <c r="H10" i="19"/>
  <c r="G10" i="19"/>
  <c r="E10" i="19"/>
  <c r="D10" i="19"/>
  <c r="B10" i="19"/>
  <c r="A10" i="19"/>
  <c r="A27" i="19" s="1"/>
  <c r="N27" i="19" s="1"/>
  <c r="H9" i="19"/>
  <c r="G9" i="19"/>
  <c r="E9" i="19"/>
  <c r="D9" i="19"/>
  <c r="B9" i="19"/>
  <c r="A9" i="19"/>
  <c r="A26" i="19" s="1"/>
  <c r="H8" i="19"/>
  <c r="G8" i="19"/>
  <c r="E8" i="19"/>
  <c r="D8" i="19"/>
  <c r="B8" i="19"/>
  <c r="A8" i="19"/>
  <c r="A25" i="19" s="1"/>
  <c r="H7" i="19"/>
  <c r="G7" i="19"/>
  <c r="E7" i="19"/>
  <c r="D7" i="19"/>
  <c r="B7" i="19"/>
  <c r="A7" i="19"/>
  <c r="H6" i="19"/>
  <c r="G6" i="19"/>
  <c r="E6" i="19"/>
  <c r="D6" i="19"/>
  <c r="B6" i="19"/>
  <c r="A6" i="19"/>
  <c r="A23" i="19" s="1"/>
  <c r="N23" i="19" s="1"/>
  <c r="H5" i="19"/>
  <c r="G5" i="19"/>
  <c r="E5" i="19"/>
  <c r="D5" i="19"/>
  <c r="B5" i="19"/>
  <c r="A5" i="19"/>
  <c r="A22" i="19" s="1"/>
  <c r="H4" i="19"/>
  <c r="G4" i="19"/>
  <c r="E4" i="19"/>
  <c r="D4" i="19"/>
  <c r="B4" i="19"/>
  <c r="B21" i="19" s="1"/>
  <c r="A4" i="19"/>
  <c r="A21" i="19" s="1"/>
  <c r="N21" i="19" s="1"/>
  <c r="H3" i="19"/>
  <c r="H19" i="19" s="1"/>
  <c r="G3" i="19"/>
  <c r="G19" i="19" s="1"/>
  <c r="F3" i="19"/>
  <c r="F19" i="19" s="1"/>
  <c r="E3" i="19"/>
  <c r="E19" i="19" s="1"/>
  <c r="V19" i="19" s="1"/>
  <c r="D3" i="19"/>
  <c r="C3" i="19"/>
  <c r="C19" i="19" s="1"/>
  <c r="B3" i="19"/>
  <c r="B19" i="19" s="1"/>
  <c r="A3" i="19"/>
  <c r="H2" i="19"/>
  <c r="H18" i="19" s="1"/>
  <c r="G2" i="19"/>
  <c r="G18" i="19" s="1"/>
  <c r="F2" i="19"/>
  <c r="F18" i="19" s="1"/>
  <c r="E2" i="19"/>
  <c r="E18" i="19" s="1"/>
  <c r="V18" i="19" s="1"/>
  <c r="D2" i="19"/>
  <c r="D18" i="19" s="1"/>
  <c r="C2" i="19"/>
  <c r="B2" i="19"/>
  <c r="B18" i="19" s="1"/>
  <c r="AH18" i="19" s="1"/>
  <c r="AR18" i="19" s="1"/>
  <c r="BB18" i="19" s="1"/>
  <c r="B21" i="18"/>
  <c r="BA20" i="18"/>
  <c r="AS20" i="18"/>
  <c r="AQ20" i="18"/>
  <c r="R20" i="18"/>
  <c r="S20" i="18"/>
  <c r="AY19" i="18"/>
  <c r="BI19" i="18" s="1"/>
  <c r="AQ19" i="18"/>
  <c r="AM19" i="18"/>
  <c r="AW19" i="18" s="1"/>
  <c r="BG19" i="18" s="1"/>
  <c r="Z19" i="18"/>
  <c r="R19" i="18"/>
  <c r="G19" i="18"/>
  <c r="X19" i="18" s="1"/>
  <c r="F19" i="18"/>
  <c r="E19" i="18"/>
  <c r="V19" i="18" s="1"/>
  <c r="AI18" i="18"/>
  <c r="AS18" i="18" s="1"/>
  <c r="BC18" i="18" s="1"/>
  <c r="T18" i="18"/>
  <c r="B18" i="18"/>
  <c r="AH18" i="18" s="1"/>
  <c r="AR18" i="18" s="1"/>
  <c r="BB18" i="18" s="1"/>
  <c r="H14" i="18"/>
  <c r="G14" i="18"/>
  <c r="E14" i="18"/>
  <c r="D14" i="18"/>
  <c r="B14" i="18"/>
  <c r="A14" i="18"/>
  <c r="A31" i="18" s="1"/>
  <c r="H13" i="18"/>
  <c r="G13" i="18"/>
  <c r="E13" i="18"/>
  <c r="D13" i="18"/>
  <c r="B13" i="18"/>
  <c r="A13" i="18"/>
  <c r="A30" i="18" s="1"/>
  <c r="R30" i="18" s="1"/>
  <c r="H12" i="18"/>
  <c r="G12" i="18"/>
  <c r="E12" i="18"/>
  <c r="D12" i="18"/>
  <c r="B12" i="18"/>
  <c r="A12" i="18"/>
  <c r="A29" i="18" s="1"/>
  <c r="H11" i="18"/>
  <c r="G11" i="18"/>
  <c r="E11" i="18"/>
  <c r="D11" i="18"/>
  <c r="B11" i="18"/>
  <c r="A11" i="18"/>
  <c r="A28" i="18" s="1"/>
  <c r="R28" i="18" s="1"/>
  <c r="H10" i="18"/>
  <c r="G10" i="18"/>
  <c r="E10" i="18"/>
  <c r="D10" i="18"/>
  <c r="B10" i="18"/>
  <c r="A10" i="18"/>
  <c r="A27" i="18" s="1"/>
  <c r="H9" i="18"/>
  <c r="G9" i="18"/>
  <c r="E9" i="18"/>
  <c r="D9" i="18"/>
  <c r="B9" i="18"/>
  <c r="A9" i="18"/>
  <c r="A26" i="18" s="1"/>
  <c r="R26" i="18" s="1"/>
  <c r="H8" i="18"/>
  <c r="G8" i="18"/>
  <c r="E8" i="18"/>
  <c r="D8" i="18"/>
  <c r="B8" i="18"/>
  <c r="A8" i="18"/>
  <c r="A25" i="18" s="1"/>
  <c r="R25" i="18" s="1"/>
  <c r="H7" i="18"/>
  <c r="G7" i="18"/>
  <c r="E7" i="18"/>
  <c r="D7" i="18"/>
  <c r="B7" i="18"/>
  <c r="A7" i="18"/>
  <c r="A24" i="18" s="1"/>
  <c r="H6" i="18"/>
  <c r="G6" i="18"/>
  <c r="E6" i="18"/>
  <c r="D6" i="18"/>
  <c r="B6" i="18"/>
  <c r="A6" i="18"/>
  <c r="A23" i="18" s="1"/>
  <c r="H5" i="18"/>
  <c r="G5" i="18"/>
  <c r="E5" i="18"/>
  <c r="D5" i="18"/>
  <c r="B5" i="18"/>
  <c r="A5" i="18"/>
  <c r="A22" i="18" s="1"/>
  <c r="N22" i="18" s="1"/>
  <c r="H4" i="18"/>
  <c r="G4" i="18"/>
  <c r="G21" i="18" s="1"/>
  <c r="E4" i="18"/>
  <c r="E21" i="18" s="1"/>
  <c r="D4" i="18"/>
  <c r="B4" i="18"/>
  <c r="A4" i="18"/>
  <c r="A21" i="18" s="1"/>
  <c r="H3" i="18"/>
  <c r="H19" i="18" s="1"/>
  <c r="G3" i="18"/>
  <c r="F3" i="18"/>
  <c r="E3" i="18"/>
  <c r="D3" i="18"/>
  <c r="D19" i="18" s="1"/>
  <c r="C3" i="18"/>
  <c r="C19" i="18" s="1"/>
  <c r="B3" i="18"/>
  <c r="B19" i="18" s="1"/>
  <c r="A3" i="18"/>
  <c r="H2" i="18"/>
  <c r="H18" i="18" s="1"/>
  <c r="G2" i="18"/>
  <c r="G18" i="18" s="1"/>
  <c r="X18" i="18" s="1"/>
  <c r="F2" i="18"/>
  <c r="F18" i="18" s="1"/>
  <c r="W18" i="18" s="1"/>
  <c r="E2" i="18"/>
  <c r="E18" i="18" s="1"/>
  <c r="AK18" i="18" s="1"/>
  <c r="AU18" i="18" s="1"/>
  <c r="BE18" i="18" s="1"/>
  <c r="D2" i="18"/>
  <c r="D18" i="18" s="1"/>
  <c r="C2" i="18"/>
  <c r="C18" i="18" s="1"/>
  <c r="B2" i="18"/>
  <c r="A29" i="17"/>
  <c r="A28" i="17"/>
  <c r="AI28" i="17" s="1"/>
  <c r="A27" i="17"/>
  <c r="AI27" i="17" s="1"/>
  <c r="B21" i="17"/>
  <c r="A21" i="17"/>
  <c r="O21" i="17" s="1"/>
  <c r="Y21" i="17" s="1"/>
  <c r="AE20" i="17"/>
  <c r="AO20" i="17" s="1"/>
  <c r="AD20" i="17"/>
  <c r="AC20" i="17"/>
  <c r="AM20" i="17" s="1"/>
  <c r="AB20" i="17"/>
  <c r="AL20" i="17" s="1"/>
  <c r="AA20" i="17"/>
  <c r="Y20" i="17"/>
  <c r="AI20" i="17" s="1"/>
  <c r="I20" i="17"/>
  <c r="W20" i="17" s="1"/>
  <c r="AG20" i="17" s="1"/>
  <c r="AQ20" i="17" s="1"/>
  <c r="AG19" i="17"/>
  <c r="AQ19" i="17" s="1"/>
  <c r="Y19" i="17"/>
  <c r="V19" i="17"/>
  <c r="AF19" i="17" s="1"/>
  <c r="AP19" i="17" s="1"/>
  <c r="G19" i="17"/>
  <c r="U19" i="17" s="1"/>
  <c r="AE19" i="17" s="1"/>
  <c r="AO19" i="17" s="1"/>
  <c r="Q18" i="17"/>
  <c r="AA18" i="17" s="1"/>
  <c r="AK18" i="17" s="1"/>
  <c r="P18" i="17"/>
  <c r="Z18" i="17" s="1"/>
  <c r="AJ18" i="17" s="1"/>
  <c r="C18" i="17"/>
  <c r="B18" i="17"/>
  <c r="H14" i="17"/>
  <c r="G14" i="17"/>
  <c r="F14" i="17"/>
  <c r="E14" i="17"/>
  <c r="D14" i="17"/>
  <c r="C14" i="17"/>
  <c r="B14" i="17"/>
  <c r="A14" i="17"/>
  <c r="A31" i="17" s="1"/>
  <c r="O31" i="17" s="1"/>
  <c r="Y31" i="17" s="1"/>
  <c r="H13" i="17"/>
  <c r="G13" i="17"/>
  <c r="F13" i="17"/>
  <c r="E13" i="17"/>
  <c r="D13" i="17"/>
  <c r="C13" i="17"/>
  <c r="B13" i="17"/>
  <c r="A13" i="17"/>
  <c r="A30" i="17" s="1"/>
  <c r="O30" i="17" s="1"/>
  <c r="Y30" i="17" s="1"/>
  <c r="H12" i="17"/>
  <c r="G12" i="17"/>
  <c r="F12" i="17"/>
  <c r="E12" i="17"/>
  <c r="D12" i="17"/>
  <c r="C12" i="17"/>
  <c r="B12" i="17"/>
  <c r="A12" i="17"/>
  <c r="H11" i="17"/>
  <c r="G11" i="17"/>
  <c r="F11" i="17"/>
  <c r="E11" i="17"/>
  <c r="D11" i="17"/>
  <c r="C11" i="17"/>
  <c r="B11" i="17"/>
  <c r="A11" i="17"/>
  <c r="H10" i="17"/>
  <c r="G10" i="17"/>
  <c r="F10" i="17"/>
  <c r="E10" i="17"/>
  <c r="D10" i="17"/>
  <c r="C10" i="17"/>
  <c r="B10" i="17"/>
  <c r="A10" i="17"/>
  <c r="H9" i="17"/>
  <c r="G9" i="17"/>
  <c r="F9" i="17"/>
  <c r="E9" i="17"/>
  <c r="D9" i="17"/>
  <c r="C9" i="17"/>
  <c r="B9" i="17"/>
  <c r="A9" i="17"/>
  <c r="A26" i="17" s="1"/>
  <c r="AI26" i="17" s="1"/>
  <c r="H8" i="17"/>
  <c r="G8" i="17"/>
  <c r="F8" i="17"/>
  <c r="E8" i="17"/>
  <c r="D8" i="17"/>
  <c r="C8" i="17"/>
  <c r="B8" i="17"/>
  <c r="A8" i="17"/>
  <c r="A25" i="17" s="1"/>
  <c r="H7" i="17"/>
  <c r="G7" i="17"/>
  <c r="F7" i="17"/>
  <c r="E7" i="17"/>
  <c r="D7" i="17"/>
  <c r="C7" i="17"/>
  <c r="B7" i="17"/>
  <c r="A7" i="17"/>
  <c r="A24" i="17" s="1"/>
  <c r="H6" i="17"/>
  <c r="G6" i="17"/>
  <c r="F6" i="17"/>
  <c r="E6" i="17"/>
  <c r="D6" i="17"/>
  <c r="C6" i="17"/>
  <c r="B6" i="17"/>
  <c r="A6" i="17"/>
  <c r="A23" i="17" s="1"/>
  <c r="O23" i="17" s="1"/>
  <c r="Y23" i="17" s="1"/>
  <c r="H5" i="17"/>
  <c r="G5" i="17"/>
  <c r="F5" i="17"/>
  <c r="E5" i="17"/>
  <c r="D5" i="17"/>
  <c r="C5" i="17"/>
  <c r="B5" i="17"/>
  <c r="A5" i="17"/>
  <c r="A22" i="17" s="1"/>
  <c r="O22" i="17" s="1"/>
  <c r="Y22" i="17" s="1"/>
  <c r="H4" i="17"/>
  <c r="G4" i="17"/>
  <c r="F4" i="17"/>
  <c r="E4" i="17"/>
  <c r="D4" i="17"/>
  <c r="C4" i="17"/>
  <c r="B4" i="17"/>
  <c r="A4" i="17"/>
  <c r="H3" i="17"/>
  <c r="H19" i="17" s="1"/>
  <c r="G3" i="17"/>
  <c r="F3" i="17"/>
  <c r="F19" i="17" s="1"/>
  <c r="T19" i="17" s="1"/>
  <c r="AD19" i="17" s="1"/>
  <c r="AN19" i="17" s="1"/>
  <c r="E3" i="17"/>
  <c r="E19" i="17" s="1"/>
  <c r="S19" i="17" s="1"/>
  <c r="AC19" i="17" s="1"/>
  <c r="AM19" i="17" s="1"/>
  <c r="D3" i="17"/>
  <c r="D19" i="17" s="1"/>
  <c r="R19" i="17" s="1"/>
  <c r="AB19" i="17" s="1"/>
  <c r="AL19" i="17" s="1"/>
  <c r="C3" i="17"/>
  <c r="C19" i="17" s="1"/>
  <c r="Q19" i="17" s="1"/>
  <c r="AA19" i="17" s="1"/>
  <c r="AK19" i="17" s="1"/>
  <c r="B3" i="17"/>
  <c r="B19" i="17" s="1"/>
  <c r="P19" i="17" s="1"/>
  <c r="Z19" i="17" s="1"/>
  <c r="AJ19" i="17" s="1"/>
  <c r="A3" i="17"/>
  <c r="H2" i="17"/>
  <c r="H18" i="17" s="1"/>
  <c r="V18" i="17" s="1"/>
  <c r="AF18" i="17" s="1"/>
  <c r="AP18" i="17" s="1"/>
  <c r="G2" i="17"/>
  <c r="G18" i="17" s="1"/>
  <c r="U18" i="17" s="1"/>
  <c r="AE18" i="17" s="1"/>
  <c r="AO18" i="17" s="1"/>
  <c r="F2" i="17"/>
  <c r="F18" i="17" s="1"/>
  <c r="T18" i="17" s="1"/>
  <c r="AD18" i="17" s="1"/>
  <c r="AN18" i="17" s="1"/>
  <c r="E2" i="17"/>
  <c r="E18" i="17" s="1"/>
  <c r="S18" i="17" s="1"/>
  <c r="AC18" i="17" s="1"/>
  <c r="AM18" i="17" s="1"/>
  <c r="D2" i="17"/>
  <c r="D18" i="17" s="1"/>
  <c r="R18" i="17" s="1"/>
  <c r="AB18" i="17" s="1"/>
  <c r="AL18" i="17" s="1"/>
  <c r="C2" i="17"/>
  <c r="B2" i="17"/>
  <c r="A24" i="16"/>
  <c r="O24" i="16" s="1"/>
  <c r="Y24" i="16" s="1"/>
  <c r="A22" i="16"/>
  <c r="O22" i="16" s="1"/>
  <c r="Y22" i="16" s="1"/>
  <c r="AI20" i="16"/>
  <c r="AE20" i="16"/>
  <c r="AO20" i="16" s="1"/>
  <c r="AD20" i="16"/>
  <c r="AA20" i="16"/>
  <c r="Y20" i="16"/>
  <c r="AC20" i="16"/>
  <c r="AM20" i="16" s="1"/>
  <c r="AB20" i="16"/>
  <c r="AL20" i="16" s="1"/>
  <c r="I20" i="16"/>
  <c r="H21" i="16"/>
  <c r="AQ19" i="16"/>
  <c r="AG19" i="16"/>
  <c r="Y19" i="16"/>
  <c r="V19" i="16"/>
  <c r="AF19" i="16" s="1"/>
  <c r="AP19" i="16" s="1"/>
  <c r="U19" i="16"/>
  <c r="AE19" i="16" s="1"/>
  <c r="AO19" i="16" s="1"/>
  <c r="H19" i="16"/>
  <c r="G19" i="16"/>
  <c r="F19" i="16"/>
  <c r="T19" i="16" s="1"/>
  <c r="AD19" i="16" s="1"/>
  <c r="AN19" i="16" s="1"/>
  <c r="E19" i="16"/>
  <c r="S19" i="16" s="1"/>
  <c r="AC19" i="16" s="1"/>
  <c r="AM19" i="16" s="1"/>
  <c r="D19" i="16"/>
  <c r="R19" i="16" s="1"/>
  <c r="AB19" i="16" s="1"/>
  <c r="AL19" i="16" s="1"/>
  <c r="C19" i="16"/>
  <c r="Q19" i="16" s="1"/>
  <c r="AA19" i="16" s="1"/>
  <c r="AK19" i="16" s="1"/>
  <c r="H18" i="16"/>
  <c r="V18" i="16" s="1"/>
  <c r="AF18" i="16" s="1"/>
  <c r="AP18" i="16" s="1"/>
  <c r="G18" i="16"/>
  <c r="U18" i="16" s="1"/>
  <c r="AE18" i="16" s="1"/>
  <c r="AO18" i="16" s="1"/>
  <c r="E18" i="16"/>
  <c r="S18" i="16" s="1"/>
  <c r="AC18" i="16" s="1"/>
  <c r="AM18" i="16" s="1"/>
  <c r="D18" i="16"/>
  <c r="R18" i="16" s="1"/>
  <c r="AB18" i="16" s="1"/>
  <c r="AL18" i="16" s="1"/>
  <c r="H14" i="16"/>
  <c r="G14" i="16"/>
  <c r="F14" i="16"/>
  <c r="E14" i="16"/>
  <c r="D14" i="16"/>
  <c r="C14" i="16"/>
  <c r="B14" i="16"/>
  <c r="A14" i="16"/>
  <c r="A31" i="16" s="1"/>
  <c r="H13" i="16"/>
  <c r="G13" i="16"/>
  <c r="F13" i="16"/>
  <c r="E13" i="16"/>
  <c r="D13" i="16"/>
  <c r="C13" i="16"/>
  <c r="B13" i="16"/>
  <c r="A13" i="16"/>
  <c r="A30" i="16" s="1"/>
  <c r="H12" i="16"/>
  <c r="G12" i="16"/>
  <c r="F12" i="16"/>
  <c r="E12" i="16"/>
  <c r="D12" i="16"/>
  <c r="C12" i="16"/>
  <c r="B12" i="16"/>
  <c r="A12" i="16"/>
  <c r="A29" i="16" s="1"/>
  <c r="H11" i="16"/>
  <c r="G11" i="16"/>
  <c r="F11" i="16"/>
  <c r="E11" i="16"/>
  <c r="D11" i="16"/>
  <c r="C11" i="16"/>
  <c r="B11" i="16"/>
  <c r="A11" i="16"/>
  <c r="A28" i="16" s="1"/>
  <c r="H10" i="16"/>
  <c r="G10" i="16"/>
  <c r="F10" i="16"/>
  <c r="E10" i="16"/>
  <c r="D10" i="16"/>
  <c r="C10" i="16"/>
  <c r="B10" i="16"/>
  <c r="A10" i="16"/>
  <c r="A27" i="16" s="1"/>
  <c r="H9" i="16"/>
  <c r="G9" i="16"/>
  <c r="F9" i="16"/>
  <c r="E9" i="16"/>
  <c r="D9" i="16"/>
  <c r="C9" i="16"/>
  <c r="B9" i="16"/>
  <c r="A9" i="16"/>
  <c r="A26" i="16" s="1"/>
  <c r="H8" i="16"/>
  <c r="G8" i="16"/>
  <c r="F8" i="16"/>
  <c r="E8" i="16"/>
  <c r="D8" i="16"/>
  <c r="C8" i="16"/>
  <c r="B8" i="16"/>
  <c r="A8" i="16"/>
  <c r="A25" i="16" s="1"/>
  <c r="H7" i="16"/>
  <c r="G7" i="16"/>
  <c r="F7" i="16"/>
  <c r="E7" i="16"/>
  <c r="D7" i="16"/>
  <c r="C7" i="16"/>
  <c r="B7" i="16"/>
  <c r="A7" i="16"/>
  <c r="H6" i="16"/>
  <c r="G6" i="16"/>
  <c r="F6" i="16"/>
  <c r="E6" i="16"/>
  <c r="D6" i="16"/>
  <c r="C6" i="16"/>
  <c r="B6" i="16"/>
  <c r="A6" i="16"/>
  <c r="A23" i="16" s="1"/>
  <c r="H5" i="16"/>
  <c r="G5" i="16"/>
  <c r="F5" i="16"/>
  <c r="E5" i="16"/>
  <c r="D5" i="16"/>
  <c r="C5" i="16"/>
  <c r="B5" i="16"/>
  <c r="A5" i="16"/>
  <c r="H4" i="16"/>
  <c r="G4" i="16"/>
  <c r="F4" i="16"/>
  <c r="E4" i="16"/>
  <c r="D4" i="16"/>
  <c r="C4" i="16"/>
  <c r="B4" i="16"/>
  <c r="A4" i="16"/>
  <c r="A21" i="16" s="1"/>
  <c r="H3" i="16"/>
  <c r="G3" i="16"/>
  <c r="F3" i="16"/>
  <c r="E3" i="16"/>
  <c r="D3" i="16"/>
  <c r="C3" i="16"/>
  <c r="B3" i="16"/>
  <c r="B19" i="16" s="1"/>
  <c r="P19" i="16" s="1"/>
  <c r="Z19" i="16" s="1"/>
  <c r="AJ19" i="16" s="1"/>
  <c r="A3" i="16"/>
  <c r="H2" i="16"/>
  <c r="G2" i="16"/>
  <c r="F2" i="16"/>
  <c r="F18" i="16" s="1"/>
  <c r="T18" i="16" s="1"/>
  <c r="AD18" i="16" s="1"/>
  <c r="AN18" i="16" s="1"/>
  <c r="E2" i="16"/>
  <c r="D2" i="16"/>
  <c r="C2" i="16"/>
  <c r="C18" i="16" s="1"/>
  <c r="Q18" i="16" s="1"/>
  <c r="AA18" i="16" s="1"/>
  <c r="AK18" i="16" s="1"/>
  <c r="B2" i="16"/>
  <c r="B18" i="16" s="1"/>
  <c r="P18" i="16" s="1"/>
  <c r="Z18" i="16" s="1"/>
  <c r="AJ18" i="16" s="1"/>
  <c r="AI19" i="19" l="1"/>
  <c r="AS19" i="19" s="1"/>
  <c r="BC19" i="19" s="1"/>
  <c r="T19" i="19"/>
  <c r="AH19" i="18"/>
  <c r="AR19" i="18" s="1"/>
  <c r="BB19" i="18" s="1"/>
  <c r="S19" i="18"/>
  <c r="Y18" i="19"/>
  <c r="AN18" i="19"/>
  <c r="AX18" i="19" s="1"/>
  <c r="BH18" i="19" s="1"/>
  <c r="Y19" i="19"/>
  <c r="AN19" i="19"/>
  <c r="AX19" i="19" s="1"/>
  <c r="BH19" i="19" s="1"/>
  <c r="AG26" i="19"/>
  <c r="AQ26" i="19" s="1"/>
  <c r="BA26" i="19" s="1"/>
  <c r="N26" i="19"/>
  <c r="R30" i="19"/>
  <c r="AL18" i="18"/>
  <c r="AV18" i="18" s="1"/>
  <c r="BF18" i="18" s="1"/>
  <c r="AG30" i="19"/>
  <c r="AQ30" i="19" s="1"/>
  <c r="BA30" i="19" s="1"/>
  <c r="AM18" i="18"/>
  <c r="AW18" i="18" s="1"/>
  <c r="BG18" i="18" s="1"/>
  <c r="S18" i="19"/>
  <c r="AI18" i="19"/>
  <c r="AS18" i="19" s="1"/>
  <c r="BC18" i="19" s="1"/>
  <c r="U19" i="19"/>
  <c r="R31" i="19"/>
  <c r="N28" i="19"/>
  <c r="AI23" i="17"/>
  <c r="R28" i="19"/>
  <c r="AK19" i="18"/>
  <c r="AU19" i="18" s="1"/>
  <c r="BE19" i="18" s="1"/>
  <c r="AI22" i="17"/>
  <c r="O26" i="17"/>
  <c r="Y26" i="17" s="1"/>
  <c r="N29" i="19"/>
  <c r="AH20" i="19"/>
  <c r="AR20" i="19" s="1"/>
  <c r="BB20" i="19" s="1"/>
  <c r="AN20" i="19"/>
  <c r="AX20" i="19" s="1"/>
  <c r="BH20" i="19" s="1"/>
  <c r="W19" i="19"/>
  <c r="AL19" i="19"/>
  <c r="AV19" i="19" s="1"/>
  <c r="BF19" i="19" s="1"/>
  <c r="AM18" i="19"/>
  <c r="AW18" i="19" s="1"/>
  <c r="BG18" i="19" s="1"/>
  <c r="X18" i="19"/>
  <c r="AK19" i="19"/>
  <c r="AU19" i="19" s="1"/>
  <c r="BE19" i="19" s="1"/>
  <c r="AJ18" i="19"/>
  <c r="AT18" i="19" s="1"/>
  <c r="BD18" i="19" s="1"/>
  <c r="U18" i="19"/>
  <c r="W18" i="19"/>
  <c r="AL18" i="19"/>
  <c r="AV18" i="19" s="1"/>
  <c r="BF18" i="19" s="1"/>
  <c r="N22" i="19"/>
  <c r="AG22" i="19"/>
  <c r="AQ22" i="19" s="1"/>
  <c r="BA22" i="19" s="1"/>
  <c r="R22" i="19"/>
  <c r="R26" i="19"/>
  <c r="AH19" i="19"/>
  <c r="AR19" i="19" s="1"/>
  <c r="BB19" i="19" s="1"/>
  <c r="S19" i="19"/>
  <c r="I21" i="19"/>
  <c r="AK18" i="19"/>
  <c r="AU18" i="19" s="1"/>
  <c r="BE18" i="19" s="1"/>
  <c r="R21" i="19"/>
  <c r="R23" i="19"/>
  <c r="AG29" i="19"/>
  <c r="AQ29" i="19" s="1"/>
  <c r="BA29" i="19" s="1"/>
  <c r="AG24" i="19"/>
  <c r="AQ24" i="19" s="1"/>
  <c r="BA24" i="19" s="1"/>
  <c r="R24" i="19"/>
  <c r="AG25" i="19"/>
  <c r="AQ25" i="19" s="1"/>
  <c r="BA25" i="19" s="1"/>
  <c r="R25" i="19"/>
  <c r="N25" i="19"/>
  <c r="AM20" i="19"/>
  <c r="AW20" i="19" s="1"/>
  <c r="AK20" i="19"/>
  <c r="AU20" i="19" s="1"/>
  <c r="AJ20" i="19"/>
  <c r="AT20" i="19" s="1"/>
  <c r="AG21" i="19"/>
  <c r="AQ21" i="19" s="1"/>
  <c r="BA21" i="19" s="1"/>
  <c r="AG23" i="19"/>
  <c r="AQ23" i="19" s="1"/>
  <c r="BA23" i="19" s="1"/>
  <c r="AG31" i="19"/>
  <c r="AQ31" i="19" s="1"/>
  <c r="BA31" i="19" s="1"/>
  <c r="AG27" i="19"/>
  <c r="AQ27" i="19" s="1"/>
  <c r="BA27" i="19" s="1"/>
  <c r="R27" i="19"/>
  <c r="AM19" i="19"/>
  <c r="AW19" i="19" s="1"/>
  <c r="BG19" i="19" s="1"/>
  <c r="X19" i="19"/>
  <c r="N21" i="18"/>
  <c r="AG21" i="18"/>
  <c r="AQ21" i="18" s="1"/>
  <c r="BA21" i="18" s="1"/>
  <c r="R21" i="18"/>
  <c r="AG24" i="18"/>
  <c r="AQ24" i="18" s="1"/>
  <c r="BA24" i="18" s="1"/>
  <c r="N24" i="18"/>
  <c r="R24" i="18"/>
  <c r="U18" i="18"/>
  <c r="AJ18" i="18"/>
  <c r="AT18" i="18" s="1"/>
  <c r="BD18" i="18" s="1"/>
  <c r="AJ19" i="18"/>
  <c r="AT19" i="18" s="1"/>
  <c r="BD19" i="18" s="1"/>
  <c r="U19" i="18"/>
  <c r="H21" i="18"/>
  <c r="Y20" i="18"/>
  <c r="S18" i="18"/>
  <c r="AG30" i="18"/>
  <c r="AQ30" i="18" s="1"/>
  <c r="BA30" i="18" s="1"/>
  <c r="R22" i="18"/>
  <c r="Y18" i="18"/>
  <c r="AN18" i="18"/>
  <c r="AX18" i="18" s="1"/>
  <c r="BH18" i="18" s="1"/>
  <c r="I20" i="18"/>
  <c r="Z20" i="18" s="1"/>
  <c r="AK20" i="18" s="1"/>
  <c r="AU20" i="18" s="1"/>
  <c r="N26" i="18"/>
  <c r="R23" i="18"/>
  <c r="AG23" i="18"/>
  <c r="AQ23" i="18" s="1"/>
  <c r="BA23" i="18" s="1"/>
  <c r="N23" i="18"/>
  <c r="N25" i="18"/>
  <c r="AG25" i="18"/>
  <c r="AQ25" i="18" s="1"/>
  <c r="BA25" i="18" s="1"/>
  <c r="AG27" i="18"/>
  <c r="AQ27" i="18" s="1"/>
  <c r="BA27" i="18" s="1"/>
  <c r="R27" i="18"/>
  <c r="N27" i="18"/>
  <c r="N28" i="18"/>
  <c r="AG28" i="18"/>
  <c r="AQ28" i="18" s="1"/>
  <c r="BA28" i="18" s="1"/>
  <c r="N29" i="18"/>
  <c r="R29" i="18"/>
  <c r="AG29" i="18"/>
  <c r="AQ29" i="18" s="1"/>
  <c r="BA29" i="18" s="1"/>
  <c r="R31" i="18"/>
  <c r="N31" i="18"/>
  <c r="AG31" i="18"/>
  <c r="AQ31" i="18" s="1"/>
  <c r="BA31" i="18" s="1"/>
  <c r="AG22" i="18"/>
  <c r="AQ22" i="18" s="1"/>
  <c r="BA22" i="18" s="1"/>
  <c r="AL19" i="18"/>
  <c r="AV19" i="18" s="1"/>
  <c r="BF19" i="18" s="1"/>
  <c r="W19" i="18"/>
  <c r="N30" i="18"/>
  <c r="AG26" i="18"/>
  <c r="AQ26" i="18" s="1"/>
  <c r="BA26" i="18" s="1"/>
  <c r="V18" i="18"/>
  <c r="AN19" i="18"/>
  <c r="AX19" i="18" s="1"/>
  <c r="BH19" i="18" s="1"/>
  <c r="Y19" i="18"/>
  <c r="AI19" i="18"/>
  <c r="AS19" i="18" s="1"/>
  <c r="BC19" i="18" s="1"/>
  <c r="T19" i="18"/>
  <c r="D21" i="18"/>
  <c r="AI21" i="17"/>
  <c r="AI24" i="17"/>
  <c r="O24" i="17"/>
  <c r="Y24" i="17" s="1"/>
  <c r="AI25" i="17"/>
  <c r="O25" i="17"/>
  <c r="Y25" i="17" s="1"/>
  <c r="AI31" i="17"/>
  <c r="O29" i="17"/>
  <c r="Y29" i="17" s="1"/>
  <c r="AI29" i="17"/>
  <c r="O27" i="17"/>
  <c r="Y27" i="17" s="1"/>
  <c r="O28" i="17"/>
  <c r="Y28" i="17" s="1"/>
  <c r="I21" i="17"/>
  <c r="Z21" i="17" s="1"/>
  <c r="AI30" i="17"/>
  <c r="P20" i="17"/>
  <c r="Z20" i="17" s="1"/>
  <c r="AJ20" i="17" s="1"/>
  <c r="V20" i="17"/>
  <c r="AF20" i="17" s="1"/>
  <c r="AP20" i="17" s="1"/>
  <c r="O25" i="16"/>
  <c r="Y25" i="16" s="1"/>
  <c r="AI25" i="16"/>
  <c r="W20" i="16"/>
  <c r="AG20" i="16" s="1"/>
  <c r="AQ20" i="16" s="1"/>
  <c r="P20" i="16"/>
  <c r="Z20" i="16" s="1"/>
  <c r="AJ20" i="16" s="1"/>
  <c r="AI21" i="16"/>
  <c r="O21" i="16"/>
  <c r="Y21" i="16" s="1"/>
  <c r="AI23" i="16"/>
  <c r="O23" i="16"/>
  <c r="Y23" i="16" s="1"/>
  <c r="O26" i="16"/>
  <c r="Y26" i="16" s="1"/>
  <c r="AI26" i="16"/>
  <c r="O27" i="16"/>
  <c r="Y27" i="16" s="1"/>
  <c r="AI27" i="16"/>
  <c r="O28" i="16"/>
  <c r="Y28" i="16" s="1"/>
  <c r="AI28" i="16"/>
  <c r="O29" i="16"/>
  <c r="Y29" i="16" s="1"/>
  <c r="AI29" i="16"/>
  <c r="O30" i="16"/>
  <c r="Y30" i="16" s="1"/>
  <c r="AI30" i="16"/>
  <c r="O31" i="16"/>
  <c r="Y31" i="16" s="1"/>
  <c r="AI31" i="16"/>
  <c r="B21" i="16"/>
  <c r="AI22" i="16"/>
  <c r="AI24" i="16"/>
  <c r="V20" i="16"/>
  <c r="AF20" i="16" s="1"/>
  <c r="AP20" i="16" s="1"/>
  <c r="J21" i="19" l="1"/>
  <c r="K21" i="19" s="1"/>
  <c r="L21" i="19" s="1"/>
  <c r="O21" i="19"/>
  <c r="S21" i="19" s="1"/>
  <c r="AM20" i="18"/>
  <c r="AW20" i="18" s="1"/>
  <c r="AN20" i="18"/>
  <c r="AX20" i="18" s="1"/>
  <c r="BH20" i="18" s="1"/>
  <c r="AO20" i="18"/>
  <c r="AY20" i="18" s="1"/>
  <c r="BI20" i="18" s="1"/>
  <c r="AH20" i="18"/>
  <c r="AR20" i="18" s="1"/>
  <c r="BB20" i="18" s="1"/>
  <c r="I21" i="18"/>
  <c r="AJ20" i="18"/>
  <c r="AT20" i="18" s="1"/>
  <c r="P21" i="17"/>
  <c r="J21" i="17"/>
  <c r="K21" i="17" s="1"/>
  <c r="L21" i="17" s="1"/>
  <c r="U21" i="17"/>
  <c r="AQ21" i="17"/>
  <c r="R21" i="17"/>
  <c r="AG21" i="17"/>
  <c r="S21" i="17"/>
  <c r="V21" i="17"/>
  <c r="I21" i="16"/>
  <c r="O21" i="18" l="1"/>
  <c r="J21" i="18"/>
  <c r="K21" i="18" s="1"/>
  <c r="L21" i="18" s="1"/>
  <c r="AJ21" i="17"/>
  <c r="B22" i="17" s="1"/>
  <c r="W21" i="17"/>
  <c r="P21" i="16"/>
  <c r="AF21" i="16"/>
  <c r="Z21" i="16"/>
  <c r="V21" i="16"/>
  <c r="J21" i="16"/>
  <c r="K21" i="16" s="1"/>
  <c r="L21" i="16" s="1"/>
  <c r="AG21" i="16"/>
  <c r="AQ21" i="16"/>
  <c r="U21" i="16"/>
  <c r="R21" i="16"/>
  <c r="S21" i="16"/>
  <c r="S21" i="18" l="1"/>
  <c r="Y21" i="18"/>
  <c r="Z21" i="19"/>
  <c r="AR21" i="19" s="1"/>
  <c r="I22" i="17"/>
  <c r="Z22" i="17" s="1"/>
  <c r="AJ21" i="16"/>
  <c r="B22" i="16" s="1"/>
  <c r="AP21" i="16"/>
  <c r="H22" i="16" s="1"/>
  <c r="W21" i="16"/>
  <c r="AY21" i="19" l="1"/>
  <c r="AM21" i="19"/>
  <c r="AA21" i="19"/>
  <c r="AB21" i="19" s="1"/>
  <c r="AC21" i="19" s="1"/>
  <c r="AJ21" i="19"/>
  <c r="AD21" i="19"/>
  <c r="BI21" i="19"/>
  <c r="AK21" i="19"/>
  <c r="BB21" i="19"/>
  <c r="B22" i="19" s="1"/>
  <c r="AH21" i="19"/>
  <c r="AN21" i="19"/>
  <c r="D22" i="18"/>
  <c r="G22" i="18"/>
  <c r="Z21" i="18"/>
  <c r="E22" i="18"/>
  <c r="AQ22" i="17"/>
  <c r="J22" i="17"/>
  <c r="R22" i="17"/>
  <c r="AG22" i="17"/>
  <c r="U22" i="17"/>
  <c r="S22" i="17"/>
  <c r="V22" i="17"/>
  <c r="P22" i="17"/>
  <c r="I22" i="16"/>
  <c r="AR21" i="16"/>
  <c r="BB21" i="18" l="1"/>
  <c r="B22" i="18" s="1"/>
  <c r="BH21" i="18"/>
  <c r="H22" i="18" s="1"/>
  <c r="I22" i="19"/>
  <c r="AO21" i="19"/>
  <c r="BJ21" i="19"/>
  <c r="AN21" i="18"/>
  <c r="AM21" i="18"/>
  <c r="AK21" i="18"/>
  <c r="AH21" i="18"/>
  <c r="AJ21" i="18"/>
  <c r="I22" i="18"/>
  <c r="AD21" i="18"/>
  <c r="AY21" i="18"/>
  <c r="BI21" i="18"/>
  <c r="AA21" i="18"/>
  <c r="AB21" i="18" s="1"/>
  <c r="AC21" i="18" s="1"/>
  <c r="BJ21" i="18"/>
  <c r="K22" i="17"/>
  <c r="I36" i="17"/>
  <c r="G10" i="8" s="1"/>
  <c r="W22" i="17"/>
  <c r="AJ22" i="17"/>
  <c r="B23" i="17" s="1"/>
  <c r="AF22" i="16"/>
  <c r="R22" i="16"/>
  <c r="Z22" i="16"/>
  <c r="U22" i="16"/>
  <c r="S22" i="16"/>
  <c r="J22" i="16"/>
  <c r="P22" i="16"/>
  <c r="W22" i="16" s="1"/>
  <c r="AG22" i="16"/>
  <c r="AQ22" i="16"/>
  <c r="V22" i="16"/>
  <c r="AO21" i="18" l="1"/>
  <c r="J22" i="19"/>
  <c r="K22" i="19" s="1"/>
  <c r="L22" i="19" s="1"/>
  <c r="J22" i="18"/>
  <c r="K22" i="18" s="1"/>
  <c r="L22" i="18" s="1"/>
  <c r="I23" i="17"/>
  <c r="P23" i="17" s="1"/>
  <c r="L22" i="17"/>
  <c r="I37" i="17"/>
  <c r="G11" i="8" s="1"/>
  <c r="I36" i="16"/>
  <c r="F10" i="8" s="1"/>
  <c r="K22" i="16"/>
  <c r="AJ22" i="16"/>
  <c r="AP22" i="16"/>
  <c r="H23" i="16" s="1"/>
  <c r="E23" i="18" l="1"/>
  <c r="G23" i="18"/>
  <c r="D23" i="18"/>
  <c r="Z23" i="17"/>
  <c r="V23" i="17"/>
  <c r="AG23" i="17"/>
  <c r="R23" i="17"/>
  <c r="AQ23" i="17"/>
  <c r="J23" i="17"/>
  <c r="K23" i="17" s="1"/>
  <c r="L23" i="17" s="1"/>
  <c r="U23" i="17"/>
  <c r="S23" i="17"/>
  <c r="B23" i="16"/>
  <c r="AR22" i="16"/>
  <c r="I37" i="16"/>
  <c r="F11" i="8" s="1"/>
  <c r="L22" i="16"/>
  <c r="E24" i="18" l="1"/>
  <c r="G24" i="18"/>
  <c r="D24" i="18"/>
  <c r="W23" i="17"/>
  <c r="AJ23" i="17"/>
  <c r="B24" i="17" s="1"/>
  <c r="I23" i="16"/>
  <c r="P23" i="16" s="1"/>
  <c r="I24" i="17" l="1"/>
  <c r="Z24" i="17" s="1"/>
  <c r="Z23" i="16"/>
  <c r="U23" i="16"/>
  <c r="AG23" i="16"/>
  <c r="J23" i="16"/>
  <c r="K23" i="16" s="1"/>
  <c r="L23" i="16" s="1"/>
  <c r="AQ23" i="16"/>
  <c r="S23" i="16"/>
  <c r="R23" i="16"/>
  <c r="W23" i="16" s="1"/>
  <c r="AF23" i="16"/>
  <c r="V23" i="16"/>
  <c r="S24" i="17" l="1"/>
  <c r="AG24" i="17"/>
  <c r="R24" i="17"/>
  <c r="J24" i="17"/>
  <c r="K24" i="17" s="1"/>
  <c r="L24" i="17" s="1"/>
  <c r="AQ24" i="17"/>
  <c r="U24" i="17"/>
  <c r="P24" i="17"/>
  <c r="V24" i="17"/>
  <c r="AP23" i="16"/>
  <c r="H24" i="16" s="1"/>
  <c r="AJ23" i="16"/>
  <c r="W24" i="17" l="1"/>
  <c r="AJ24" i="17"/>
  <c r="B25" i="17" s="1"/>
  <c r="B24" i="16"/>
  <c r="AR23" i="16"/>
  <c r="E25" i="18" l="1"/>
  <c r="G25" i="18"/>
  <c r="D25" i="18"/>
  <c r="I25" i="17"/>
  <c r="P25" i="17" s="1"/>
  <c r="V25" i="17"/>
  <c r="I24" i="16"/>
  <c r="P24" i="16"/>
  <c r="Z24" i="16"/>
  <c r="E26" i="18" l="1"/>
  <c r="D26" i="18"/>
  <c r="G26" i="18"/>
  <c r="Z25" i="17"/>
  <c r="U25" i="17"/>
  <c r="S25" i="17"/>
  <c r="AG25" i="17"/>
  <c r="R25" i="17"/>
  <c r="J25" i="17"/>
  <c r="K25" i="17" s="1"/>
  <c r="L25" i="17" s="1"/>
  <c r="AQ25" i="17"/>
  <c r="AF24" i="16"/>
  <c r="AQ24" i="16"/>
  <c r="R24" i="16"/>
  <c r="U24" i="16"/>
  <c r="J24" i="16"/>
  <c r="K24" i="16" s="1"/>
  <c r="L24" i="16" s="1"/>
  <c r="AG24" i="16"/>
  <c r="S24" i="16"/>
  <c r="V24" i="16"/>
  <c r="E27" i="18" l="1"/>
  <c r="G27" i="18"/>
  <c r="D27" i="18"/>
  <c r="W25" i="17"/>
  <c r="AJ25" i="17"/>
  <c r="B26" i="17" s="1"/>
  <c r="W24" i="16"/>
  <c r="AJ24" i="16"/>
  <c r="AP24" i="16"/>
  <c r="H25" i="16" s="1"/>
  <c r="E28" i="18" l="1"/>
  <c r="D28" i="18"/>
  <c r="G28" i="18"/>
  <c r="I26" i="17"/>
  <c r="Z26" i="17" s="1"/>
  <c r="B25" i="16"/>
  <c r="AR24" i="16"/>
  <c r="J26" i="17" l="1"/>
  <c r="K26" i="17" s="1"/>
  <c r="L26" i="17" s="1"/>
  <c r="U26" i="17"/>
  <c r="AG26" i="17"/>
  <c r="S26" i="17"/>
  <c r="R26" i="17"/>
  <c r="AQ26" i="17"/>
  <c r="V26" i="17"/>
  <c r="P26" i="17"/>
  <c r="I25" i="16"/>
  <c r="P25" i="16" s="1"/>
  <c r="W26" i="17" l="1"/>
  <c r="AJ26" i="17"/>
  <c r="B27" i="17" s="1"/>
  <c r="Z25" i="16"/>
  <c r="R25" i="16"/>
  <c r="W25" i="16" s="1"/>
  <c r="AG25" i="16"/>
  <c r="J25" i="16"/>
  <c r="K25" i="16" s="1"/>
  <c r="L25" i="16" s="1"/>
  <c r="AQ25" i="16"/>
  <c r="U25" i="16"/>
  <c r="S25" i="16"/>
  <c r="AF25" i="16"/>
  <c r="V25" i="16"/>
  <c r="I27" i="17" l="1"/>
  <c r="P27" i="17" s="1"/>
  <c r="AP25" i="16"/>
  <c r="H26" i="16" s="1"/>
  <c r="AJ25" i="16"/>
  <c r="Z27" i="17" l="1"/>
  <c r="AQ27" i="17"/>
  <c r="J27" i="17"/>
  <c r="K27" i="17" s="1"/>
  <c r="L27" i="17" s="1"/>
  <c r="S27" i="17"/>
  <c r="R27" i="17"/>
  <c r="U27" i="17"/>
  <c r="AG27" i="17"/>
  <c r="V27" i="17"/>
  <c r="B26" i="16"/>
  <c r="AR25" i="16"/>
  <c r="W27" i="17" l="1"/>
  <c r="AJ27" i="17"/>
  <c r="B28" i="17" s="1"/>
  <c r="I26" i="16"/>
  <c r="P26" i="16" s="1"/>
  <c r="G29" i="18" l="1"/>
  <c r="E29" i="18"/>
  <c r="D29" i="18"/>
  <c r="I28" i="17"/>
  <c r="P28" i="17" s="1"/>
  <c r="Z26" i="16"/>
  <c r="AQ26" i="16"/>
  <c r="J26" i="16"/>
  <c r="K26" i="16" s="1"/>
  <c r="L26" i="16" s="1"/>
  <c r="S26" i="16"/>
  <c r="R26" i="16"/>
  <c r="AG26" i="16"/>
  <c r="U26" i="16"/>
  <c r="V26" i="16"/>
  <c r="AF26" i="16"/>
  <c r="W26" i="16" l="1"/>
  <c r="G30" i="18"/>
  <c r="D30" i="18"/>
  <c r="E30" i="18"/>
  <c r="Z28" i="17"/>
  <c r="AQ28" i="17"/>
  <c r="U28" i="17"/>
  <c r="S28" i="17"/>
  <c r="J28" i="17"/>
  <c r="K28" i="17" s="1"/>
  <c r="L28" i="17" s="1"/>
  <c r="AG28" i="17"/>
  <c r="R28" i="17"/>
  <c r="V28" i="17"/>
  <c r="AP26" i="16"/>
  <c r="H27" i="16" s="1"/>
  <c r="AJ26" i="16"/>
  <c r="D31" i="18" l="1"/>
  <c r="G31" i="18"/>
  <c r="E31" i="18"/>
  <c r="W28" i="17"/>
  <c r="AJ28" i="17"/>
  <c r="B29" i="17" s="1"/>
  <c r="B27" i="16"/>
  <c r="AR26" i="16"/>
  <c r="E32" i="18" l="1"/>
  <c r="G32" i="18"/>
  <c r="D32" i="18"/>
  <c r="I29" i="17"/>
  <c r="P29" i="17" s="1"/>
  <c r="I27" i="16"/>
  <c r="P27" i="16" s="1"/>
  <c r="Z29" i="17" l="1"/>
  <c r="V29" i="17"/>
  <c r="J29" i="17"/>
  <c r="K29" i="17" s="1"/>
  <c r="L29" i="17" s="1"/>
  <c r="U29" i="17"/>
  <c r="AQ29" i="17"/>
  <c r="AG29" i="17"/>
  <c r="R29" i="17"/>
  <c r="S29" i="17"/>
  <c r="Z27" i="16"/>
  <c r="R27" i="16"/>
  <c r="W27" i="16" s="1"/>
  <c r="S27" i="16"/>
  <c r="AQ27" i="16"/>
  <c r="U27" i="16"/>
  <c r="J27" i="16"/>
  <c r="K27" i="16" s="1"/>
  <c r="L27" i="16" s="1"/>
  <c r="AG27" i="16"/>
  <c r="V27" i="16"/>
  <c r="AF27" i="16"/>
  <c r="W29" i="17" l="1"/>
  <c r="AJ29" i="17"/>
  <c r="B30" i="17" s="1"/>
  <c r="AJ27" i="16"/>
  <c r="AP27" i="16"/>
  <c r="H28" i="16" s="1"/>
  <c r="I30" i="17" l="1"/>
  <c r="Z30" i="17" s="1"/>
  <c r="B28" i="16"/>
  <c r="AR27" i="16"/>
  <c r="AQ30" i="17" l="1"/>
  <c r="J30" i="17"/>
  <c r="K30" i="17" s="1"/>
  <c r="L30" i="17" s="1"/>
  <c r="U30" i="17"/>
  <c r="S30" i="17"/>
  <c r="AG30" i="17"/>
  <c r="R30" i="17"/>
  <c r="P30" i="17"/>
  <c r="V30" i="17"/>
  <c r="I28" i="16"/>
  <c r="P28" i="16"/>
  <c r="Z28" i="16"/>
  <c r="W30" i="17" l="1"/>
  <c r="AJ30" i="17"/>
  <c r="B31" i="17" s="1"/>
  <c r="AF28" i="16"/>
  <c r="AG28" i="16"/>
  <c r="R28" i="16"/>
  <c r="AQ28" i="16"/>
  <c r="U28" i="16"/>
  <c r="J28" i="16"/>
  <c r="K28" i="16" s="1"/>
  <c r="L28" i="16" s="1"/>
  <c r="S28" i="16"/>
  <c r="V28" i="16"/>
  <c r="W28" i="16" l="1"/>
  <c r="I31" i="17"/>
  <c r="Z31" i="17" s="1"/>
  <c r="AP28" i="16"/>
  <c r="H29" i="16" s="1"/>
  <c r="AJ28" i="16"/>
  <c r="V31" i="17" l="1"/>
  <c r="G13" i="8" s="1"/>
  <c r="AG31" i="17"/>
  <c r="R31" i="17"/>
  <c r="AQ31" i="17"/>
  <c r="J31" i="17"/>
  <c r="K31" i="17" s="1"/>
  <c r="L31" i="17" s="1"/>
  <c r="I34" i="17" s="1"/>
  <c r="G8" i="8" s="1"/>
  <c r="U31" i="17"/>
  <c r="S31" i="17"/>
  <c r="I40" i="17"/>
  <c r="P31" i="17"/>
  <c r="G12" i="8" s="1"/>
  <c r="B29" i="16"/>
  <c r="AR28" i="16"/>
  <c r="Y32" i="19" l="1"/>
  <c r="W31" i="17"/>
  <c r="AJ31" i="17"/>
  <c r="B32" i="17" s="1"/>
  <c r="H32" i="17"/>
  <c r="I29" i="16"/>
  <c r="Z29" i="16" s="1"/>
  <c r="I32" i="17" l="1"/>
  <c r="G6" i="8" s="1"/>
  <c r="P29" i="16"/>
  <c r="U29" i="16"/>
  <c r="R29" i="16"/>
  <c r="S29" i="16"/>
  <c r="AQ29" i="16"/>
  <c r="AG29" i="16"/>
  <c r="J29" i="16"/>
  <c r="K29" i="16" s="1"/>
  <c r="L29" i="16" s="1"/>
  <c r="V29" i="16"/>
  <c r="AF29" i="16"/>
  <c r="H32" i="19" l="1"/>
  <c r="I39" i="17"/>
  <c r="I38" i="17"/>
  <c r="I33" i="17"/>
  <c r="W29" i="16"/>
  <c r="AP29" i="16"/>
  <c r="H30" i="16" s="1"/>
  <c r="AJ29" i="16"/>
  <c r="I35" i="17" l="1"/>
  <c r="G9" i="8" s="1"/>
  <c r="G7" i="8"/>
  <c r="B30" i="16"/>
  <c r="AR29" i="16"/>
  <c r="I30" i="16" l="1"/>
  <c r="P30" i="16" l="1"/>
  <c r="AG30" i="16"/>
  <c r="R30" i="16"/>
  <c r="S30" i="16"/>
  <c r="AQ30" i="16"/>
  <c r="U30" i="16"/>
  <c r="J30" i="16"/>
  <c r="K30" i="16" s="1"/>
  <c r="L30" i="16" s="1"/>
  <c r="AF30" i="16"/>
  <c r="V30" i="16"/>
  <c r="Z30" i="16"/>
  <c r="W30" i="16" l="1"/>
  <c r="AP30" i="16"/>
  <c r="H31" i="16" s="1"/>
  <c r="AJ30" i="16"/>
  <c r="B31" i="16" l="1"/>
  <c r="AR30" i="16"/>
  <c r="I31" i="16" l="1"/>
  <c r="P31" i="16"/>
  <c r="F12" i="8" s="1"/>
  <c r="Z31" i="16" l="1"/>
  <c r="AQ31" i="16"/>
  <c r="J31" i="16"/>
  <c r="K31" i="16" s="1"/>
  <c r="L31" i="16" s="1"/>
  <c r="I34" i="16" s="1"/>
  <c r="F8" i="8" s="1"/>
  <c r="R31" i="16"/>
  <c r="S31" i="16"/>
  <c r="U31" i="16"/>
  <c r="AG31" i="16"/>
  <c r="I40" i="16"/>
  <c r="V31" i="16"/>
  <c r="F13" i="8" s="1"/>
  <c r="AF31" i="16"/>
  <c r="W31" i="16" l="1"/>
  <c r="AP31" i="16"/>
  <c r="H32" i="16" s="1"/>
  <c r="AJ31" i="16"/>
  <c r="B32" i="16" l="1"/>
  <c r="I32" i="16" s="1"/>
  <c r="F6" i="8" s="1"/>
  <c r="AR31" i="16"/>
  <c r="I39" i="16" l="1"/>
  <c r="I33" i="16"/>
  <c r="I38" i="16"/>
  <c r="I35" i="16" l="1"/>
  <c r="F9" i="8" s="1"/>
  <c r="F7" i="8"/>
  <c r="O14" i="13"/>
  <c r="N14" i="13"/>
  <c r="O13" i="13"/>
  <c r="N13" i="13"/>
  <c r="O12" i="13"/>
  <c r="N12" i="13"/>
  <c r="N12" i="15" s="1"/>
  <c r="O11" i="13"/>
  <c r="N11" i="13"/>
  <c r="O10" i="13"/>
  <c r="N10" i="13"/>
  <c r="O9" i="13"/>
  <c r="N9" i="13"/>
  <c r="O8" i="13"/>
  <c r="N8" i="13"/>
  <c r="O7" i="13"/>
  <c r="N7" i="13"/>
  <c r="O6" i="13"/>
  <c r="N6" i="13"/>
  <c r="O5" i="13"/>
  <c r="N5" i="13"/>
  <c r="O4" i="13"/>
  <c r="N4" i="13"/>
  <c r="N4" i="14" s="1"/>
  <c r="AQ20" i="15"/>
  <c r="W20" i="15"/>
  <c r="T20" i="15"/>
  <c r="R20" i="15"/>
  <c r="H20" i="15"/>
  <c r="G20" i="15"/>
  <c r="X20" i="15" s="1"/>
  <c r="E20" i="15"/>
  <c r="D20" i="15"/>
  <c r="D21" i="15" s="1"/>
  <c r="B20" i="15"/>
  <c r="AY19" i="15"/>
  <c r="Z19" i="15"/>
  <c r="R19" i="15"/>
  <c r="O14" i="15"/>
  <c r="N14" i="15"/>
  <c r="H14" i="15"/>
  <c r="G14" i="15"/>
  <c r="E14" i="15"/>
  <c r="D14" i="15"/>
  <c r="B14" i="15"/>
  <c r="A14" i="15"/>
  <c r="A31" i="15" s="1"/>
  <c r="H13" i="15"/>
  <c r="G13" i="15"/>
  <c r="E13" i="15"/>
  <c r="D13" i="15"/>
  <c r="B13" i="15"/>
  <c r="A13" i="15"/>
  <c r="A30" i="15" s="1"/>
  <c r="H12" i="15"/>
  <c r="G12" i="15"/>
  <c r="E12" i="15"/>
  <c r="D12" i="15"/>
  <c r="B12" i="15"/>
  <c r="A12" i="15"/>
  <c r="A29" i="15" s="1"/>
  <c r="N29" i="15" s="1"/>
  <c r="H11" i="15"/>
  <c r="G11" i="15"/>
  <c r="E11" i="15"/>
  <c r="D11" i="15"/>
  <c r="B11" i="15"/>
  <c r="A11" i="15"/>
  <c r="A28" i="15" s="1"/>
  <c r="O10" i="15"/>
  <c r="N10" i="15"/>
  <c r="H10" i="15"/>
  <c r="G10" i="15"/>
  <c r="E10" i="15"/>
  <c r="D10" i="15"/>
  <c r="B10" i="15"/>
  <c r="A10" i="15"/>
  <c r="A27" i="15" s="1"/>
  <c r="H9" i="15"/>
  <c r="G9" i="15"/>
  <c r="E9" i="15"/>
  <c r="D9" i="15"/>
  <c r="B9" i="15"/>
  <c r="A9" i="15"/>
  <c r="A26" i="15" s="1"/>
  <c r="H8" i="15"/>
  <c r="G8" i="15"/>
  <c r="E8" i="15"/>
  <c r="D8" i="15"/>
  <c r="B8" i="15"/>
  <c r="A8" i="15"/>
  <c r="A25" i="15" s="1"/>
  <c r="H7" i="15"/>
  <c r="G7" i="15"/>
  <c r="E7" i="15"/>
  <c r="D7" i="15"/>
  <c r="B7" i="15"/>
  <c r="A7" i="15"/>
  <c r="A24" i="15" s="1"/>
  <c r="O6" i="15"/>
  <c r="N6" i="15"/>
  <c r="H6" i="15"/>
  <c r="G6" i="15"/>
  <c r="G23" i="15" s="1"/>
  <c r="E6" i="15"/>
  <c r="E23" i="15" s="1"/>
  <c r="D6" i="15"/>
  <c r="D23" i="15" s="1"/>
  <c r="B6" i="15"/>
  <c r="B23" i="15" s="1"/>
  <c r="A6" i="15"/>
  <c r="A23" i="15" s="1"/>
  <c r="H5" i="15"/>
  <c r="G5" i="15"/>
  <c r="E5" i="15"/>
  <c r="D5" i="15"/>
  <c r="B5" i="15"/>
  <c r="A5" i="15"/>
  <c r="A22" i="15" s="1"/>
  <c r="H4" i="15"/>
  <c r="G4" i="15"/>
  <c r="E4" i="15"/>
  <c r="D4" i="15"/>
  <c r="B4" i="15"/>
  <c r="A4" i="15"/>
  <c r="A21" i="15" s="1"/>
  <c r="H3" i="15"/>
  <c r="H19" i="15" s="1"/>
  <c r="G3" i="15"/>
  <c r="G19" i="15" s="1"/>
  <c r="F3" i="15"/>
  <c r="F19" i="15" s="1"/>
  <c r="E3" i="15"/>
  <c r="E19" i="15" s="1"/>
  <c r="D3" i="15"/>
  <c r="D19" i="15" s="1"/>
  <c r="C3" i="15"/>
  <c r="C19" i="15" s="1"/>
  <c r="B3" i="15"/>
  <c r="B19" i="15" s="1"/>
  <c r="AH19" i="15" s="1"/>
  <c r="AR19" i="15" s="1"/>
  <c r="A3" i="15"/>
  <c r="H2" i="15"/>
  <c r="H18" i="15" s="1"/>
  <c r="Y18" i="15" s="1"/>
  <c r="G2" i="15"/>
  <c r="G18" i="15" s="1"/>
  <c r="F2" i="15"/>
  <c r="F18" i="15" s="1"/>
  <c r="AL18" i="15" s="1"/>
  <c r="AV18" i="15" s="1"/>
  <c r="E2" i="15"/>
  <c r="E18" i="15" s="1"/>
  <c r="D2" i="15"/>
  <c r="D18" i="15" s="1"/>
  <c r="U18" i="15" s="1"/>
  <c r="C2" i="15"/>
  <c r="C18" i="15" s="1"/>
  <c r="B2" i="15"/>
  <c r="B18" i="15" s="1"/>
  <c r="A21" i="14"/>
  <c r="N21" i="14" s="1"/>
  <c r="AS20" i="14"/>
  <c r="AQ20" i="14"/>
  <c r="BA20" i="14" s="1"/>
  <c r="W20" i="14"/>
  <c r="T20" i="14"/>
  <c r="S20" i="14"/>
  <c r="R20" i="14"/>
  <c r="H20" i="14"/>
  <c r="Y20" i="14" s="1"/>
  <c r="G20" i="14"/>
  <c r="E20" i="14"/>
  <c r="V20" i="14" s="1"/>
  <c r="D20" i="14"/>
  <c r="U20" i="14" s="1"/>
  <c r="B20" i="14"/>
  <c r="BB19" i="14"/>
  <c r="AY19" i="14"/>
  <c r="BI19" i="14" s="1"/>
  <c r="AQ19" i="14"/>
  <c r="Z19" i="14"/>
  <c r="R19" i="14"/>
  <c r="O14" i="14"/>
  <c r="N14" i="14"/>
  <c r="H14" i="14"/>
  <c r="G14" i="14"/>
  <c r="E14" i="14"/>
  <c r="D14" i="14"/>
  <c r="B14" i="14"/>
  <c r="A14" i="14"/>
  <c r="A31" i="14" s="1"/>
  <c r="AG31" i="14" s="1"/>
  <c r="AQ31" i="14" s="1"/>
  <c r="BA31" i="14" s="1"/>
  <c r="H13" i="14"/>
  <c r="G13" i="14"/>
  <c r="E13" i="14"/>
  <c r="D13" i="14"/>
  <c r="B13" i="14"/>
  <c r="A13" i="14"/>
  <c r="A30" i="14" s="1"/>
  <c r="H12" i="14"/>
  <c r="G12" i="14"/>
  <c r="E12" i="14"/>
  <c r="D12" i="14"/>
  <c r="B12" i="14"/>
  <c r="A12" i="14"/>
  <c r="A29" i="14" s="1"/>
  <c r="O11" i="14"/>
  <c r="H11" i="14"/>
  <c r="G11" i="14"/>
  <c r="E11" i="14"/>
  <c r="D11" i="14"/>
  <c r="B11" i="14"/>
  <c r="A11" i="14"/>
  <c r="A28" i="14" s="1"/>
  <c r="AG28" i="14" s="1"/>
  <c r="AQ28" i="14" s="1"/>
  <c r="BA28" i="14" s="1"/>
  <c r="O10" i="14"/>
  <c r="N10" i="14"/>
  <c r="H10" i="14"/>
  <c r="G10" i="14"/>
  <c r="E10" i="14"/>
  <c r="D10" i="14"/>
  <c r="B10" i="14"/>
  <c r="A10" i="14"/>
  <c r="A27" i="14" s="1"/>
  <c r="O9" i="14"/>
  <c r="H9" i="14"/>
  <c r="G9" i="14"/>
  <c r="E9" i="14"/>
  <c r="D9" i="14"/>
  <c r="B9" i="14"/>
  <c r="A9" i="14"/>
  <c r="A26" i="14" s="1"/>
  <c r="R26" i="14" s="1"/>
  <c r="H8" i="14"/>
  <c r="G8" i="14"/>
  <c r="E8" i="14"/>
  <c r="D8" i="14"/>
  <c r="B8" i="14"/>
  <c r="A8" i="14"/>
  <c r="A25" i="14" s="1"/>
  <c r="O7" i="14"/>
  <c r="H7" i="14"/>
  <c r="G7" i="14"/>
  <c r="E7" i="14"/>
  <c r="D7" i="14"/>
  <c r="B7" i="14"/>
  <c r="A7" i="14"/>
  <c r="A24" i="14" s="1"/>
  <c r="O6" i="14"/>
  <c r="N6" i="14"/>
  <c r="H6" i="14"/>
  <c r="G6" i="14"/>
  <c r="E6" i="14"/>
  <c r="D6" i="14"/>
  <c r="B6" i="14"/>
  <c r="A6" i="14"/>
  <c r="A23" i="14" s="1"/>
  <c r="N23" i="14" s="1"/>
  <c r="O5" i="14"/>
  <c r="H5" i="14"/>
  <c r="G5" i="14"/>
  <c r="E5" i="14"/>
  <c r="D5" i="14"/>
  <c r="B5" i="14"/>
  <c r="A5" i="14"/>
  <c r="A22" i="14" s="1"/>
  <c r="H4" i="14"/>
  <c r="G4" i="14"/>
  <c r="E4" i="14"/>
  <c r="D4" i="14"/>
  <c r="B4" i="14"/>
  <c r="A4" i="14"/>
  <c r="H3" i="14"/>
  <c r="H19" i="14" s="1"/>
  <c r="G3" i="14"/>
  <c r="G19" i="14" s="1"/>
  <c r="X19" i="14" s="1"/>
  <c r="F3" i="14"/>
  <c r="F19" i="14" s="1"/>
  <c r="W19" i="14" s="1"/>
  <c r="E3" i="14"/>
  <c r="E19" i="14" s="1"/>
  <c r="AK19" i="14" s="1"/>
  <c r="AU19" i="14" s="1"/>
  <c r="BE19" i="14" s="1"/>
  <c r="D3" i="14"/>
  <c r="D19" i="14" s="1"/>
  <c r="U19" i="14" s="1"/>
  <c r="C3" i="14"/>
  <c r="C19" i="14" s="1"/>
  <c r="B3" i="14"/>
  <c r="B19" i="14" s="1"/>
  <c r="AH19" i="14" s="1"/>
  <c r="AR19" i="14" s="1"/>
  <c r="A3" i="14"/>
  <c r="H2" i="14"/>
  <c r="H18" i="14" s="1"/>
  <c r="G2" i="14"/>
  <c r="G18" i="14" s="1"/>
  <c r="X18" i="14" s="1"/>
  <c r="F2" i="14"/>
  <c r="F18" i="14" s="1"/>
  <c r="W18" i="14" s="1"/>
  <c r="E2" i="14"/>
  <c r="E18" i="14" s="1"/>
  <c r="D2" i="14"/>
  <c r="D18" i="14" s="1"/>
  <c r="C2" i="14"/>
  <c r="C18" i="14" s="1"/>
  <c r="T18" i="14" s="1"/>
  <c r="B2" i="14"/>
  <c r="B18" i="14" s="1"/>
  <c r="AH18" i="14" s="1"/>
  <c r="AR18" i="14" s="1"/>
  <c r="BB18" i="14" s="1"/>
  <c r="U20" i="13"/>
  <c r="R20" i="13"/>
  <c r="H20" i="13"/>
  <c r="Y20" i="13" s="1"/>
  <c r="G20" i="13"/>
  <c r="X20" i="13" s="1"/>
  <c r="E20" i="13"/>
  <c r="V20" i="13" s="1"/>
  <c r="D20" i="13"/>
  <c r="B20" i="13"/>
  <c r="Z19" i="13"/>
  <c r="R19" i="13"/>
  <c r="C18" i="13"/>
  <c r="T18" i="13" s="1"/>
  <c r="H14" i="13"/>
  <c r="G14" i="13"/>
  <c r="F14" i="13"/>
  <c r="E14" i="13"/>
  <c r="D14" i="13"/>
  <c r="C14" i="13"/>
  <c r="B14" i="13"/>
  <c r="A14" i="13"/>
  <c r="A31" i="13" s="1"/>
  <c r="AG31" i="13" s="1"/>
  <c r="H13" i="13"/>
  <c r="G13" i="13"/>
  <c r="F13" i="13"/>
  <c r="E13" i="13"/>
  <c r="D13" i="13"/>
  <c r="C13" i="13"/>
  <c r="B13" i="13"/>
  <c r="A13" i="13"/>
  <c r="A30" i="13" s="1"/>
  <c r="H12" i="13"/>
  <c r="G12" i="13"/>
  <c r="F12" i="13"/>
  <c r="E12" i="13"/>
  <c r="D12" i="13"/>
  <c r="C12" i="13"/>
  <c r="B12" i="13"/>
  <c r="A12" i="13"/>
  <c r="A29" i="13" s="1"/>
  <c r="AG29" i="13" s="1"/>
  <c r="H11" i="13"/>
  <c r="G11" i="13"/>
  <c r="F11" i="13"/>
  <c r="E11" i="13"/>
  <c r="D11" i="13"/>
  <c r="C11" i="13"/>
  <c r="B11" i="13"/>
  <c r="A11" i="13"/>
  <c r="A28" i="13" s="1"/>
  <c r="R28" i="13" s="1"/>
  <c r="H10" i="13"/>
  <c r="G10" i="13"/>
  <c r="F10" i="13"/>
  <c r="E10" i="13"/>
  <c r="D10" i="13"/>
  <c r="C10" i="13"/>
  <c r="B10" i="13"/>
  <c r="A10" i="13"/>
  <c r="A27" i="13" s="1"/>
  <c r="AG27" i="13" s="1"/>
  <c r="H9" i="13"/>
  <c r="G9" i="13"/>
  <c r="F9" i="13"/>
  <c r="E9" i="13"/>
  <c r="D9" i="13"/>
  <c r="C9" i="13"/>
  <c r="B9" i="13"/>
  <c r="A9" i="13"/>
  <c r="A26" i="13" s="1"/>
  <c r="R26" i="13" s="1"/>
  <c r="H8" i="13"/>
  <c r="G8" i="13"/>
  <c r="F8" i="13"/>
  <c r="E8" i="13"/>
  <c r="D8" i="13"/>
  <c r="C8" i="13"/>
  <c r="B8" i="13"/>
  <c r="A8" i="13"/>
  <c r="A25" i="13" s="1"/>
  <c r="H7" i="13"/>
  <c r="G7" i="13"/>
  <c r="F7" i="13"/>
  <c r="E7" i="13"/>
  <c r="D7" i="13"/>
  <c r="C7" i="13"/>
  <c r="B7" i="13"/>
  <c r="A7" i="13"/>
  <c r="A24" i="13" s="1"/>
  <c r="R24" i="13" s="1"/>
  <c r="H6" i="13"/>
  <c r="G6" i="13"/>
  <c r="F6" i="13"/>
  <c r="E6" i="13"/>
  <c r="D6" i="13"/>
  <c r="C6" i="13"/>
  <c r="B6" i="13"/>
  <c r="A6" i="13"/>
  <c r="A23" i="13" s="1"/>
  <c r="R23" i="13" s="1"/>
  <c r="H5" i="13"/>
  <c r="G5" i="13"/>
  <c r="F5" i="13"/>
  <c r="E5" i="13"/>
  <c r="D5" i="13"/>
  <c r="C5" i="13"/>
  <c r="B5" i="13"/>
  <c r="A5" i="13"/>
  <c r="A22" i="13" s="1"/>
  <c r="H4" i="13"/>
  <c r="H21" i="13" s="1"/>
  <c r="G4" i="13"/>
  <c r="F4" i="13"/>
  <c r="E4" i="13"/>
  <c r="D4" i="13"/>
  <c r="C4" i="13"/>
  <c r="B4" i="13"/>
  <c r="A4" i="13"/>
  <c r="A21" i="13" s="1"/>
  <c r="H3" i="13"/>
  <c r="H19" i="13" s="1"/>
  <c r="G3" i="13"/>
  <c r="G19" i="13" s="1"/>
  <c r="X19" i="13" s="1"/>
  <c r="F3" i="13"/>
  <c r="F19" i="13" s="1"/>
  <c r="W19" i="13" s="1"/>
  <c r="E3" i="13"/>
  <c r="E19" i="13" s="1"/>
  <c r="D3" i="13"/>
  <c r="D19" i="13" s="1"/>
  <c r="C3" i="13"/>
  <c r="C19" i="13" s="1"/>
  <c r="AI19" i="13" s="1"/>
  <c r="B3" i="13"/>
  <c r="B19" i="13" s="1"/>
  <c r="A3" i="13"/>
  <c r="H2" i="13"/>
  <c r="H18" i="13" s="1"/>
  <c r="G2" i="13"/>
  <c r="G18" i="13" s="1"/>
  <c r="F2" i="13"/>
  <c r="F18" i="13" s="1"/>
  <c r="W18" i="13" s="1"/>
  <c r="E2" i="13"/>
  <c r="E18" i="13" s="1"/>
  <c r="V18" i="13" s="1"/>
  <c r="D2" i="13"/>
  <c r="D18" i="13" s="1"/>
  <c r="C2" i="13"/>
  <c r="B2" i="13"/>
  <c r="B18" i="13" s="1"/>
  <c r="AH18" i="13" s="1"/>
  <c r="A13" i="12"/>
  <c r="A30" i="12" s="1"/>
  <c r="B13" i="12"/>
  <c r="D13" i="12"/>
  <c r="E13" i="12"/>
  <c r="G13" i="12"/>
  <c r="H13" i="12"/>
  <c r="N13" i="12"/>
  <c r="O13" i="12"/>
  <c r="A14" i="12"/>
  <c r="A31" i="12" s="1"/>
  <c r="N31" i="12" s="1"/>
  <c r="B14" i="12"/>
  <c r="D14" i="12"/>
  <c r="E14" i="12"/>
  <c r="G14" i="12"/>
  <c r="H14" i="12"/>
  <c r="N14" i="12"/>
  <c r="O14" i="12"/>
  <c r="A13" i="10"/>
  <c r="A30" i="10" s="1"/>
  <c r="B13" i="10"/>
  <c r="D13" i="10"/>
  <c r="E13" i="10"/>
  <c r="G13" i="10"/>
  <c r="H13" i="10"/>
  <c r="N13" i="10"/>
  <c r="O13" i="10"/>
  <c r="A14" i="10"/>
  <c r="A31" i="10" s="1"/>
  <c r="B14" i="10"/>
  <c r="D14" i="10"/>
  <c r="E14" i="10"/>
  <c r="G14" i="10"/>
  <c r="H14" i="10"/>
  <c r="N14" i="10"/>
  <c r="O14" i="10"/>
  <c r="A30" i="9"/>
  <c r="AG30" i="9" s="1"/>
  <c r="R30" i="9"/>
  <c r="A13" i="9"/>
  <c r="B13" i="9"/>
  <c r="C13" i="9"/>
  <c r="D13" i="9"/>
  <c r="E13" i="9"/>
  <c r="F13" i="9"/>
  <c r="G13" i="9"/>
  <c r="H13" i="9"/>
  <c r="A14" i="9"/>
  <c r="A31" i="9" s="1"/>
  <c r="N31" i="9" s="1"/>
  <c r="B14" i="9"/>
  <c r="C14" i="9"/>
  <c r="D14" i="9"/>
  <c r="E14" i="9"/>
  <c r="F14" i="9"/>
  <c r="G14" i="9"/>
  <c r="H14" i="9"/>
  <c r="A13" i="7"/>
  <c r="A30" i="7" s="1"/>
  <c r="O30" i="7" s="1"/>
  <c r="Y30" i="7" s="1"/>
  <c r="B13" i="7"/>
  <c r="C13" i="7"/>
  <c r="D13" i="7"/>
  <c r="E13" i="7"/>
  <c r="F13" i="7"/>
  <c r="G13" i="7"/>
  <c r="H13" i="7"/>
  <c r="A14" i="7"/>
  <c r="A31" i="7" s="1"/>
  <c r="O31" i="7" s="1"/>
  <c r="Y31" i="7" s="1"/>
  <c r="B14" i="7"/>
  <c r="C14" i="7"/>
  <c r="D14" i="7"/>
  <c r="E14" i="7"/>
  <c r="F14" i="7"/>
  <c r="G14" i="7"/>
  <c r="H14" i="7"/>
  <c r="A13" i="4"/>
  <c r="A30" i="4" s="1"/>
  <c r="B13" i="4"/>
  <c r="C13" i="4"/>
  <c r="D13" i="4"/>
  <c r="E13" i="4"/>
  <c r="F13" i="4"/>
  <c r="G13" i="4"/>
  <c r="H13" i="4"/>
  <c r="A14" i="4"/>
  <c r="A31" i="4" s="1"/>
  <c r="B14" i="4"/>
  <c r="C14" i="4"/>
  <c r="D14" i="4"/>
  <c r="E14" i="4"/>
  <c r="F14" i="4"/>
  <c r="G14" i="4"/>
  <c r="H14" i="4"/>
  <c r="O31" i="1"/>
  <c r="A31" i="1"/>
  <c r="A30" i="1"/>
  <c r="O30" i="1" s="1"/>
  <c r="J13" i="1"/>
  <c r="K13" i="1"/>
  <c r="M13" i="1"/>
  <c r="N13" i="1"/>
  <c r="P13" i="1"/>
  <c r="Q13" i="1"/>
  <c r="J14" i="1"/>
  <c r="K14" i="1"/>
  <c r="M14" i="1"/>
  <c r="N14" i="1"/>
  <c r="P14" i="1"/>
  <c r="Q14" i="1"/>
  <c r="N8" i="19" l="1"/>
  <c r="N8" i="18"/>
  <c r="N28" i="14"/>
  <c r="N5" i="14"/>
  <c r="N5" i="19"/>
  <c r="N5" i="18"/>
  <c r="O9" i="15"/>
  <c r="O9" i="18"/>
  <c r="O9" i="19"/>
  <c r="AM19" i="13"/>
  <c r="N6" i="19"/>
  <c r="N6" i="18"/>
  <c r="N10" i="19"/>
  <c r="N10" i="18"/>
  <c r="N14" i="19"/>
  <c r="N14" i="18"/>
  <c r="N4" i="19"/>
  <c r="N4" i="18"/>
  <c r="O4" i="15"/>
  <c r="O4" i="18"/>
  <c r="O4" i="19"/>
  <c r="N8" i="15"/>
  <c r="N9" i="14"/>
  <c r="N9" i="19"/>
  <c r="N9" i="18"/>
  <c r="O13" i="15"/>
  <c r="O13" i="18"/>
  <c r="O13" i="19"/>
  <c r="I20" i="13"/>
  <c r="Z20" i="13" s="1"/>
  <c r="AN20" i="13" s="1"/>
  <c r="AG23" i="13"/>
  <c r="O13" i="14"/>
  <c r="O6" i="18"/>
  <c r="O6" i="19"/>
  <c r="O10" i="18"/>
  <c r="O10" i="19"/>
  <c r="O14" i="18"/>
  <c r="O14" i="19"/>
  <c r="N12" i="19"/>
  <c r="N12" i="18"/>
  <c r="O8" i="15"/>
  <c r="O8" i="18"/>
  <c r="O8" i="19"/>
  <c r="N13" i="14"/>
  <c r="N13" i="19"/>
  <c r="N13" i="18"/>
  <c r="N12" i="14"/>
  <c r="N7" i="14"/>
  <c r="N7" i="19"/>
  <c r="N7" i="18"/>
  <c r="N11" i="14"/>
  <c r="N11" i="19"/>
  <c r="N11" i="18"/>
  <c r="N8" i="14"/>
  <c r="O12" i="15"/>
  <c r="O12" i="18"/>
  <c r="O12" i="19"/>
  <c r="O5" i="15"/>
  <c r="O5" i="18"/>
  <c r="O22" i="18" s="1"/>
  <c r="O5" i="19"/>
  <c r="O22" i="19" s="1"/>
  <c r="N4" i="15"/>
  <c r="B21" i="15"/>
  <c r="O7" i="15"/>
  <c r="O7" i="18"/>
  <c r="O7" i="19"/>
  <c r="O11" i="15"/>
  <c r="O11" i="18"/>
  <c r="O11" i="19"/>
  <c r="AI30" i="4"/>
  <c r="O30" i="4"/>
  <c r="Y30" i="4" s="1"/>
  <c r="N30" i="12"/>
  <c r="R30" i="12"/>
  <c r="S18" i="14"/>
  <c r="H21" i="15"/>
  <c r="S19" i="14"/>
  <c r="O31" i="4"/>
  <c r="Y31" i="4" s="1"/>
  <c r="AI31" i="4"/>
  <c r="R21" i="13"/>
  <c r="N21" i="13"/>
  <c r="R25" i="13"/>
  <c r="AG25" i="13"/>
  <c r="N25" i="13"/>
  <c r="AH19" i="13"/>
  <c r="S19" i="13"/>
  <c r="AJ18" i="13"/>
  <c r="U18" i="13"/>
  <c r="U19" i="13"/>
  <c r="AJ19" i="13"/>
  <c r="W19" i="15"/>
  <c r="AL19" i="15"/>
  <c r="AV19" i="15" s="1"/>
  <c r="AM18" i="15"/>
  <c r="AW18" i="15" s="1"/>
  <c r="X18" i="15"/>
  <c r="R31" i="10"/>
  <c r="N31" i="10"/>
  <c r="AG30" i="10"/>
  <c r="AQ30" i="10" s="1"/>
  <c r="BA30" i="10" s="1"/>
  <c r="N30" i="10"/>
  <c r="R30" i="10"/>
  <c r="N30" i="13"/>
  <c r="AG30" i="13"/>
  <c r="R30" i="13"/>
  <c r="AJ18" i="14"/>
  <c r="AT18" i="14" s="1"/>
  <c r="BD18" i="14" s="1"/>
  <c r="U18" i="14"/>
  <c r="AG22" i="13"/>
  <c r="R22" i="13"/>
  <c r="N22" i="13"/>
  <c r="AG30" i="12"/>
  <c r="AQ30" i="12" s="1"/>
  <c r="E21" i="14"/>
  <c r="AL19" i="13"/>
  <c r="E21" i="15"/>
  <c r="I21" i="15" s="1"/>
  <c r="O21" i="15" s="1"/>
  <c r="N30" i="9"/>
  <c r="AJ20" i="13"/>
  <c r="S19" i="15"/>
  <c r="Y20" i="15"/>
  <c r="AN18" i="15"/>
  <c r="AX18" i="15" s="1"/>
  <c r="I20" i="15"/>
  <c r="Z20" i="15" s="1"/>
  <c r="AM20" i="15" s="1"/>
  <c r="AW20" i="15" s="1"/>
  <c r="T19" i="13"/>
  <c r="D21" i="13"/>
  <c r="N23" i="13"/>
  <c r="G21" i="14"/>
  <c r="R31" i="9"/>
  <c r="S18" i="13"/>
  <c r="N27" i="13"/>
  <c r="G21" i="15"/>
  <c r="S20" i="15"/>
  <c r="D21" i="14"/>
  <c r="R28" i="14"/>
  <c r="V20" i="15"/>
  <c r="AK20" i="15" s="1"/>
  <c r="AU20" i="15" s="1"/>
  <c r="O4" i="14"/>
  <c r="O8" i="14"/>
  <c r="O12" i="14"/>
  <c r="N5" i="15"/>
  <c r="N7" i="15"/>
  <c r="N9" i="15"/>
  <c r="N11" i="15"/>
  <c r="N13" i="15"/>
  <c r="Y18" i="13"/>
  <c r="AN18" i="13"/>
  <c r="AN18" i="14"/>
  <c r="AX18" i="14" s="1"/>
  <c r="BH18" i="14" s="1"/>
  <c r="Y18" i="14"/>
  <c r="AK19" i="13"/>
  <c r="V19" i="13"/>
  <c r="N22" i="14"/>
  <c r="AG22" i="14"/>
  <c r="AQ22" i="14" s="1"/>
  <c r="BA22" i="14" s="1"/>
  <c r="AK18" i="14"/>
  <c r="AU18" i="14" s="1"/>
  <c r="BE18" i="14" s="1"/>
  <c r="V18" i="14"/>
  <c r="R22" i="14"/>
  <c r="N22" i="15"/>
  <c r="AG22" i="15"/>
  <c r="AQ22" i="15" s="1"/>
  <c r="R22" i="15"/>
  <c r="R24" i="15"/>
  <c r="AG24" i="15"/>
  <c r="AQ24" i="15" s="1"/>
  <c r="N24" i="15"/>
  <c r="N26" i="15"/>
  <c r="R26" i="15"/>
  <c r="AG26" i="15"/>
  <c r="AQ26" i="15" s="1"/>
  <c r="N28" i="15"/>
  <c r="AG28" i="15"/>
  <c r="AQ28" i="15" s="1"/>
  <c r="R28" i="15"/>
  <c r="N30" i="15"/>
  <c r="AG30" i="15"/>
  <c r="AQ30" i="15" s="1"/>
  <c r="S18" i="15"/>
  <c r="AH18" i="15"/>
  <c r="AR18" i="15" s="1"/>
  <c r="R30" i="15"/>
  <c r="AK18" i="13"/>
  <c r="E21" i="13"/>
  <c r="AM18" i="14"/>
  <c r="AW18" i="14" s="1"/>
  <c r="BG18" i="14" s="1"/>
  <c r="AN19" i="14"/>
  <c r="AX19" i="14" s="1"/>
  <c r="BH19" i="14" s="1"/>
  <c r="Y19" i="14"/>
  <c r="AM20" i="13"/>
  <c r="AL19" i="14"/>
  <c r="AV19" i="14" s="1"/>
  <c r="BF19" i="14" s="1"/>
  <c r="X20" i="14"/>
  <c r="AG21" i="15"/>
  <c r="AQ21" i="15" s="1"/>
  <c r="R21" i="15"/>
  <c r="N21" i="15"/>
  <c r="AG23" i="15"/>
  <c r="AQ23" i="15" s="1"/>
  <c r="R23" i="15"/>
  <c r="N23" i="15"/>
  <c r="AG25" i="15"/>
  <c r="AQ25" i="15" s="1"/>
  <c r="R25" i="15"/>
  <c r="N25" i="15"/>
  <c r="R27" i="15"/>
  <c r="AG27" i="15"/>
  <c r="AQ27" i="15" s="1"/>
  <c r="N27" i="15"/>
  <c r="AG29" i="15"/>
  <c r="AQ29" i="15" s="1"/>
  <c r="R29" i="15"/>
  <c r="R31" i="15"/>
  <c r="AG31" i="15"/>
  <c r="AQ31" i="15" s="1"/>
  <c r="N31" i="15"/>
  <c r="T19" i="15"/>
  <c r="AI19" i="15"/>
  <c r="AS19" i="15" s="1"/>
  <c r="AM18" i="13"/>
  <c r="X18" i="13"/>
  <c r="AL18" i="14"/>
  <c r="AV18" i="14" s="1"/>
  <c r="BF18" i="14" s="1"/>
  <c r="AN19" i="13"/>
  <c r="Y19" i="13"/>
  <c r="AL18" i="13"/>
  <c r="N28" i="13"/>
  <c r="AG28" i="13"/>
  <c r="V19" i="14"/>
  <c r="R29" i="13"/>
  <c r="N29" i="13"/>
  <c r="AM19" i="14"/>
  <c r="AW19" i="14" s="1"/>
  <c r="BG19" i="14" s="1"/>
  <c r="S20" i="13"/>
  <c r="AH20" i="13" s="1"/>
  <c r="B21" i="13"/>
  <c r="R27" i="13"/>
  <c r="N31" i="13"/>
  <c r="AG23" i="14"/>
  <c r="AQ23" i="14" s="1"/>
  <c r="BA23" i="14" s="1"/>
  <c r="R23" i="14"/>
  <c r="AK18" i="15"/>
  <c r="AU18" i="15" s="1"/>
  <c r="V18" i="15"/>
  <c r="AG26" i="13"/>
  <c r="R31" i="13"/>
  <c r="AI19" i="14"/>
  <c r="AS19" i="14" s="1"/>
  <c r="BC19" i="14" s="1"/>
  <c r="T19" i="14"/>
  <c r="AI18" i="14"/>
  <c r="AS18" i="14" s="1"/>
  <c r="BC18" i="14" s="1"/>
  <c r="AG21" i="14"/>
  <c r="AQ21" i="14" s="1"/>
  <c r="BA21" i="14" s="1"/>
  <c r="R21" i="14"/>
  <c r="R29" i="14"/>
  <c r="AG29" i="14"/>
  <c r="AQ29" i="14" s="1"/>
  <c r="BA29" i="14" s="1"/>
  <c r="N29" i="14"/>
  <c r="H21" i="14"/>
  <c r="AM19" i="15"/>
  <c r="AW19" i="15" s="1"/>
  <c r="X19" i="15"/>
  <c r="AK20" i="13"/>
  <c r="N26" i="13"/>
  <c r="R24" i="14"/>
  <c r="AG24" i="14"/>
  <c r="AQ24" i="14" s="1"/>
  <c r="BA24" i="14" s="1"/>
  <c r="N24" i="14"/>
  <c r="R27" i="14"/>
  <c r="N27" i="14"/>
  <c r="AG27" i="14"/>
  <c r="AQ27" i="14" s="1"/>
  <c r="BA27" i="14" s="1"/>
  <c r="AK19" i="15"/>
  <c r="AU19" i="15" s="1"/>
  <c r="V19" i="15"/>
  <c r="AG21" i="13"/>
  <c r="W18" i="15"/>
  <c r="AI18" i="13"/>
  <c r="G21" i="13"/>
  <c r="N24" i="13"/>
  <c r="AG24" i="13"/>
  <c r="AJ19" i="14"/>
  <c r="AT19" i="14" s="1"/>
  <c r="BD19" i="14" s="1"/>
  <c r="B21" i="14"/>
  <c r="N26" i="14"/>
  <c r="AG26" i="14"/>
  <c r="AQ26" i="14" s="1"/>
  <c r="BA26" i="14" s="1"/>
  <c r="AN19" i="15"/>
  <c r="AX19" i="15" s="1"/>
  <c r="Y19" i="15"/>
  <c r="AG25" i="14"/>
  <c r="AQ25" i="14" s="1"/>
  <c r="BA25" i="14" s="1"/>
  <c r="R25" i="14"/>
  <c r="N25" i="14"/>
  <c r="AG30" i="14"/>
  <c r="AQ30" i="14" s="1"/>
  <c r="BA30" i="14" s="1"/>
  <c r="R30" i="14"/>
  <c r="N30" i="14"/>
  <c r="N31" i="14"/>
  <c r="R31" i="14"/>
  <c r="I20" i="14"/>
  <c r="Z20" i="14" s="1"/>
  <c r="AO20" i="14" s="1"/>
  <c r="AY20" i="14" s="1"/>
  <c r="BI20" i="14" s="1"/>
  <c r="AJ18" i="15"/>
  <c r="AT18" i="15" s="1"/>
  <c r="AI18" i="15"/>
  <c r="AS18" i="15" s="1"/>
  <c r="T18" i="15"/>
  <c r="AH20" i="15"/>
  <c r="AJ19" i="15"/>
  <c r="AT19" i="15" s="1"/>
  <c r="U19" i="15"/>
  <c r="U20" i="15"/>
  <c r="AJ20" i="15" s="1"/>
  <c r="AT20" i="15" s="1"/>
  <c r="AG31" i="12"/>
  <c r="AQ31" i="12" s="1"/>
  <c r="R31" i="12"/>
  <c r="AG31" i="10"/>
  <c r="AQ31" i="10" s="1"/>
  <c r="BA31" i="10" s="1"/>
  <c r="AG31" i="9"/>
  <c r="A29" i="1"/>
  <c r="O29" i="1" s="1"/>
  <c r="O23" i="19" l="1"/>
  <c r="O24" i="19" s="1"/>
  <c r="O25" i="19" s="1"/>
  <c r="O26" i="19" s="1"/>
  <c r="O27" i="19" s="1"/>
  <c r="O28" i="19" s="1"/>
  <c r="S22" i="19"/>
  <c r="AN20" i="15"/>
  <c r="AX20" i="15" s="1"/>
  <c r="AO20" i="13"/>
  <c r="O23" i="18"/>
  <c r="O24" i="18" s="1"/>
  <c r="O25" i="18" s="1"/>
  <c r="O26" i="18" s="1"/>
  <c r="O27" i="18" s="1"/>
  <c r="O28" i="18" s="1"/>
  <c r="Y22" i="18"/>
  <c r="S22" i="18"/>
  <c r="AM20" i="14"/>
  <c r="AW20" i="14" s="1"/>
  <c r="BG20" i="14" s="1"/>
  <c r="AH20" i="14"/>
  <c r="AR20" i="14" s="1"/>
  <c r="BB20" i="14" s="1"/>
  <c r="AJ20" i="14"/>
  <c r="AT20" i="14" s="1"/>
  <c r="BD20" i="14" s="1"/>
  <c r="I21" i="13"/>
  <c r="O21" i="13" s="1"/>
  <c r="J21" i="15"/>
  <c r="K21" i="15" s="1"/>
  <c r="L21" i="15" s="1"/>
  <c r="AK20" i="14"/>
  <c r="AU20" i="14" s="1"/>
  <c r="BE20" i="14" s="1"/>
  <c r="I21" i="14"/>
  <c r="O21" i="14" s="1"/>
  <c r="AR20" i="15"/>
  <c r="AN20" i="14"/>
  <c r="AX20" i="14" s="1"/>
  <c r="BH20" i="14" s="1"/>
  <c r="O12" i="12"/>
  <c r="N12" i="12"/>
  <c r="H12" i="12"/>
  <c r="G12" i="12"/>
  <c r="E12" i="12"/>
  <c r="D12" i="12"/>
  <c r="B12" i="12"/>
  <c r="A12" i="12"/>
  <c r="A29" i="12" s="1"/>
  <c r="O12" i="10"/>
  <c r="N12" i="10"/>
  <c r="H12" i="10"/>
  <c r="G12" i="10"/>
  <c r="E12" i="10"/>
  <c r="D12" i="10"/>
  <c r="B12" i="10"/>
  <c r="A12" i="10"/>
  <c r="A29" i="10" s="1"/>
  <c r="H12" i="9"/>
  <c r="G12" i="9"/>
  <c r="F12" i="9"/>
  <c r="E12" i="9"/>
  <c r="D12" i="9"/>
  <c r="C12" i="9"/>
  <c r="B12" i="9"/>
  <c r="A12" i="9"/>
  <c r="A29" i="9" s="1"/>
  <c r="H12" i="7"/>
  <c r="G12" i="7"/>
  <c r="F12" i="7"/>
  <c r="E12" i="7"/>
  <c r="D12" i="7"/>
  <c r="C12" i="7"/>
  <c r="B12" i="7"/>
  <c r="A12" i="7"/>
  <c r="A29" i="7" s="1"/>
  <c r="O29" i="7" s="1"/>
  <c r="Y29" i="7" s="1"/>
  <c r="A12" i="4"/>
  <c r="A29" i="4" s="1"/>
  <c r="B12" i="4"/>
  <c r="C12" i="4"/>
  <c r="D12" i="4"/>
  <c r="E12" i="4"/>
  <c r="F12" i="4"/>
  <c r="G12" i="4"/>
  <c r="H12" i="4"/>
  <c r="J12" i="1"/>
  <c r="K12" i="1"/>
  <c r="M12" i="1"/>
  <c r="N12" i="1"/>
  <c r="P12" i="1"/>
  <c r="Q12" i="1"/>
  <c r="Z22" i="19" l="1"/>
  <c r="AR22" i="19" s="1"/>
  <c r="O32" i="18"/>
  <c r="O29" i="18"/>
  <c r="O30" i="18" s="1"/>
  <c r="O31" i="18" s="1"/>
  <c r="AY20" i="15"/>
  <c r="AO20" i="15"/>
  <c r="Z22" i="18"/>
  <c r="O29" i="19"/>
  <c r="O30" i="19" s="1"/>
  <c r="O31" i="19" s="1"/>
  <c r="O32" i="19"/>
  <c r="O22" i="15"/>
  <c r="O23" i="15" s="1"/>
  <c r="O24" i="15" s="1"/>
  <c r="O25" i="15" s="1"/>
  <c r="O26" i="15" s="1"/>
  <c r="O27" i="15" s="1"/>
  <c r="O28" i="15" s="1"/>
  <c r="U21" i="15"/>
  <c r="S21" i="15"/>
  <c r="Y21" i="15"/>
  <c r="X21" i="15"/>
  <c r="V21" i="15"/>
  <c r="J21" i="13"/>
  <c r="K21" i="13" s="1"/>
  <c r="L21" i="13" s="1"/>
  <c r="J21" i="14"/>
  <c r="K21" i="14" s="1"/>
  <c r="L21" i="14" s="1"/>
  <c r="AG29" i="9"/>
  <c r="R29" i="9"/>
  <c r="N29" i="9"/>
  <c r="N29" i="12"/>
  <c r="AG29" i="12"/>
  <c r="AQ29" i="12" s="1"/>
  <c r="R29" i="12"/>
  <c r="N29" i="10"/>
  <c r="AG29" i="10"/>
  <c r="AQ29" i="10" s="1"/>
  <c r="BA29" i="10" s="1"/>
  <c r="R29" i="10"/>
  <c r="O29" i="4"/>
  <c r="Y29" i="4" s="1"/>
  <c r="AI29" i="4"/>
  <c r="A9" i="12"/>
  <c r="A26" i="12" s="1"/>
  <c r="N26" i="12" s="1"/>
  <c r="B9" i="12"/>
  <c r="D9" i="12"/>
  <c r="E9" i="12"/>
  <c r="G9" i="12"/>
  <c r="H9" i="12"/>
  <c r="N9" i="12"/>
  <c r="O9" i="12"/>
  <c r="A10" i="12"/>
  <c r="A27" i="12" s="1"/>
  <c r="B10" i="12"/>
  <c r="D10" i="12"/>
  <c r="E10" i="12"/>
  <c r="G10" i="12"/>
  <c r="H10" i="12"/>
  <c r="N10" i="12"/>
  <c r="O10" i="12"/>
  <c r="A11" i="12"/>
  <c r="A28" i="12" s="1"/>
  <c r="B11" i="12"/>
  <c r="D11" i="12"/>
  <c r="E11" i="12"/>
  <c r="G11" i="12"/>
  <c r="H11" i="12"/>
  <c r="N11" i="12"/>
  <c r="O11" i="12"/>
  <c r="A8" i="10"/>
  <c r="B8" i="10"/>
  <c r="D8" i="10"/>
  <c r="E8" i="10"/>
  <c r="G8" i="10"/>
  <c r="H8" i="10"/>
  <c r="N8" i="10"/>
  <c r="O8" i="10"/>
  <c r="A9" i="10"/>
  <c r="B9" i="10"/>
  <c r="D9" i="10"/>
  <c r="E9" i="10"/>
  <c r="G9" i="10"/>
  <c r="H9" i="10"/>
  <c r="N9" i="10"/>
  <c r="O9" i="10"/>
  <c r="A10" i="10"/>
  <c r="A27" i="10" s="1"/>
  <c r="B10" i="10"/>
  <c r="D10" i="10"/>
  <c r="E10" i="10"/>
  <c r="G10" i="10"/>
  <c r="H10" i="10"/>
  <c r="N10" i="10"/>
  <c r="O10" i="10"/>
  <c r="A11" i="10"/>
  <c r="A28" i="10" s="1"/>
  <c r="B11" i="10"/>
  <c r="D11" i="10"/>
  <c r="E11" i="10"/>
  <c r="G11" i="10"/>
  <c r="H11" i="10"/>
  <c r="N11" i="10"/>
  <c r="O11" i="10"/>
  <c r="A5" i="9"/>
  <c r="B5" i="9"/>
  <c r="C5" i="9"/>
  <c r="D5" i="9"/>
  <c r="E5" i="9"/>
  <c r="F5" i="9"/>
  <c r="G5" i="9"/>
  <c r="H5" i="9"/>
  <c r="A6" i="9"/>
  <c r="B6" i="9"/>
  <c r="C6" i="9"/>
  <c r="D6" i="9"/>
  <c r="E6" i="9"/>
  <c r="F6" i="9"/>
  <c r="G6" i="9"/>
  <c r="H6" i="9"/>
  <c r="A7" i="9"/>
  <c r="B7" i="9"/>
  <c r="C7" i="9"/>
  <c r="D7" i="9"/>
  <c r="E7" i="9"/>
  <c r="F7" i="9"/>
  <c r="G7" i="9"/>
  <c r="H7" i="9"/>
  <c r="A8" i="9"/>
  <c r="B8" i="9"/>
  <c r="C8" i="9"/>
  <c r="D8" i="9"/>
  <c r="E8" i="9"/>
  <c r="F8" i="9"/>
  <c r="G8" i="9"/>
  <c r="H8" i="9"/>
  <c r="A9" i="9"/>
  <c r="B9" i="9"/>
  <c r="C9" i="9"/>
  <c r="D9" i="9"/>
  <c r="E9" i="9"/>
  <c r="F9" i="9"/>
  <c r="G9" i="9"/>
  <c r="H9" i="9"/>
  <c r="A10" i="9"/>
  <c r="A27" i="9" s="1"/>
  <c r="B10" i="9"/>
  <c r="C10" i="9"/>
  <c r="D10" i="9"/>
  <c r="E10" i="9"/>
  <c r="F10" i="9"/>
  <c r="G10" i="9"/>
  <c r="H10" i="9"/>
  <c r="A11" i="9"/>
  <c r="A28" i="9" s="1"/>
  <c r="B11" i="9"/>
  <c r="C11" i="9"/>
  <c r="D11" i="9"/>
  <c r="E11" i="9"/>
  <c r="F11" i="9"/>
  <c r="G11" i="9"/>
  <c r="H11" i="9"/>
  <c r="A9" i="7"/>
  <c r="B9" i="7"/>
  <c r="C9" i="7"/>
  <c r="D9" i="7"/>
  <c r="E9" i="7"/>
  <c r="F9" i="7"/>
  <c r="G9" i="7"/>
  <c r="H9" i="7"/>
  <c r="A10" i="7"/>
  <c r="A27" i="7" s="1"/>
  <c r="O27" i="7" s="1"/>
  <c r="Y27" i="7" s="1"/>
  <c r="B10" i="7"/>
  <c r="C10" i="7"/>
  <c r="D10" i="7"/>
  <c r="E10" i="7"/>
  <c r="F10" i="7"/>
  <c r="G10" i="7"/>
  <c r="H10" i="7"/>
  <c r="A11" i="7"/>
  <c r="A28" i="7" s="1"/>
  <c r="O28" i="7" s="1"/>
  <c r="Y28" i="7" s="1"/>
  <c r="B11" i="7"/>
  <c r="C11" i="7"/>
  <c r="D11" i="7"/>
  <c r="E11" i="7"/>
  <c r="F11" i="7"/>
  <c r="G11" i="7"/>
  <c r="H11" i="7"/>
  <c r="A26" i="7"/>
  <c r="O26" i="7" s="1"/>
  <c r="Y26" i="7" s="1"/>
  <c r="A9" i="4"/>
  <c r="A26" i="4" s="1"/>
  <c r="B9" i="4"/>
  <c r="C9" i="4"/>
  <c r="D9" i="4"/>
  <c r="E9" i="4"/>
  <c r="F9" i="4"/>
  <c r="G9" i="4"/>
  <c r="H9" i="4"/>
  <c r="A10" i="4"/>
  <c r="A27" i="4" s="1"/>
  <c r="B10" i="4"/>
  <c r="C10" i="4"/>
  <c r="D10" i="4"/>
  <c r="E10" i="4"/>
  <c r="F10" i="4"/>
  <c r="G10" i="4"/>
  <c r="H10" i="4"/>
  <c r="A11" i="4"/>
  <c r="A28" i="4" s="1"/>
  <c r="AI28" i="4" s="1"/>
  <c r="B11" i="4"/>
  <c r="C11" i="4"/>
  <c r="D11" i="4"/>
  <c r="E11" i="4"/>
  <c r="F11" i="4"/>
  <c r="G11" i="4"/>
  <c r="H11" i="4"/>
  <c r="A26" i="1"/>
  <c r="A27" i="1"/>
  <c r="O27" i="1" s="1"/>
  <c r="A28" i="1"/>
  <c r="O28" i="1"/>
  <c r="Q10" i="1"/>
  <c r="P10" i="1"/>
  <c r="N10" i="1"/>
  <c r="M10" i="1"/>
  <c r="K10" i="1"/>
  <c r="J10" i="1"/>
  <c r="AH22" i="18" l="1"/>
  <c r="BH22" i="18"/>
  <c r="H23" i="18" s="1"/>
  <c r="Y23" i="18" s="1"/>
  <c r="BB22" i="18"/>
  <c r="B23" i="18" s="1"/>
  <c r="AK22" i="18"/>
  <c r="AD22" i="18"/>
  <c r="BI22" i="18"/>
  <c r="AA22" i="18"/>
  <c r="AY22" i="18"/>
  <c r="AJ22" i="18"/>
  <c r="AM22" i="18"/>
  <c r="BJ22" i="18"/>
  <c r="O33" i="18"/>
  <c r="I38" i="18" s="1"/>
  <c r="AH22" i="19"/>
  <c r="AY22" i="19"/>
  <c r="AN22" i="19"/>
  <c r="AD22" i="19"/>
  <c r="BI22" i="19"/>
  <c r="AM22" i="19"/>
  <c r="AK22" i="19"/>
  <c r="AA22" i="19"/>
  <c r="AJ22" i="19"/>
  <c r="BB22" i="19"/>
  <c r="B23" i="19" s="1"/>
  <c r="O33" i="19"/>
  <c r="I38" i="19" s="1"/>
  <c r="AN22" i="18"/>
  <c r="AU21" i="15"/>
  <c r="E22" i="15" s="1"/>
  <c r="V22" i="15" s="1"/>
  <c r="AW21" i="15"/>
  <c r="G22" i="15" s="1"/>
  <c r="X22" i="15" s="1"/>
  <c r="O22" i="14"/>
  <c r="O23" i="14" s="1"/>
  <c r="O24" i="14" s="1"/>
  <c r="O25" i="14" s="1"/>
  <c r="O26" i="14" s="1"/>
  <c r="O27" i="14" s="1"/>
  <c r="O28" i="14" s="1"/>
  <c r="V21" i="14"/>
  <c r="U21" i="14"/>
  <c r="X21" i="14"/>
  <c r="Y21" i="14"/>
  <c r="S21" i="14"/>
  <c r="AR21" i="15"/>
  <c r="B22" i="15" s="1"/>
  <c r="Z21" i="15"/>
  <c r="AJ21" i="15" s="1"/>
  <c r="AT21" i="15"/>
  <c r="D22" i="15" s="1"/>
  <c r="U22" i="15" s="1"/>
  <c r="O22" i="13"/>
  <c r="O23" i="13" s="1"/>
  <c r="O24" i="13" s="1"/>
  <c r="O25" i="13" s="1"/>
  <c r="O26" i="13" s="1"/>
  <c r="O27" i="13" s="1"/>
  <c r="O28" i="13" s="1"/>
  <c r="O29" i="13" s="1"/>
  <c r="O30" i="13" s="1"/>
  <c r="O31" i="13" s="1"/>
  <c r="O32" i="13" s="1"/>
  <c r="Y21" i="13"/>
  <c r="U21" i="13"/>
  <c r="V21" i="13"/>
  <c r="X21" i="13"/>
  <c r="S21" i="13"/>
  <c r="O32" i="15"/>
  <c r="O29" i="15"/>
  <c r="O30" i="15" s="1"/>
  <c r="O31" i="15" s="1"/>
  <c r="AX21" i="15"/>
  <c r="H22" i="15" s="1"/>
  <c r="Y22" i="15" s="1"/>
  <c r="O27" i="4"/>
  <c r="Y27" i="4" s="1"/>
  <c r="AI27" i="4"/>
  <c r="O26" i="4"/>
  <c r="Y26" i="4" s="1"/>
  <c r="AI26" i="4"/>
  <c r="R28" i="9"/>
  <c r="AG28" i="9"/>
  <c r="N28" i="9"/>
  <c r="R27" i="9"/>
  <c r="N27" i="9"/>
  <c r="AG27" i="9"/>
  <c r="R28" i="10"/>
  <c r="N28" i="10"/>
  <c r="AG28" i="10"/>
  <c r="AQ28" i="10" s="1"/>
  <c r="BA28" i="10" s="1"/>
  <c r="N27" i="10"/>
  <c r="AG27" i="10"/>
  <c r="AQ27" i="10" s="1"/>
  <c r="BA27" i="10" s="1"/>
  <c r="R27" i="10"/>
  <c r="AG28" i="12"/>
  <c r="AQ28" i="12" s="1"/>
  <c r="R28" i="12"/>
  <c r="N28" i="12"/>
  <c r="AG27" i="12"/>
  <c r="AQ27" i="12" s="1"/>
  <c r="N27" i="12"/>
  <c r="R27" i="12"/>
  <c r="R26" i="12"/>
  <c r="O28" i="4"/>
  <c r="Y28" i="4" s="1"/>
  <c r="AG26" i="12"/>
  <c r="AQ26" i="12" s="1"/>
  <c r="AQ20" i="12"/>
  <c r="AY19" i="12"/>
  <c r="I41" i="18" l="1"/>
  <c r="F25" i="8"/>
  <c r="I41" i="19"/>
  <c r="G25" i="8"/>
  <c r="I36" i="19"/>
  <c r="G23" i="8" s="1"/>
  <c r="AB22" i="19"/>
  <c r="I36" i="18"/>
  <c r="F23" i="8" s="1"/>
  <c r="AB22" i="18"/>
  <c r="BJ22" i="19"/>
  <c r="S23" i="18"/>
  <c r="I23" i="18"/>
  <c r="S23" i="19"/>
  <c r="I23" i="19"/>
  <c r="AO22" i="19"/>
  <c r="AO22" i="18"/>
  <c r="O33" i="15"/>
  <c r="I38" i="15" s="1"/>
  <c r="O33" i="13"/>
  <c r="I38" i="13" s="1"/>
  <c r="BD21" i="14"/>
  <c r="D22" i="14" s="1"/>
  <c r="U22" i="14" s="1"/>
  <c r="Z21" i="13"/>
  <c r="AJ21" i="13" s="1"/>
  <c r="B22" i="13"/>
  <c r="BE21" i="14"/>
  <c r="E22" i="14" s="1"/>
  <c r="V22" i="14" s="1"/>
  <c r="G22" i="13"/>
  <c r="X22" i="13" s="1"/>
  <c r="AD21" i="15"/>
  <c r="AA21" i="15"/>
  <c r="AZ21" i="15"/>
  <c r="AY21" i="15"/>
  <c r="O32" i="14"/>
  <c r="O29" i="14"/>
  <c r="O30" i="14" s="1"/>
  <c r="O31" i="14" s="1"/>
  <c r="E22" i="13"/>
  <c r="V22" i="13" s="1"/>
  <c r="I22" i="15"/>
  <c r="S22" i="15"/>
  <c r="D22" i="13"/>
  <c r="U22" i="13" s="1"/>
  <c r="AH21" i="15"/>
  <c r="AM21" i="15"/>
  <c r="AN21" i="15"/>
  <c r="H22" i="13"/>
  <c r="Y22" i="13" s="1"/>
  <c r="BB21" i="14"/>
  <c r="B22" i="14" s="1"/>
  <c r="Z21" i="14"/>
  <c r="AM21" i="14" s="1"/>
  <c r="BH21" i="14"/>
  <c r="H22" i="14" s="1"/>
  <c r="Y22" i="14" s="1"/>
  <c r="AK21" i="15"/>
  <c r="BG21" i="14"/>
  <c r="G22" i="14" s="1"/>
  <c r="X22" i="14" s="1"/>
  <c r="J31" i="8"/>
  <c r="I31" i="8"/>
  <c r="J30" i="8"/>
  <c r="I30" i="8"/>
  <c r="J5" i="1"/>
  <c r="J6" i="1"/>
  <c r="J7" i="1"/>
  <c r="J8" i="1"/>
  <c r="J9" i="1"/>
  <c r="J11" i="1"/>
  <c r="AC22" i="18" l="1"/>
  <c r="I37" i="18"/>
  <c r="F24" i="8" s="1"/>
  <c r="J23" i="19"/>
  <c r="K23" i="19" s="1"/>
  <c r="L23" i="19" s="1"/>
  <c r="I41" i="13"/>
  <c r="C25" i="8"/>
  <c r="J23" i="18"/>
  <c r="K23" i="18" s="1"/>
  <c r="L23" i="18" s="1"/>
  <c r="Z23" i="19"/>
  <c r="I41" i="15"/>
  <c r="D25" i="8"/>
  <c r="Z23" i="18"/>
  <c r="AH23" i="18"/>
  <c r="AC22" i="19"/>
  <c r="I37" i="19"/>
  <c r="G24" i="8" s="1"/>
  <c r="AN21" i="13"/>
  <c r="O33" i="14"/>
  <c r="I38" i="14" s="1"/>
  <c r="BI21" i="14"/>
  <c r="AA21" i="14"/>
  <c r="AB21" i="14" s="1"/>
  <c r="AC21" i="14" s="1"/>
  <c r="AY21" i="14"/>
  <c r="AD21" i="14"/>
  <c r="BJ21" i="14"/>
  <c r="D23" i="13"/>
  <c r="U23" i="13" s="1"/>
  <c r="AT21" i="14"/>
  <c r="I22" i="14"/>
  <c r="S22" i="14"/>
  <c r="AU21" i="14"/>
  <c r="AN21" i="14"/>
  <c r="AH21" i="14"/>
  <c r="H23" i="13"/>
  <c r="Y23" i="13" s="1"/>
  <c r="Z22" i="15"/>
  <c r="AH22" i="15" s="1"/>
  <c r="AB21" i="15"/>
  <c r="AC21" i="15" s="1"/>
  <c r="I22" i="13"/>
  <c r="S22" i="13"/>
  <c r="AX21" i="14"/>
  <c r="J22" i="15"/>
  <c r="K22" i="15" s="1"/>
  <c r="L22" i="15" s="1"/>
  <c r="AD21" i="13"/>
  <c r="AA21" i="13"/>
  <c r="AB21" i="13" s="1"/>
  <c r="AC21" i="13" s="1"/>
  <c r="AK21" i="13"/>
  <c r="AM21" i="13"/>
  <c r="AH21" i="13"/>
  <c r="AW21" i="14"/>
  <c r="E23" i="13"/>
  <c r="V23" i="13" s="1"/>
  <c r="G23" i="13"/>
  <c r="X23" i="13" s="1"/>
  <c r="AR21" i="14"/>
  <c r="AO21" i="15"/>
  <c r="AK21" i="14"/>
  <c r="AJ21" i="14"/>
  <c r="Q11" i="1"/>
  <c r="P11" i="1"/>
  <c r="Q9" i="1"/>
  <c r="P9" i="1"/>
  <c r="Q8" i="1"/>
  <c r="P8" i="1"/>
  <c r="Q7" i="1"/>
  <c r="P7" i="1"/>
  <c r="Q6" i="1"/>
  <c r="P6" i="1"/>
  <c r="Q5" i="1"/>
  <c r="P5" i="1"/>
  <c r="Q4" i="1"/>
  <c r="P4" i="1"/>
  <c r="N11" i="1"/>
  <c r="M11" i="1"/>
  <c r="N9" i="1"/>
  <c r="M9" i="1"/>
  <c r="N8" i="1"/>
  <c r="M8" i="1"/>
  <c r="N7" i="1"/>
  <c r="M7" i="1"/>
  <c r="N6" i="1"/>
  <c r="M6" i="1"/>
  <c r="N5" i="1"/>
  <c r="M5" i="1"/>
  <c r="N4" i="1"/>
  <c r="M4" i="1"/>
  <c r="K5" i="1"/>
  <c r="K6" i="1"/>
  <c r="K7" i="1"/>
  <c r="K8" i="1"/>
  <c r="K9" i="1"/>
  <c r="K11" i="1"/>
  <c r="K4" i="1"/>
  <c r="J4" i="1"/>
  <c r="BH23" i="18" l="1"/>
  <c r="H24" i="18" s="1"/>
  <c r="Y24" i="18" s="1"/>
  <c r="AA23" i="18"/>
  <c r="AB23" i="18" s="1"/>
  <c r="AC23" i="18" s="1"/>
  <c r="AJ23" i="18"/>
  <c r="AO23" i="18" s="1"/>
  <c r="AD23" i="18"/>
  <c r="BB23" i="18"/>
  <c r="B24" i="18" s="1"/>
  <c r="AK23" i="18"/>
  <c r="BI23" i="18"/>
  <c r="AM23" i="18"/>
  <c r="AY23" i="18"/>
  <c r="AN23" i="18"/>
  <c r="I41" i="14"/>
  <c r="B25" i="8"/>
  <c r="AH23" i="19"/>
  <c r="AD23" i="19"/>
  <c r="AN23" i="19"/>
  <c r="AA23" i="19"/>
  <c r="AB23" i="19" s="1"/>
  <c r="AC23" i="19" s="1"/>
  <c r="AY23" i="19"/>
  <c r="AK23" i="19"/>
  <c r="AM23" i="19"/>
  <c r="BI23" i="19"/>
  <c r="AJ23" i="19"/>
  <c r="BB23" i="19"/>
  <c r="B24" i="19" s="1"/>
  <c r="BJ23" i="19"/>
  <c r="AR23" i="19"/>
  <c r="AO21" i="14"/>
  <c r="AO21" i="13"/>
  <c r="B23" i="13"/>
  <c r="Z22" i="13"/>
  <c r="AH22" i="13" s="1"/>
  <c r="J22" i="13"/>
  <c r="D24" i="13"/>
  <c r="U24" i="13" s="1"/>
  <c r="G24" i="13"/>
  <c r="X24" i="13" s="1"/>
  <c r="E24" i="13"/>
  <c r="V24" i="13" s="1"/>
  <c r="AD22" i="15"/>
  <c r="AX22" i="15"/>
  <c r="H23" i="15" s="1"/>
  <c r="AA22" i="15"/>
  <c r="AY22" i="15"/>
  <c r="AM22" i="15"/>
  <c r="AN22" i="15"/>
  <c r="AK22" i="15"/>
  <c r="AJ22" i="15"/>
  <c r="Z22" i="14"/>
  <c r="AR22" i="14" s="1"/>
  <c r="J22" i="14"/>
  <c r="K22" i="14" s="1"/>
  <c r="L22" i="14" s="1"/>
  <c r="H24" i="13"/>
  <c r="Y24" i="13" s="1"/>
  <c r="K15" i="1"/>
  <c r="Q15" i="1"/>
  <c r="M15" i="1"/>
  <c r="N15" i="1"/>
  <c r="P15" i="1"/>
  <c r="G4" i="9"/>
  <c r="F4" i="9"/>
  <c r="E4" i="9"/>
  <c r="D4" i="9"/>
  <c r="C4" i="9"/>
  <c r="H20" i="9"/>
  <c r="Y20" i="9" s="1"/>
  <c r="G20" i="9"/>
  <c r="X20" i="9" s="1"/>
  <c r="E20" i="9"/>
  <c r="V20" i="9" s="1"/>
  <c r="D20" i="9"/>
  <c r="B20" i="9"/>
  <c r="S20" i="9" s="1"/>
  <c r="H4" i="9"/>
  <c r="A4" i="9"/>
  <c r="A21" i="9" s="1"/>
  <c r="N21" i="9" s="1"/>
  <c r="B4" i="9"/>
  <c r="C2" i="9"/>
  <c r="C18" i="9" s="1"/>
  <c r="T18" i="9" s="1"/>
  <c r="D2" i="9"/>
  <c r="D18" i="9" s="1"/>
  <c r="AJ18" i="9" s="1"/>
  <c r="E2" i="9"/>
  <c r="E18" i="9" s="1"/>
  <c r="AK18" i="9" s="1"/>
  <c r="F2" i="9"/>
  <c r="F18" i="9" s="1"/>
  <c r="W18" i="9" s="1"/>
  <c r="G2" i="9"/>
  <c r="G18" i="9" s="1"/>
  <c r="H2" i="9"/>
  <c r="H18" i="9" s="1"/>
  <c r="AN18" i="9" s="1"/>
  <c r="C3" i="9"/>
  <c r="C19" i="9" s="1"/>
  <c r="D3" i="9"/>
  <c r="D19" i="9" s="1"/>
  <c r="E3" i="9"/>
  <c r="E19" i="9" s="1"/>
  <c r="AK19" i="9" s="1"/>
  <c r="F3" i="9"/>
  <c r="F19" i="9" s="1"/>
  <c r="G3" i="9"/>
  <c r="G19" i="9" s="1"/>
  <c r="AM19" i="9" s="1"/>
  <c r="H3" i="9"/>
  <c r="H19" i="9" s="1"/>
  <c r="B2" i="9"/>
  <c r="B18" i="9" s="1"/>
  <c r="S18" i="9" s="1"/>
  <c r="B3" i="9"/>
  <c r="B19" i="9" s="1"/>
  <c r="A3" i="9"/>
  <c r="R20" i="9"/>
  <c r="R19" i="9"/>
  <c r="Z19" i="9"/>
  <c r="A26" i="9"/>
  <c r="A25" i="9"/>
  <c r="R25" i="9" s="1"/>
  <c r="A24" i="9"/>
  <c r="N24" i="9" s="1"/>
  <c r="A23" i="9"/>
  <c r="R23" i="9" s="1"/>
  <c r="A22" i="9"/>
  <c r="AG22" i="9" s="1"/>
  <c r="B20" i="12"/>
  <c r="S20" i="12" s="1"/>
  <c r="B4" i="12"/>
  <c r="D20" i="12"/>
  <c r="D4" i="12"/>
  <c r="E20" i="12"/>
  <c r="V20" i="12" s="1"/>
  <c r="E4" i="12"/>
  <c r="G20" i="12"/>
  <c r="G4" i="12"/>
  <c r="H20" i="12"/>
  <c r="Y20" i="12" s="1"/>
  <c r="H4" i="12"/>
  <c r="O5" i="12"/>
  <c r="O6" i="12"/>
  <c r="O7" i="12"/>
  <c r="O8" i="12"/>
  <c r="B5" i="12"/>
  <c r="D5" i="12"/>
  <c r="E5" i="12"/>
  <c r="G5" i="12"/>
  <c r="H5" i="12"/>
  <c r="H6" i="12"/>
  <c r="B7" i="12"/>
  <c r="B8" i="12"/>
  <c r="D7" i="12"/>
  <c r="D8" i="12"/>
  <c r="E7" i="12"/>
  <c r="E8" i="12"/>
  <c r="G7" i="12"/>
  <c r="G8" i="12"/>
  <c r="H7" i="12"/>
  <c r="H8" i="12"/>
  <c r="B6" i="12"/>
  <c r="B23" i="12" s="1"/>
  <c r="D6" i="12"/>
  <c r="D23" i="12" s="1"/>
  <c r="E6" i="12"/>
  <c r="E23" i="12" s="1"/>
  <c r="G6" i="12"/>
  <c r="G23" i="12" s="1"/>
  <c r="A8" i="12"/>
  <c r="A25" i="12" s="1"/>
  <c r="A7" i="12"/>
  <c r="A24" i="12" s="1"/>
  <c r="R24" i="12" s="1"/>
  <c r="A6" i="12"/>
  <c r="A23" i="12" s="1"/>
  <c r="A5" i="12"/>
  <c r="A22" i="12" s="1"/>
  <c r="A4" i="12"/>
  <c r="A21" i="12" s="1"/>
  <c r="N8" i="12"/>
  <c r="N7" i="12"/>
  <c r="N6" i="12"/>
  <c r="N5" i="12"/>
  <c r="O4" i="12"/>
  <c r="N4" i="12"/>
  <c r="W20" i="12"/>
  <c r="T20" i="12"/>
  <c r="R20" i="12"/>
  <c r="Z19" i="12"/>
  <c r="R19" i="12"/>
  <c r="H3" i="12"/>
  <c r="H19" i="12" s="1"/>
  <c r="G3" i="12"/>
  <c r="G19" i="12" s="1"/>
  <c r="F3" i="12"/>
  <c r="F19" i="12" s="1"/>
  <c r="E3" i="12"/>
  <c r="E19" i="12" s="1"/>
  <c r="D3" i="12"/>
  <c r="D19" i="12" s="1"/>
  <c r="C3" i="12"/>
  <c r="C19" i="12" s="1"/>
  <c r="B3" i="12"/>
  <c r="B19" i="12" s="1"/>
  <c r="A3" i="12"/>
  <c r="H2" i="12"/>
  <c r="H18" i="12" s="1"/>
  <c r="G2" i="12"/>
  <c r="G18" i="12" s="1"/>
  <c r="AM18" i="12" s="1"/>
  <c r="AW18" i="12" s="1"/>
  <c r="F2" i="12"/>
  <c r="F18" i="12" s="1"/>
  <c r="E2" i="12"/>
  <c r="E18" i="12" s="1"/>
  <c r="D2" i="12"/>
  <c r="D18" i="12" s="1"/>
  <c r="C2" i="12"/>
  <c r="C18" i="12" s="1"/>
  <c r="AI18" i="12" s="1"/>
  <c r="AS18" i="12" s="1"/>
  <c r="B2" i="12"/>
  <c r="B18" i="12" s="1"/>
  <c r="H20" i="10"/>
  <c r="Y20" i="10" s="1"/>
  <c r="H4" i="10"/>
  <c r="B20" i="10"/>
  <c r="B4" i="10"/>
  <c r="D20" i="10"/>
  <c r="U20" i="10" s="1"/>
  <c r="D4" i="10"/>
  <c r="E20" i="10"/>
  <c r="V20" i="10" s="1"/>
  <c r="E4" i="10"/>
  <c r="G20" i="10"/>
  <c r="X20" i="10" s="1"/>
  <c r="G4" i="10"/>
  <c r="B5" i="10"/>
  <c r="O5" i="10"/>
  <c r="D5" i="10"/>
  <c r="E5" i="10"/>
  <c r="G5" i="10"/>
  <c r="H5" i="10"/>
  <c r="B6" i="10"/>
  <c r="O6" i="10"/>
  <c r="B7" i="10"/>
  <c r="O7" i="10"/>
  <c r="D6" i="10"/>
  <c r="D7" i="10"/>
  <c r="E6" i="10"/>
  <c r="E7" i="10"/>
  <c r="G6" i="10"/>
  <c r="G7" i="10"/>
  <c r="H6" i="10"/>
  <c r="H7" i="10"/>
  <c r="A4" i="10"/>
  <c r="A21" i="10" s="1"/>
  <c r="AG21" i="10" s="1"/>
  <c r="AQ21" i="10" s="1"/>
  <c r="BA21" i="10" s="1"/>
  <c r="A5" i="10"/>
  <c r="A22" i="10" s="1"/>
  <c r="A6" i="10"/>
  <c r="A23" i="10" s="1"/>
  <c r="N23" i="10" s="1"/>
  <c r="A7" i="10"/>
  <c r="A24" i="10" s="1"/>
  <c r="A26" i="10"/>
  <c r="H3" i="10"/>
  <c r="H19" i="10" s="1"/>
  <c r="G3" i="10"/>
  <c r="G19" i="10" s="1"/>
  <c r="AM19" i="10" s="1"/>
  <c r="AW19" i="10" s="1"/>
  <c r="BG19" i="10" s="1"/>
  <c r="F3" i="10"/>
  <c r="F19" i="10" s="1"/>
  <c r="AL19" i="10" s="1"/>
  <c r="AV19" i="10" s="1"/>
  <c r="BF19" i="10" s="1"/>
  <c r="E3" i="10"/>
  <c r="E19" i="10" s="1"/>
  <c r="D3" i="10"/>
  <c r="D19" i="10" s="1"/>
  <c r="AJ19" i="10" s="1"/>
  <c r="AT19" i="10" s="1"/>
  <c r="BD19" i="10" s="1"/>
  <c r="C3" i="10"/>
  <c r="C19" i="10" s="1"/>
  <c r="AI19" i="10" s="1"/>
  <c r="AS19" i="10" s="1"/>
  <c r="BC19" i="10" s="1"/>
  <c r="B3" i="10"/>
  <c r="B19" i="10" s="1"/>
  <c r="AH19" i="10" s="1"/>
  <c r="AR19" i="10" s="1"/>
  <c r="BB19" i="10" s="1"/>
  <c r="H2" i="10"/>
  <c r="H18" i="10" s="1"/>
  <c r="Y18" i="10" s="1"/>
  <c r="G2" i="10"/>
  <c r="G18" i="10" s="1"/>
  <c r="X18" i="10" s="1"/>
  <c r="F2" i="10"/>
  <c r="F18" i="10" s="1"/>
  <c r="AL18" i="10" s="1"/>
  <c r="AV18" i="10" s="1"/>
  <c r="BF18" i="10" s="1"/>
  <c r="E2" i="10"/>
  <c r="E18" i="10" s="1"/>
  <c r="V18" i="10" s="1"/>
  <c r="D2" i="10"/>
  <c r="D18" i="10" s="1"/>
  <c r="AJ18" i="10" s="1"/>
  <c r="AT18" i="10" s="1"/>
  <c r="BD18" i="10" s="1"/>
  <c r="C2" i="10"/>
  <c r="C18" i="10" s="1"/>
  <c r="B2" i="10"/>
  <c r="B18" i="10" s="1"/>
  <c r="AH18" i="10" s="1"/>
  <c r="AR18" i="10" s="1"/>
  <c r="BB18" i="10" s="1"/>
  <c r="A3" i="10"/>
  <c r="N4" i="10"/>
  <c r="O4" i="10"/>
  <c r="N5" i="10"/>
  <c r="N6" i="10"/>
  <c r="N7" i="10"/>
  <c r="AQ20" i="10"/>
  <c r="BA20" i="10" s="1"/>
  <c r="AY19" i="10"/>
  <c r="BI19" i="10" s="1"/>
  <c r="AQ19" i="10"/>
  <c r="A25" i="10"/>
  <c r="R25" i="10" s="1"/>
  <c r="W20" i="10"/>
  <c r="T20" i="10"/>
  <c r="R20" i="10"/>
  <c r="Z19" i="10"/>
  <c r="R19" i="10"/>
  <c r="AS20" i="10"/>
  <c r="H21" i="1"/>
  <c r="H22" i="1" s="1"/>
  <c r="H23" i="1" s="1"/>
  <c r="H24" i="1" s="1"/>
  <c r="B21" i="1"/>
  <c r="B22" i="1" s="1"/>
  <c r="B23" i="1" s="1"/>
  <c r="D21" i="1"/>
  <c r="D22" i="1" s="1"/>
  <c r="E21" i="1"/>
  <c r="E22" i="1" s="1"/>
  <c r="G21" i="1"/>
  <c r="G22" i="1" s="1"/>
  <c r="G23" i="1" s="1"/>
  <c r="G24" i="1" s="1"/>
  <c r="I20" i="1"/>
  <c r="P20" i="1" s="1"/>
  <c r="A21" i="1"/>
  <c r="O21" i="1" s="1"/>
  <c r="A22" i="1"/>
  <c r="O22" i="1" s="1"/>
  <c r="A23" i="1"/>
  <c r="O23" i="1" s="1"/>
  <c r="A24" i="1"/>
  <c r="O24" i="1" s="1"/>
  <c r="A25" i="1"/>
  <c r="O25" i="1" s="1"/>
  <c r="O26" i="1"/>
  <c r="H19" i="1"/>
  <c r="V19" i="1" s="1"/>
  <c r="G19" i="1"/>
  <c r="U19" i="1" s="1"/>
  <c r="F19" i="1"/>
  <c r="T19" i="1" s="1"/>
  <c r="E19" i="1"/>
  <c r="S19" i="1" s="1"/>
  <c r="D19" i="1"/>
  <c r="R19" i="1" s="1"/>
  <c r="C19" i="1"/>
  <c r="Q19" i="1" s="1"/>
  <c r="H18" i="1"/>
  <c r="V18" i="1" s="1"/>
  <c r="G18" i="1"/>
  <c r="U18" i="1" s="1"/>
  <c r="F18" i="1"/>
  <c r="T18" i="1" s="1"/>
  <c r="E18" i="1"/>
  <c r="S18" i="1" s="1"/>
  <c r="D18" i="1"/>
  <c r="R18" i="1" s="1"/>
  <c r="C18" i="1"/>
  <c r="Q18" i="1" s="1"/>
  <c r="B19" i="1"/>
  <c r="P19" i="1" s="1"/>
  <c r="B18" i="1"/>
  <c r="P18" i="1" s="1"/>
  <c r="A20" i="3"/>
  <c r="Y20" i="7"/>
  <c r="AG19" i="7"/>
  <c r="Y19" i="7"/>
  <c r="H20" i="7"/>
  <c r="AF20" i="7" s="1"/>
  <c r="G20" i="7"/>
  <c r="AE20" i="7" s="1"/>
  <c r="E20" i="7"/>
  <c r="AC20" i="7" s="1"/>
  <c r="D20" i="7"/>
  <c r="AB20" i="7" s="1"/>
  <c r="B20" i="7"/>
  <c r="Z20" i="7" s="1"/>
  <c r="H8" i="7"/>
  <c r="G8" i="7"/>
  <c r="F8" i="7"/>
  <c r="E8" i="7"/>
  <c r="D8" i="7"/>
  <c r="C8" i="7"/>
  <c r="H7" i="7"/>
  <c r="G7" i="7"/>
  <c r="F7" i="7"/>
  <c r="E7" i="7"/>
  <c r="D7" i="7"/>
  <c r="C7" i="7"/>
  <c r="H6" i="7"/>
  <c r="G6" i="7"/>
  <c r="G23" i="7" s="1"/>
  <c r="F6" i="7"/>
  <c r="E6" i="7"/>
  <c r="E23" i="7" s="1"/>
  <c r="D6" i="7"/>
  <c r="D23" i="7" s="1"/>
  <c r="C6" i="7"/>
  <c r="H5" i="7"/>
  <c r="G5" i="7"/>
  <c r="F5" i="7"/>
  <c r="E5" i="7"/>
  <c r="D5" i="7"/>
  <c r="C5" i="7"/>
  <c r="H4" i="7"/>
  <c r="G4" i="7"/>
  <c r="F4" i="7"/>
  <c r="E4" i="7"/>
  <c r="D4" i="7"/>
  <c r="C4" i="7"/>
  <c r="B4" i="7"/>
  <c r="B5" i="7"/>
  <c r="B6" i="7"/>
  <c r="B23" i="7" s="1"/>
  <c r="B7" i="7"/>
  <c r="B8" i="7"/>
  <c r="A4" i="7"/>
  <c r="A21" i="7" s="1"/>
  <c r="O21" i="7" s="1"/>
  <c r="Y21" i="7" s="1"/>
  <c r="A5" i="7"/>
  <c r="A22" i="7" s="1"/>
  <c r="O22" i="7" s="1"/>
  <c r="Y22" i="7" s="1"/>
  <c r="A6" i="7"/>
  <c r="A23" i="7" s="1"/>
  <c r="O23" i="7" s="1"/>
  <c r="Y23" i="7" s="1"/>
  <c r="A7" i="7"/>
  <c r="A24" i="7" s="1"/>
  <c r="O24" i="7" s="1"/>
  <c r="Y24" i="7" s="1"/>
  <c r="A8" i="7"/>
  <c r="A25" i="7" s="1"/>
  <c r="O25" i="7" s="1"/>
  <c r="Y25" i="7" s="1"/>
  <c r="C2" i="7"/>
  <c r="C18" i="7" s="1"/>
  <c r="Q18" i="7" s="1"/>
  <c r="AA18" i="7" s="1"/>
  <c r="D2" i="7"/>
  <c r="D18" i="7" s="1"/>
  <c r="R18" i="7" s="1"/>
  <c r="AB18" i="7" s="1"/>
  <c r="E2" i="7"/>
  <c r="E18" i="7" s="1"/>
  <c r="S18" i="7" s="1"/>
  <c r="AC18" i="7" s="1"/>
  <c r="F2" i="7"/>
  <c r="F18" i="7" s="1"/>
  <c r="T18" i="7" s="1"/>
  <c r="AD18" i="7" s="1"/>
  <c r="G2" i="7"/>
  <c r="G18" i="7" s="1"/>
  <c r="U18" i="7" s="1"/>
  <c r="AE18" i="7" s="1"/>
  <c r="H2" i="7"/>
  <c r="H18" i="7" s="1"/>
  <c r="V18" i="7" s="1"/>
  <c r="AF18" i="7" s="1"/>
  <c r="C3" i="7"/>
  <c r="C19" i="7" s="1"/>
  <c r="Q19" i="7" s="1"/>
  <c r="AA19" i="7" s="1"/>
  <c r="D3" i="7"/>
  <c r="D19" i="7" s="1"/>
  <c r="R19" i="7" s="1"/>
  <c r="AB19" i="7" s="1"/>
  <c r="E3" i="7"/>
  <c r="E19" i="7" s="1"/>
  <c r="S19" i="7" s="1"/>
  <c r="AC19" i="7" s="1"/>
  <c r="F3" i="7"/>
  <c r="F19" i="7" s="1"/>
  <c r="T19" i="7" s="1"/>
  <c r="AD19" i="7" s="1"/>
  <c r="G3" i="7"/>
  <c r="G19" i="7" s="1"/>
  <c r="U19" i="7" s="1"/>
  <c r="AE19" i="7" s="1"/>
  <c r="H3" i="7"/>
  <c r="H19" i="7" s="1"/>
  <c r="V19" i="7" s="1"/>
  <c r="AF19" i="7" s="1"/>
  <c r="B3" i="7"/>
  <c r="B19" i="7" s="1"/>
  <c r="P19" i="7" s="1"/>
  <c r="Z19" i="7" s="1"/>
  <c r="B2" i="7"/>
  <c r="B18" i="7" s="1"/>
  <c r="P18" i="7" s="1"/>
  <c r="Z18" i="7" s="1"/>
  <c r="A3" i="7"/>
  <c r="H20" i="4"/>
  <c r="B20" i="4"/>
  <c r="D20" i="4"/>
  <c r="E20" i="4"/>
  <c r="G20" i="4"/>
  <c r="B4" i="4"/>
  <c r="B5" i="4"/>
  <c r="D4" i="4"/>
  <c r="D5" i="4"/>
  <c r="E4" i="4"/>
  <c r="E5" i="4"/>
  <c r="G4" i="4"/>
  <c r="G5" i="4"/>
  <c r="H4" i="4"/>
  <c r="H5" i="4"/>
  <c r="B6" i="4"/>
  <c r="B7" i="4"/>
  <c r="R20" i="4"/>
  <c r="AB20" i="4" s="1"/>
  <c r="AL20" i="4" s="1"/>
  <c r="D6" i="4"/>
  <c r="D7" i="4"/>
  <c r="S20" i="4"/>
  <c r="AC20" i="4" s="1"/>
  <c r="AM20" i="4" s="1"/>
  <c r="E6" i="4"/>
  <c r="E7" i="4"/>
  <c r="U20" i="4"/>
  <c r="AE20" i="4" s="1"/>
  <c r="AO20" i="4" s="1"/>
  <c r="G6" i="4"/>
  <c r="G7" i="4"/>
  <c r="H6" i="4"/>
  <c r="H7" i="4"/>
  <c r="H8" i="4"/>
  <c r="G8" i="4"/>
  <c r="E8" i="4"/>
  <c r="D8" i="4"/>
  <c r="B8" i="4"/>
  <c r="F4" i="4"/>
  <c r="F5" i="4"/>
  <c r="F6" i="4"/>
  <c r="F7" i="4"/>
  <c r="F8" i="4"/>
  <c r="Y20" i="4"/>
  <c r="AI20" i="4" s="1"/>
  <c r="Y19" i="4"/>
  <c r="AG19" i="4"/>
  <c r="AQ19" i="4" s="1"/>
  <c r="C4" i="4"/>
  <c r="C5" i="4"/>
  <c r="C6" i="4"/>
  <c r="C7" i="4"/>
  <c r="C8" i="4"/>
  <c r="A4" i="4"/>
  <c r="A21" i="4" s="1"/>
  <c r="A5" i="4"/>
  <c r="A22" i="4" s="1"/>
  <c r="AI22" i="4" s="1"/>
  <c r="A6" i="4"/>
  <c r="A23" i="4" s="1"/>
  <c r="A7" i="4"/>
  <c r="A24" i="4" s="1"/>
  <c r="A8" i="4"/>
  <c r="A25" i="4" s="1"/>
  <c r="H3" i="4"/>
  <c r="H19" i="4" s="1"/>
  <c r="V19" i="4" s="1"/>
  <c r="AF19" i="4" s="1"/>
  <c r="AP19" i="4" s="1"/>
  <c r="G3" i="4"/>
  <c r="G19" i="4" s="1"/>
  <c r="U19" i="4" s="1"/>
  <c r="AE19" i="4" s="1"/>
  <c r="AO19" i="4" s="1"/>
  <c r="F3" i="4"/>
  <c r="F19" i="4" s="1"/>
  <c r="T19" i="4" s="1"/>
  <c r="AD19" i="4" s="1"/>
  <c r="AN19" i="4" s="1"/>
  <c r="E3" i="4"/>
  <c r="E19" i="4" s="1"/>
  <c r="S19" i="4" s="1"/>
  <c r="AC19" i="4" s="1"/>
  <c r="AM19" i="4" s="1"/>
  <c r="D3" i="4"/>
  <c r="D19" i="4" s="1"/>
  <c r="R19" i="4" s="1"/>
  <c r="AB19" i="4" s="1"/>
  <c r="AL19" i="4" s="1"/>
  <c r="C3" i="4"/>
  <c r="C19" i="4" s="1"/>
  <c r="Q19" i="4" s="1"/>
  <c r="AA19" i="4" s="1"/>
  <c r="AK19" i="4" s="1"/>
  <c r="H2" i="4"/>
  <c r="H18" i="4" s="1"/>
  <c r="V18" i="4" s="1"/>
  <c r="AF18" i="4" s="1"/>
  <c r="AP18" i="4" s="1"/>
  <c r="G2" i="4"/>
  <c r="G18" i="4" s="1"/>
  <c r="U18" i="4" s="1"/>
  <c r="AE18" i="4" s="1"/>
  <c r="AO18" i="4" s="1"/>
  <c r="F2" i="4"/>
  <c r="F18" i="4" s="1"/>
  <c r="T18" i="4" s="1"/>
  <c r="AD18" i="4" s="1"/>
  <c r="AN18" i="4" s="1"/>
  <c r="E2" i="4"/>
  <c r="E18" i="4" s="1"/>
  <c r="S18" i="4" s="1"/>
  <c r="AC18" i="4" s="1"/>
  <c r="AM18" i="4" s="1"/>
  <c r="D2" i="4"/>
  <c r="D18" i="4" s="1"/>
  <c r="R18" i="4" s="1"/>
  <c r="AB18" i="4" s="1"/>
  <c r="AL18" i="4" s="1"/>
  <c r="C2" i="4"/>
  <c r="C18" i="4" s="1"/>
  <c r="Q18" i="4" s="1"/>
  <c r="AA18" i="4" s="1"/>
  <c r="AK18" i="4" s="1"/>
  <c r="B3" i="4"/>
  <c r="B19" i="4" s="1"/>
  <c r="P19" i="4" s="1"/>
  <c r="Z19" i="4" s="1"/>
  <c r="AJ19" i="4" s="1"/>
  <c r="B2" i="4"/>
  <c r="B18" i="4" s="1"/>
  <c r="P18" i="4" s="1"/>
  <c r="Z18" i="4" s="1"/>
  <c r="AJ18" i="4" s="1"/>
  <c r="A3" i="4"/>
  <c r="AD20" i="4"/>
  <c r="AA20" i="4"/>
  <c r="S24" i="19" l="1"/>
  <c r="I24" i="19"/>
  <c r="AO23" i="19"/>
  <c r="S24" i="18"/>
  <c r="I24" i="18"/>
  <c r="BJ23" i="18"/>
  <c r="AH22" i="14"/>
  <c r="AO22" i="15"/>
  <c r="Y23" i="15"/>
  <c r="I23" i="15"/>
  <c r="AZ22" i="15"/>
  <c r="H25" i="13"/>
  <c r="Y25" i="13" s="1"/>
  <c r="E25" i="13"/>
  <c r="V25" i="13" s="1"/>
  <c r="D25" i="13"/>
  <c r="U25" i="13" s="1"/>
  <c r="AD22" i="13"/>
  <c r="AA22" i="13"/>
  <c r="AB22" i="13" s="1"/>
  <c r="AC22" i="13" s="1"/>
  <c r="AN22" i="13"/>
  <c r="AK22" i="13"/>
  <c r="AM22" i="13"/>
  <c r="AJ22" i="13"/>
  <c r="AO22" i="13" s="1"/>
  <c r="I36" i="13"/>
  <c r="C23" i="8" s="1"/>
  <c r="K22" i="13"/>
  <c r="AD22" i="14"/>
  <c r="BI22" i="14"/>
  <c r="AA22" i="14"/>
  <c r="AY22" i="14"/>
  <c r="BD22" i="14"/>
  <c r="D23" i="14" s="1"/>
  <c r="U23" i="14" s="1"/>
  <c r="BB22" i="14"/>
  <c r="B23" i="14" s="1"/>
  <c r="BH22" i="14"/>
  <c r="H23" i="14" s="1"/>
  <c r="Y23" i="14" s="1"/>
  <c r="BG22" i="14"/>
  <c r="G23" i="14" s="1"/>
  <c r="X23" i="14" s="1"/>
  <c r="BE22" i="14"/>
  <c r="E23" i="14" s="1"/>
  <c r="V23" i="14" s="1"/>
  <c r="AM22" i="14"/>
  <c r="AJ22" i="14"/>
  <c r="AU22" i="14"/>
  <c r="AN22" i="14"/>
  <c r="AT22" i="14"/>
  <c r="AK22" i="14"/>
  <c r="AX22" i="14"/>
  <c r="AW22" i="14"/>
  <c r="I36" i="15"/>
  <c r="D23" i="8" s="1"/>
  <c r="AB22" i="15"/>
  <c r="G25" i="13"/>
  <c r="X25" i="13" s="1"/>
  <c r="S23" i="13"/>
  <c r="I23" i="13"/>
  <c r="H21" i="9"/>
  <c r="X18" i="9"/>
  <c r="AM18" i="9"/>
  <c r="H21" i="7"/>
  <c r="AF21" i="7" s="1"/>
  <c r="H22" i="7" s="1"/>
  <c r="N22" i="9"/>
  <c r="AG26" i="10"/>
  <c r="AQ26" i="10" s="1"/>
  <c r="BA26" i="10" s="1"/>
  <c r="R26" i="10"/>
  <c r="R26" i="9"/>
  <c r="AG26" i="9"/>
  <c r="I20" i="9"/>
  <c r="Z20" i="9" s="1"/>
  <c r="AO20" i="9" s="1"/>
  <c r="R22" i="9"/>
  <c r="B21" i="9"/>
  <c r="AK19" i="10"/>
  <c r="AU19" i="10" s="1"/>
  <c r="BE19" i="10" s="1"/>
  <c r="V19" i="10"/>
  <c r="G21" i="10"/>
  <c r="AI19" i="9"/>
  <c r="T19" i="9"/>
  <c r="E21" i="9"/>
  <c r="H21" i="4"/>
  <c r="AP21" i="4" s="1"/>
  <c r="H22" i="4" s="1"/>
  <c r="G21" i="7"/>
  <c r="AE21" i="7" s="1"/>
  <c r="G22" i="7" s="1"/>
  <c r="X19" i="10"/>
  <c r="AI18" i="9"/>
  <c r="W20" i="1"/>
  <c r="X19" i="9"/>
  <c r="V20" i="1"/>
  <c r="AG24" i="10"/>
  <c r="AQ24" i="10" s="1"/>
  <c r="BA24" i="10" s="1"/>
  <c r="N24" i="10"/>
  <c r="R24" i="10"/>
  <c r="D21" i="4"/>
  <c r="AL21" i="4" s="1"/>
  <c r="D22" i="4" s="1"/>
  <c r="I20" i="4"/>
  <c r="W20" i="4" s="1"/>
  <c r="AG20" i="4" s="1"/>
  <c r="AQ20" i="4" s="1"/>
  <c r="B21" i="7"/>
  <c r="Z21" i="7" s="1"/>
  <c r="AN18" i="10"/>
  <c r="AX18" i="10" s="1"/>
  <c r="BH18" i="10" s="1"/>
  <c r="B21" i="10"/>
  <c r="AG21" i="9"/>
  <c r="N25" i="9"/>
  <c r="AG25" i="9"/>
  <c r="U20" i="9"/>
  <c r="R23" i="10"/>
  <c r="T19" i="10"/>
  <c r="S19" i="12"/>
  <c r="AH19" i="12"/>
  <c r="AR19" i="12" s="1"/>
  <c r="AJ19" i="12"/>
  <c r="AT19" i="12" s="1"/>
  <c r="U19" i="12"/>
  <c r="AN19" i="9"/>
  <c r="Y19" i="9"/>
  <c r="AJ19" i="9"/>
  <c r="U19" i="9"/>
  <c r="E21" i="4"/>
  <c r="AM21" i="4" s="1"/>
  <c r="E22" i="4" s="1"/>
  <c r="AK18" i="10"/>
  <c r="AU18" i="10" s="1"/>
  <c r="BE18" i="10" s="1"/>
  <c r="G21" i="12"/>
  <c r="R24" i="9"/>
  <c r="D21" i="9"/>
  <c r="B21" i="4"/>
  <c r="AJ21" i="4" s="1"/>
  <c r="B22" i="4" s="1"/>
  <c r="S19" i="10"/>
  <c r="I20" i="10"/>
  <c r="Z20" i="10" s="1"/>
  <c r="AO20" i="10" s="1"/>
  <c r="AY20" i="10" s="1"/>
  <c r="BI20" i="10" s="1"/>
  <c r="H21" i="10"/>
  <c r="AG24" i="9"/>
  <c r="G21" i="9"/>
  <c r="AG23" i="10"/>
  <c r="AQ23" i="10" s="1"/>
  <c r="BA23" i="10" s="1"/>
  <c r="W19" i="10"/>
  <c r="R21" i="9"/>
  <c r="O23" i="4"/>
  <c r="Y23" i="4" s="1"/>
  <c r="AI23" i="4"/>
  <c r="AN19" i="10"/>
  <c r="AX19" i="10" s="1"/>
  <c r="BH19" i="10" s="1"/>
  <c r="Y19" i="10"/>
  <c r="N26" i="10"/>
  <c r="AG22" i="10"/>
  <c r="AQ22" i="10" s="1"/>
  <c r="BA22" i="10" s="1"/>
  <c r="N22" i="10"/>
  <c r="R22" i="10"/>
  <c r="AH19" i="9"/>
  <c r="S19" i="9"/>
  <c r="AL19" i="9"/>
  <c r="W19" i="9"/>
  <c r="T18" i="10"/>
  <c r="AI18" i="10"/>
  <c r="AS18" i="10" s="1"/>
  <c r="BC18" i="10" s="1"/>
  <c r="I20" i="7"/>
  <c r="S20" i="7" s="1"/>
  <c r="D21" i="7"/>
  <c r="AB21" i="7" s="1"/>
  <c r="D22" i="7" s="1"/>
  <c r="N25" i="10"/>
  <c r="U18" i="10"/>
  <c r="V19" i="9"/>
  <c r="G21" i="4"/>
  <c r="E21" i="7"/>
  <c r="AC21" i="7" s="1"/>
  <c r="E22" i="7" s="1"/>
  <c r="AM18" i="10"/>
  <c r="AW18" i="10" s="1"/>
  <c r="BG18" i="10" s="1"/>
  <c r="E21" i="10"/>
  <c r="D21" i="10"/>
  <c r="AG24" i="12"/>
  <c r="AQ24" i="12" s="1"/>
  <c r="N24" i="12"/>
  <c r="N23" i="9"/>
  <c r="U19" i="10"/>
  <c r="H21" i="12"/>
  <c r="B21" i="12"/>
  <c r="N26" i="9"/>
  <c r="AG23" i="9"/>
  <c r="R22" i="12"/>
  <c r="N22" i="12"/>
  <c r="AG22" i="12"/>
  <c r="AQ22" i="12" s="1"/>
  <c r="D21" i="12"/>
  <c r="X18" i="12"/>
  <c r="X20" i="12"/>
  <c r="I20" i="12"/>
  <c r="Z20" i="12" s="1"/>
  <c r="AN20" i="12" s="1"/>
  <c r="AX20" i="12" s="1"/>
  <c r="E21" i="12"/>
  <c r="T18" i="12"/>
  <c r="U20" i="12"/>
  <c r="AI21" i="4"/>
  <c r="O21" i="4"/>
  <c r="Y21" i="4" s="1"/>
  <c r="O24" i="4"/>
  <c r="Y24" i="4" s="1"/>
  <c r="AI24" i="4"/>
  <c r="AI25" i="4"/>
  <c r="O25" i="4"/>
  <c r="Y25" i="4" s="1"/>
  <c r="AG20" i="7"/>
  <c r="E23" i="1"/>
  <c r="H25" i="1"/>
  <c r="H26" i="1" s="1"/>
  <c r="H27" i="1" s="1"/>
  <c r="H28" i="1" s="1"/>
  <c r="H29" i="1" s="1"/>
  <c r="H30" i="1" s="1"/>
  <c r="O22" i="4"/>
  <c r="Y22" i="4" s="1"/>
  <c r="G25" i="1"/>
  <c r="G26" i="1" s="1"/>
  <c r="G27" i="1" s="1"/>
  <c r="G28" i="1" s="1"/>
  <c r="G29" i="1" s="1"/>
  <c r="G30" i="1" s="1"/>
  <c r="B24" i="1"/>
  <c r="I22" i="1"/>
  <c r="I21" i="1"/>
  <c r="S21" i="1" s="1"/>
  <c r="D23" i="1"/>
  <c r="N21" i="10"/>
  <c r="AG25" i="10"/>
  <c r="AQ25" i="10" s="1"/>
  <c r="BA25" i="10" s="1"/>
  <c r="AJ18" i="12"/>
  <c r="AT18" i="12" s="1"/>
  <c r="U18" i="12"/>
  <c r="AK19" i="12"/>
  <c r="AU19" i="12" s="1"/>
  <c r="V19" i="12"/>
  <c r="R21" i="12"/>
  <c r="N21" i="12"/>
  <c r="AG21" i="12"/>
  <c r="AQ21" i="12" s="1"/>
  <c r="AH18" i="12"/>
  <c r="AR18" i="12" s="1"/>
  <c r="S18" i="12"/>
  <c r="V18" i="12"/>
  <c r="AK18" i="12"/>
  <c r="AU18" i="12" s="1"/>
  <c r="Y18" i="12"/>
  <c r="AN18" i="12"/>
  <c r="AX18" i="12" s="1"/>
  <c r="T19" i="12"/>
  <c r="AI19" i="12"/>
  <c r="AS19" i="12" s="1"/>
  <c r="W19" i="12"/>
  <c r="AL19" i="12"/>
  <c r="AV19" i="12" s="1"/>
  <c r="S18" i="10"/>
  <c r="W18" i="12"/>
  <c r="AL18" i="12"/>
  <c r="AV18" i="12" s="1"/>
  <c r="AM19" i="12"/>
  <c r="AW19" i="12" s="1"/>
  <c r="X19" i="12"/>
  <c r="R25" i="12"/>
  <c r="AG25" i="12"/>
  <c r="AQ25" i="12" s="1"/>
  <c r="N25" i="12"/>
  <c r="R21" i="10"/>
  <c r="W18" i="10"/>
  <c r="S20" i="10"/>
  <c r="Y19" i="12"/>
  <c r="AN19" i="12"/>
  <c r="AX19" i="12" s="1"/>
  <c r="R23" i="12"/>
  <c r="AG23" i="12"/>
  <c r="AQ23" i="12" s="1"/>
  <c r="N23" i="12"/>
  <c r="AH18" i="9"/>
  <c r="V18" i="9"/>
  <c r="U18" i="9"/>
  <c r="AL18" i="9"/>
  <c r="Y18" i="9"/>
  <c r="J24" i="18" l="1"/>
  <c r="K24" i="18" s="1"/>
  <c r="L24" i="18" s="1"/>
  <c r="Z24" i="18"/>
  <c r="AH24" i="18"/>
  <c r="J24" i="19"/>
  <c r="K24" i="19" s="1"/>
  <c r="L24" i="19" s="1"/>
  <c r="AR24" i="19"/>
  <c r="Z24" i="19"/>
  <c r="G31" i="1"/>
  <c r="G32" i="1" s="1"/>
  <c r="H31" i="1"/>
  <c r="AO22" i="14"/>
  <c r="E26" i="13"/>
  <c r="V26" i="13" s="1"/>
  <c r="I37" i="15"/>
  <c r="D24" i="8" s="1"/>
  <c r="AC22" i="15"/>
  <c r="I36" i="14"/>
  <c r="B23" i="8" s="1"/>
  <c r="AB22" i="14"/>
  <c r="BJ22" i="14"/>
  <c r="H26" i="13"/>
  <c r="Y26" i="13" s="1"/>
  <c r="J23" i="13"/>
  <c r="K23" i="13" s="1"/>
  <c r="L23" i="13" s="1"/>
  <c r="BH23" i="14"/>
  <c r="H24" i="14" s="1"/>
  <c r="Y24" i="14" s="1"/>
  <c r="I23" i="14"/>
  <c r="S23" i="14"/>
  <c r="D26" i="13"/>
  <c r="U26" i="13" s="1"/>
  <c r="J23" i="15"/>
  <c r="K23" i="15" s="1"/>
  <c r="L23" i="15" s="1"/>
  <c r="BE23" i="14"/>
  <c r="E24" i="14" s="1"/>
  <c r="V24" i="14" s="1"/>
  <c r="BG23" i="14"/>
  <c r="G24" i="14" s="1"/>
  <c r="X24" i="14" s="1"/>
  <c r="Z23" i="13"/>
  <c r="B24" i="13"/>
  <c r="I37" i="13"/>
  <c r="C24" i="8" s="1"/>
  <c r="L22" i="13"/>
  <c r="G26" i="13"/>
  <c r="X26" i="13" s="1"/>
  <c r="BD23" i="14"/>
  <c r="D24" i="14" s="1"/>
  <c r="U24" i="14" s="1"/>
  <c r="Z23" i="15"/>
  <c r="H32" i="1"/>
  <c r="R22" i="1"/>
  <c r="I23" i="1"/>
  <c r="V23" i="1" s="1"/>
  <c r="AK20" i="9"/>
  <c r="AN20" i="10"/>
  <c r="AX20" i="10" s="1"/>
  <c r="BH20" i="10" s="1"/>
  <c r="I21" i="7"/>
  <c r="P21" i="7" s="1"/>
  <c r="AJ20" i="9"/>
  <c r="AN20" i="9"/>
  <c r="AM20" i="9"/>
  <c r="V20" i="4"/>
  <c r="AF20" i="4" s="1"/>
  <c r="AP20" i="4" s="1"/>
  <c r="P20" i="4"/>
  <c r="Z20" i="4" s="1"/>
  <c r="AJ20" i="4" s="1"/>
  <c r="I21" i="9"/>
  <c r="AH20" i="10"/>
  <c r="AR20" i="10" s="1"/>
  <c r="BB20" i="10" s="1"/>
  <c r="AH20" i="9"/>
  <c r="I21" i="10"/>
  <c r="I21" i="4"/>
  <c r="AH20" i="7"/>
  <c r="AJ20" i="10"/>
  <c r="AT20" i="10" s="1"/>
  <c r="BD20" i="10" s="1"/>
  <c r="AM20" i="10"/>
  <c r="AW20" i="10" s="1"/>
  <c r="BG20" i="10" s="1"/>
  <c r="AJ20" i="12"/>
  <c r="AT20" i="12" s="1"/>
  <c r="I21" i="12"/>
  <c r="AK20" i="10"/>
  <c r="AU20" i="10" s="1"/>
  <c r="BE20" i="10" s="1"/>
  <c r="AO21" i="4"/>
  <c r="G22" i="4" s="1"/>
  <c r="I22" i="4" s="1"/>
  <c r="U20" i="7"/>
  <c r="W20" i="7"/>
  <c r="R20" i="7"/>
  <c r="P20" i="7"/>
  <c r="V20" i="7"/>
  <c r="AH20" i="12"/>
  <c r="AK20" i="12"/>
  <c r="AU20" i="12" s="1"/>
  <c r="AM20" i="12"/>
  <c r="AW20" i="12" s="1"/>
  <c r="V21" i="1"/>
  <c r="J21" i="1"/>
  <c r="K21" i="1" s="1"/>
  <c r="L21" i="1" s="1"/>
  <c r="P21" i="1"/>
  <c r="U21" i="1"/>
  <c r="V22" i="1"/>
  <c r="J22" i="1"/>
  <c r="P22" i="1"/>
  <c r="E24" i="1"/>
  <c r="S22" i="1"/>
  <c r="R21" i="1"/>
  <c r="D24" i="1"/>
  <c r="U22" i="1"/>
  <c r="B25" i="1"/>
  <c r="B26" i="1" s="1"/>
  <c r="B27" i="1" s="1"/>
  <c r="B28" i="1" s="1"/>
  <c r="B29" i="1" s="1"/>
  <c r="B30" i="1" s="1"/>
  <c r="B22" i="7"/>
  <c r="AG21" i="7"/>
  <c r="BH24" i="18" l="1"/>
  <c r="H25" i="18" s="1"/>
  <c r="Y25" i="18" s="1"/>
  <c r="AK24" i="18"/>
  <c r="BB24" i="18"/>
  <c r="B25" i="18" s="1"/>
  <c r="AD24" i="18"/>
  <c r="AM24" i="18"/>
  <c r="AY24" i="18"/>
  <c r="AJ24" i="18"/>
  <c r="AO24" i="18" s="1"/>
  <c r="BI24" i="18"/>
  <c r="AA24" i="18"/>
  <c r="AB24" i="18" s="1"/>
  <c r="AC24" i="18" s="1"/>
  <c r="BJ24" i="18"/>
  <c r="AN24" i="18"/>
  <c r="AH24" i="19"/>
  <c r="AY24" i="19"/>
  <c r="BB24" i="19"/>
  <c r="B25" i="19" s="1"/>
  <c r="AD24" i="19"/>
  <c r="AM24" i="19"/>
  <c r="AA24" i="19"/>
  <c r="AB24" i="19" s="1"/>
  <c r="AC24" i="19" s="1"/>
  <c r="BI24" i="19"/>
  <c r="AK24" i="19"/>
  <c r="AJ24" i="19"/>
  <c r="AN24" i="19"/>
  <c r="BJ24" i="19"/>
  <c r="B31" i="1"/>
  <c r="B32" i="1" s="1"/>
  <c r="J23" i="14"/>
  <c r="K23" i="14" s="1"/>
  <c r="L23" i="14" s="1"/>
  <c r="AY23" i="15"/>
  <c r="AX23" i="15"/>
  <c r="H24" i="15" s="1"/>
  <c r="Y24" i="15" s="1"/>
  <c r="AM23" i="15"/>
  <c r="AA23" i="15"/>
  <c r="AJ23" i="15"/>
  <c r="AK23" i="15"/>
  <c r="AH23" i="15"/>
  <c r="AD23" i="15"/>
  <c r="AW23" i="15"/>
  <c r="G24" i="15" s="1"/>
  <c r="X24" i="15" s="1"/>
  <c r="AT23" i="15"/>
  <c r="D24" i="15" s="1"/>
  <c r="U24" i="15" s="1"/>
  <c r="AU23" i="15"/>
  <c r="E24" i="15" s="1"/>
  <c r="V24" i="15" s="1"/>
  <c r="AR23" i="15"/>
  <c r="B24" i="15" s="1"/>
  <c r="AN23" i="15"/>
  <c r="I24" i="13"/>
  <c r="S24" i="13"/>
  <c r="I37" i="14"/>
  <c r="B24" i="8" s="1"/>
  <c r="AC22" i="14"/>
  <c r="AA23" i="13"/>
  <c r="AB23" i="13" s="1"/>
  <c r="AC23" i="13" s="1"/>
  <c r="AD23" i="13"/>
  <c r="AM23" i="13"/>
  <c r="AK23" i="13"/>
  <c r="AN23" i="13"/>
  <c r="AJ23" i="13"/>
  <c r="AH23" i="13"/>
  <c r="D27" i="13"/>
  <c r="U27" i="13" s="1"/>
  <c r="G27" i="13"/>
  <c r="X27" i="13" s="1"/>
  <c r="BB23" i="14"/>
  <c r="B24" i="14" s="1"/>
  <c r="Z23" i="14"/>
  <c r="H27" i="13"/>
  <c r="Y27" i="13" s="1"/>
  <c r="E27" i="13"/>
  <c r="V27" i="13" s="1"/>
  <c r="AH21" i="7"/>
  <c r="J23" i="1"/>
  <c r="K23" i="1" s="1"/>
  <c r="U23" i="1"/>
  <c r="S21" i="7"/>
  <c r="S23" i="1"/>
  <c r="S21" i="4"/>
  <c r="P23" i="1"/>
  <c r="O21" i="12"/>
  <c r="V21" i="12" s="1"/>
  <c r="O21" i="10"/>
  <c r="Y21" i="10" s="1"/>
  <c r="O21" i="9"/>
  <c r="Y21" i="9" s="1"/>
  <c r="R23" i="1"/>
  <c r="V21" i="7"/>
  <c r="U21" i="7"/>
  <c r="R21" i="7"/>
  <c r="J21" i="7"/>
  <c r="K21" i="7" s="1"/>
  <c r="L21" i="7" s="1"/>
  <c r="J21" i="9"/>
  <c r="K21" i="9" s="1"/>
  <c r="L21" i="9" s="1"/>
  <c r="R21" i="4"/>
  <c r="Z21" i="4"/>
  <c r="J21" i="10"/>
  <c r="K21" i="10" s="1"/>
  <c r="L21" i="10" s="1"/>
  <c r="AC21" i="4"/>
  <c r="AQ21" i="4"/>
  <c r="AR21" i="4" s="1"/>
  <c r="I24" i="1"/>
  <c r="J24" i="1" s="1"/>
  <c r="K24" i="1" s="1"/>
  <c r="L24" i="1" s="1"/>
  <c r="P21" i="4"/>
  <c r="AG21" i="4"/>
  <c r="J21" i="4"/>
  <c r="K21" i="4" s="1"/>
  <c r="L21" i="4" s="1"/>
  <c r="AE21" i="4"/>
  <c r="AB21" i="4"/>
  <c r="V21" i="4"/>
  <c r="U21" i="4"/>
  <c r="AF21" i="4"/>
  <c r="J21" i="12"/>
  <c r="K21" i="12" s="1"/>
  <c r="L21" i="12" s="1"/>
  <c r="K22" i="1"/>
  <c r="I36" i="1"/>
  <c r="C10" i="8" s="1"/>
  <c r="W22" i="1"/>
  <c r="W21" i="1"/>
  <c r="AR20" i="12"/>
  <c r="AY20" i="12" s="1"/>
  <c r="AO20" i="12"/>
  <c r="AQ22" i="4"/>
  <c r="J22" i="4"/>
  <c r="AC22" i="4"/>
  <c r="Z22" i="4"/>
  <c r="S22" i="4"/>
  <c r="AG22" i="4"/>
  <c r="P22" i="4"/>
  <c r="U22" i="4"/>
  <c r="R22" i="4"/>
  <c r="AE22" i="4"/>
  <c r="AB22" i="4"/>
  <c r="AF22" i="4"/>
  <c r="I22" i="7"/>
  <c r="P22" i="7" s="1"/>
  <c r="D25" i="1"/>
  <c r="D26" i="1" s="1"/>
  <c r="V22" i="4"/>
  <c r="E25" i="1"/>
  <c r="E26" i="1" s="1"/>
  <c r="E27" i="1" s="1"/>
  <c r="E28" i="1" s="1"/>
  <c r="E29" i="1" s="1"/>
  <c r="E30" i="1" s="1"/>
  <c r="S25" i="19" l="1"/>
  <c r="I25" i="19"/>
  <c r="S25" i="18"/>
  <c r="I25" i="18"/>
  <c r="AO24" i="19"/>
  <c r="E31" i="1"/>
  <c r="E32" i="1" s="1"/>
  <c r="AU24" i="15"/>
  <c r="E25" i="15" s="1"/>
  <c r="V25" i="15" s="1"/>
  <c r="E28" i="13"/>
  <c r="V28" i="13" s="1"/>
  <c r="AT24" i="15"/>
  <c r="D25" i="15" s="1"/>
  <c r="U25" i="15" s="1"/>
  <c r="G28" i="13"/>
  <c r="X28" i="13" s="1"/>
  <c r="AW24" i="15"/>
  <c r="G25" i="15" s="1"/>
  <c r="X25" i="15" s="1"/>
  <c r="AX24" i="15"/>
  <c r="H25" i="15" s="1"/>
  <c r="Y25" i="15" s="1"/>
  <c r="H28" i="13"/>
  <c r="Y28" i="13" s="1"/>
  <c r="BJ23" i="14"/>
  <c r="BI23" i="14"/>
  <c r="AA23" i="14"/>
  <c r="AB23" i="14" s="1"/>
  <c r="AC23" i="14" s="1"/>
  <c r="AD23" i="14"/>
  <c r="AY23" i="14"/>
  <c r="AW23" i="14"/>
  <c r="AM23" i="14"/>
  <c r="AJ23" i="14"/>
  <c r="AX23" i="14"/>
  <c r="AT23" i="14"/>
  <c r="AU23" i="14"/>
  <c r="AN23" i="14"/>
  <c r="AK23" i="14"/>
  <c r="AO23" i="15"/>
  <c r="S24" i="14"/>
  <c r="I24" i="14"/>
  <c r="J24" i="13"/>
  <c r="K24" i="13" s="1"/>
  <c r="L24" i="13" s="1"/>
  <c r="AR23" i="14"/>
  <c r="AB23" i="15"/>
  <c r="AC23" i="15" s="1"/>
  <c r="D28" i="13"/>
  <c r="U28" i="13" s="1"/>
  <c r="Z24" i="13"/>
  <c r="B25" i="13"/>
  <c r="AH23" i="14"/>
  <c r="AO23" i="13"/>
  <c r="I24" i="15"/>
  <c r="S24" i="15"/>
  <c r="AZ23" i="15"/>
  <c r="U21" i="12"/>
  <c r="AT21" i="12" s="1"/>
  <c r="D22" i="12" s="1"/>
  <c r="O22" i="12"/>
  <c r="O23" i="12" s="1"/>
  <c r="O24" i="12" s="1"/>
  <c r="O25" i="12" s="1"/>
  <c r="O26" i="12" s="1"/>
  <c r="O27" i="12" s="1"/>
  <c r="O28" i="12" s="1"/>
  <c r="O29" i="12" s="1"/>
  <c r="O30" i="12" s="1"/>
  <c r="X21" i="12"/>
  <c r="AW21" i="12" s="1"/>
  <c r="G22" i="12" s="1"/>
  <c r="O22" i="10"/>
  <c r="O23" i="10" s="1"/>
  <c r="O24" i="10" s="1"/>
  <c r="O25" i="10" s="1"/>
  <c r="O26" i="10" s="1"/>
  <c r="O27" i="10" s="1"/>
  <c r="O28" i="10" s="1"/>
  <c r="O29" i="10" s="1"/>
  <c r="O30" i="10" s="1"/>
  <c r="O31" i="10" s="1"/>
  <c r="V21" i="9"/>
  <c r="E22" i="9" s="1"/>
  <c r="U21" i="10"/>
  <c r="BD21" i="10" s="1"/>
  <c r="D22" i="10" s="1"/>
  <c r="S21" i="10"/>
  <c r="BB21" i="10" s="1"/>
  <c r="B22" i="10" s="1"/>
  <c r="V21" i="10"/>
  <c r="BE21" i="10" s="1"/>
  <c r="E22" i="10" s="1"/>
  <c r="X21" i="10"/>
  <c r="BG21" i="10" s="1"/>
  <c r="G22" i="10" s="1"/>
  <c r="S21" i="12"/>
  <c r="AR21" i="12" s="1"/>
  <c r="B22" i="12" s="1"/>
  <c r="W21" i="7"/>
  <c r="S21" i="9"/>
  <c r="B22" i="9" s="1"/>
  <c r="Y21" i="12"/>
  <c r="W23" i="1"/>
  <c r="X21" i="9"/>
  <c r="G22" i="9" s="1"/>
  <c r="O22" i="9"/>
  <c r="O23" i="9" s="1"/>
  <c r="O24" i="9" s="1"/>
  <c r="O25" i="9" s="1"/>
  <c r="O26" i="9" s="1"/>
  <c r="O27" i="9" s="1"/>
  <c r="O28" i="9" s="1"/>
  <c r="O29" i="9" s="1"/>
  <c r="U21" i="9"/>
  <c r="D22" i="9" s="1"/>
  <c r="P24" i="1"/>
  <c r="V24" i="1"/>
  <c r="U24" i="1"/>
  <c r="S24" i="1"/>
  <c r="R24" i="1"/>
  <c r="W21" i="4"/>
  <c r="D27" i="1"/>
  <c r="I26" i="1"/>
  <c r="W22" i="4"/>
  <c r="L22" i="1"/>
  <c r="I37" i="1"/>
  <c r="C11" i="8" s="1"/>
  <c r="H22" i="9"/>
  <c r="L23" i="1"/>
  <c r="AU21" i="12"/>
  <c r="E22" i="12" s="1"/>
  <c r="K22" i="4"/>
  <c r="I36" i="4"/>
  <c r="B10" i="8" s="1"/>
  <c r="BH21" i="10"/>
  <c r="H22" i="10" s="1"/>
  <c r="I25" i="1"/>
  <c r="AL22" i="4"/>
  <c r="D23" i="4" s="1"/>
  <c r="AO22" i="4"/>
  <c r="G23" i="4" s="1"/>
  <c r="AM22" i="4"/>
  <c r="E23" i="4" s="1"/>
  <c r="AP22" i="4"/>
  <c r="H23" i="4" s="1"/>
  <c r="AJ22" i="4"/>
  <c r="B23" i="4" s="1"/>
  <c r="V22" i="7"/>
  <c r="U22" i="7"/>
  <c r="S22" i="7"/>
  <c r="AF22" i="7"/>
  <c r="J22" i="7"/>
  <c r="R22" i="7"/>
  <c r="J25" i="18" l="1"/>
  <c r="K25" i="18" s="1"/>
  <c r="L25" i="18" s="1"/>
  <c r="Z25" i="18"/>
  <c r="AH25" i="18"/>
  <c r="J25" i="19"/>
  <c r="K25" i="19" s="1"/>
  <c r="L25" i="19" s="1"/>
  <c r="AR25" i="19"/>
  <c r="Z25" i="19"/>
  <c r="AH25" i="19"/>
  <c r="O31" i="12"/>
  <c r="O30" i="9"/>
  <c r="O31" i="9" s="1"/>
  <c r="O32" i="9" s="1"/>
  <c r="Y22" i="9"/>
  <c r="H23" i="9" s="1"/>
  <c r="Y23" i="9" s="1"/>
  <c r="Z21" i="12"/>
  <c r="AH21" i="12" s="1"/>
  <c r="X22" i="12"/>
  <c r="V22" i="12"/>
  <c r="S25" i="13"/>
  <c r="I25" i="13"/>
  <c r="G29" i="13"/>
  <c r="X29" i="13" s="1"/>
  <c r="AR24" i="15"/>
  <c r="B25" i="15" s="1"/>
  <c r="Z24" i="15"/>
  <c r="H29" i="13"/>
  <c r="Y29" i="13" s="1"/>
  <c r="D29" i="13"/>
  <c r="U29" i="13" s="1"/>
  <c r="AX25" i="15"/>
  <c r="H26" i="15" s="1"/>
  <c r="Y26" i="15" s="1"/>
  <c r="E29" i="13"/>
  <c r="V29" i="13" s="1"/>
  <c r="AA24" i="13"/>
  <c r="AB24" i="13" s="1"/>
  <c r="AC24" i="13" s="1"/>
  <c r="AD24" i="13"/>
  <c r="AJ24" i="13"/>
  <c r="AN24" i="13"/>
  <c r="AM24" i="13"/>
  <c r="AK24" i="13"/>
  <c r="AO23" i="14"/>
  <c r="J24" i="14"/>
  <c r="K24" i="14" s="1"/>
  <c r="L24" i="14" s="1"/>
  <c r="Z24" i="14"/>
  <c r="AR24" i="14" s="1"/>
  <c r="AT25" i="15"/>
  <c r="D26" i="15" s="1"/>
  <c r="U26" i="15" s="1"/>
  <c r="J24" i="15"/>
  <c r="K24" i="15" s="1"/>
  <c r="L24" i="15" s="1"/>
  <c r="AH24" i="13"/>
  <c r="AW25" i="15"/>
  <c r="G26" i="15" s="1"/>
  <c r="X26" i="15" s="1"/>
  <c r="AU25" i="15"/>
  <c r="E26" i="15" s="1"/>
  <c r="V26" i="15" s="1"/>
  <c r="U22" i="12"/>
  <c r="Z21" i="10"/>
  <c r="AJ21" i="10" s="1"/>
  <c r="U22" i="9"/>
  <c r="D23" i="9" s="1"/>
  <c r="U23" i="9" s="1"/>
  <c r="X22" i="9"/>
  <c r="G23" i="9" s="1"/>
  <c r="X23" i="9" s="1"/>
  <c r="G24" i="9" s="1"/>
  <c r="O33" i="9"/>
  <c r="AX21" i="12"/>
  <c r="H22" i="12" s="1"/>
  <c r="Y22" i="12" s="1"/>
  <c r="Z21" i="9"/>
  <c r="AH21" i="9" s="1"/>
  <c r="V22" i="9"/>
  <c r="E23" i="9" s="1"/>
  <c r="V23" i="9" s="1"/>
  <c r="R25" i="1"/>
  <c r="W24" i="1"/>
  <c r="J26" i="1"/>
  <c r="K26" i="1" s="1"/>
  <c r="L26" i="1" s="1"/>
  <c r="O32" i="12"/>
  <c r="O33" i="12"/>
  <c r="I38" i="12" s="1"/>
  <c r="O32" i="10"/>
  <c r="O33" i="10"/>
  <c r="I38" i="10" s="1"/>
  <c r="AM21" i="12"/>
  <c r="D28" i="1"/>
  <c r="D29" i="1" s="1"/>
  <c r="D30" i="1" s="1"/>
  <c r="I27" i="1"/>
  <c r="J27" i="1" s="1"/>
  <c r="K27" i="1" s="1"/>
  <c r="L27" i="1" s="1"/>
  <c r="P26" i="1"/>
  <c r="S25" i="1"/>
  <c r="W22" i="7"/>
  <c r="AN21" i="10"/>
  <c r="X22" i="10"/>
  <c r="AH21" i="10"/>
  <c r="AR22" i="4"/>
  <c r="Y22" i="10"/>
  <c r="V22" i="10"/>
  <c r="U22" i="10"/>
  <c r="K10" i="8"/>
  <c r="AP23" i="4"/>
  <c r="H24" i="4" s="1"/>
  <c r="H23" i="7"/>
  <c r="AG22" i="7"/>
  <c r="AH22" i="7" s="1"/>
  <c r="V26" i="1"/>
  <c r="U26" i="1"/>
  <c r="S26" i="1"/>
  <c r="S22" i="9"/>
  <c r="I22" i="9"/>
  <c r="I22" i="10"/>
  <c r="S22" i="10"/>
  <c r="AO23" i="4"/>
  <c r="G24" i="4" s="1"/>
  <c r="S22" i="12"/>
  <c r="I36" i="7"/>
  <c r="D10" i="8" s="1"/>
  <c r="J10" i="8" s="1"/>
  <c r="K22" i="7"/>
  <c r="AM23" i="4"/>
  <c r="E24" i="4" s="1"/>
  <c r="J25" i="1"/>
  <c r="K25" i="1" s="1"/>
  <c r="L25" i="1" s="1"/>
  <c r="U25" i="1"/>
  <c r="V25" i="1"/>
  <c r="P25" i="1"/>
  <c r="BJ21" i="10"/>
  <c r="AD21" i="10"/>
  <c r="AJ23" i="4"/>
  <c r="B24" i="4" s="1"/>
  <c r="I23" i="4"/>
  <c r="AL23" i="4"/>
  <c r="D24" i="4" s="1"/>
  <c r="AA21" i="12"/>
  <c r="AB21" i="12" s="1"/>
  <c r="AC21" i="12" s="1"/>
  <c r="AD21" i="12"/>
  <c r="R26" i="1"/>
  <c r="L22" i="4"/>
  <c r="I37" i="4"/>
  <c r="B11" i="8" s="1"/>
  <c r="AY21" i="12" l="1"/>
  <c r="BH25" i="18"/>
  <c r="H26" i="18" s="1"/>
  <c r="Y26" i="18" s="1"/>
  <c r="BI25" i="18"/>
  <c r="AJ25" i="18"/>
  <c r="AO25" i="18" s="1"/>
  <c r="BJ25" i="18"/>
  <c r="AM25" i="18"/>
  <c r="AK25" i="18"/>
  <c r="BB25" i="18"/>
  <c r="B26" i="18" s="1"/>
  <c r="AY25" i="18"/>
  <c r="AA25" i="18"/>
  <c r="AB25" i="18" s="1"/>
  <c r="AC25" i="18" s="1"/>
  <c r="AD25" i="18"/>
  <c r="AN25" i="18"/>
  <c r="BI25" i="19"/>
  <c r="AN25" i="19"/>
  <c r="AA25" i="19"/>
  <c r="AB25" i="19" s="1"/>
  <c r="AC25" i="19" s="1"/>
  <c r="AK25" i="19"/>
  <c r="AO25" i="19" s="1"/>
  <c r="AD25" i="19"/>
  <c r="AY25" i="19"/>
  <c r="AJ25" i="19"/>
  <c r="AM25" i="19"/>
  <c r="BB25" i="19"/>
  <c r="B26" i="19" s="1"/>
  <c r="BJ25" i="19"/>
  <c r="AA21" i="10"/>
  <c r="AB21" i="10" s="1"/>
  <c r="AC21" i="10" s="1"/>
  <c r="AU21" i="10"/>
  <c r="AD21" i="9"/>
  <c r="AW21" i="10"/>
  <c r="AT21" i="10"/>
  <c r="AY21" i="10"/>
  <c r="AK21" i="10"/>
  <c r="AX21" i="10"/>
  <c r="AM21" i="10"/>
  <c r="AO21" i="10" s="1"/>
  <c r="AR21" i="10"/>
  <c r="BI21" i="10"/>
  <c r="AH24" i="14"/>
  <c r="D31" i="1"/>
  <c r="I30" i="1"/>
  <c r="AK21" i="12"/>
  <c r="AJ21" i="12"/>
  <c r="AN21" i="12"/>
  <c r="AO24" i="13"/>
  <c r="H30" i="13"/>
  <c r="Y30" i="13" s="1"/>
  <c r="B26" i="13"/>
  <c r="Z25" i="13"/>
  <c r="E30" i="13"/>
  <c r="V30" i="13" s="1"/>
  <c r="AD24" i="15"/>
  <c r="AZ24" i="15"/>
  <c r="AA24" i="15"/>
  <c r="AY24" i="15"/>
  <c r="AM24" i="15"/>
  <c r="AJ24" i="15"/>
  <c r="AK24" i="15"/>
  <c r="AN24" i="15"/>
  <c r="I25" i="15"/>
  <c r="S25" i="15"/>
  <c r="AT26" i="15"/>
  <c r="D27" i="15" s="1"/>
  <c r="U27" i="15" s="1"/>
  <c r="AX26" i="15"/>
  <c r="H27" i="15" s="1"/>
  <c r="Y27" i="15" s="1"/>
  <c r="AH24" i="15"/>
  <c r="AU26" i="15"/>
  <c r="E27" i="15" s="1"/>
  <c r="V27" i="15" s="1"/>
  <c r="AW26" i="15"/>
  <c r="G27" i="15" s="1"/>
  <c r="X27" i="15" s="1"/>
  <c r="D30" i="13"/>
  <c r="U30" i="13" s="1"/>
  <c r="G30" i="13"/>
  <c r="X30" i="13" s="1"/>
  <c r="AY24" i="14"/>
  <c r="BI24" i="14"/>
  <c r="AD24" i="14"/>
  <c r="AA24" i="14"/>
  <c r="AB24" i="14" s="1"/>
  <c r="AC24" i="14" s="1"/>
  <c r="BH24" i="14"/>
  <c r="H25" i="14" s="1"/>
  <c r="Y25" i="14" s="1"/>
  <c r="BE24" i="14"/>
  <c r="E25" i="14" s="1"/>
  <c r="V25" i="14" s="1"/>
  <c r="BG24" i="14"/>
  <c r="G25" i="14" s="1"/>
  <c r="X25" i="14" s="1"/>
  <c r="BD24" i="14"/>
  <c r="D25" i="14" s="1"/>
  <c r="U25" i="14" s="1"/>
  <c r="BB24" i="14"/>
  <c r="B25" i="14" s="1"/>
  <c r="AK24" i="14"/>
  <c r="AT24" i="14"/>
  <c r="AM24" i="14"/>
  <c r="AU24" i="14"/>
  <c r="AN24" i="14"/>
  <c r="AX24" i="14"/>
  <c r="AJ24" i="14"/>
  <c r="AW24" i="14"/>
  <c r="J25" i="13"/>
  <c r="K25" i="13" s="1"/>
  <c r="L25" i="13" s="1"/>
  <c r="I22" i="12"/>
  <c r="J22" i="12" s="1"/>
  <c r="K22" i="12" s="1"/>
  <c r="L22" i="12" s="1"/>
  <c r="AJ21" i="9"/>
  <c r="AZ21" i="12"/>
  <c r="AK21" i="9"/>
  <c r="AN21" i="9"/>
  <c r="AM21" i="9"/>
  <c r="AA21" i="9"/>
  <c r="AB21" i="9" s="1"/>
  <c r="AC21" i="9" s="1"/>
  <c r="I29" i="1"/>
  <c r="R29" i="1" s="1"/>
  <c r="AC23" i="4"/>
  <c r="I28" i="1"/>
  <c r="J28" i="1" s="1"/>
  <c r="K28" i="1" s="1"/>
  <c r="L28" i="1" s="1"/>
  <c r="I41" i="12"/>
  <c r="I41" i="10"/>
  <c r="V27" i="1"/>
  <c r="U27" i="1"/>
  <c r="P27" i="1"/>
  <c r="R27" i="1"/>
  <c r="S27" i="1"/>
  <c r="Z23" i="4"/>
  <c r="U23" i="4"/>
  <c r="W26" i="1"/>
  <c r="AB23" i="4"/>
  <c r="R23" i="4"/>
  <c r="I10" i="8"/>
  <c r="W25" i="1"/>
  <c r="AE23" i="4"/>
  <c r="AF23" i="4"/>
  <c r="P23" i="4"/>
  <c r="K11" i="8"/>
  <c r="E24" i="9"/>
  <c r="V24" i="9" s="1"/>
  <c r="Z22" i="9"/>
  <c r="AH22" i="9" s="1"/>
  <c r="B23" i="9"/>
  <c r="I24" i="4"/>
  <c r="U24" i="4" s="1"/>
  <c r="H24" i="9"/>
  <c r="Y24" i="9" s="1"/>
  <c r="L22" i="7"/>
  <c r="I37" i="7"/>
  <c r="D11" i="8" s="1"/>
  <c r="J11" i="8" s="1"/>
  <c r="J23" i="4"/>
  <c r="K23" i="4" s="1"/>
  <c r="L23" i="4" s="1"/>
  <c r="AG23" i="4"/>
  <c r="AQ23" i="4"/>
  <c r="AR23" i="4" s="1"/>
  <c r="D24" i="9"/>
  <c r="U24" i="9" s="1"/>
  <c r="S23" i="4"/>
  <c r="X24" i="9"/>
  <c r="G25" i="9" s="1"/>
  <c r="Z22" i="10"/>
  <c r="AH22" i="10" s="1"/>
  <c r="I23" i="7"/>
  <c r="V23" i="7" s="1"/>
  <c r="V23" i="4"/>
  <c r="Z22" i="12"/>
  <c r="J22" i="10"/>
  <c r="K22" i="10" s="1"/>
  <c r="L22" i="10" s="1"/>
  <c r="J22" i="9"/>
  <c r="AO21" i="12" l="1"/>
  <c r="S26" i="19"/>
  <c r="I26" i="19"/>
  <c r="S26" i="18"/>
  <c r="I26" i="18"/>
  <c r="J30" i="1"/>
  <c r="K30" i="1" s="1"/>
  <c r="L30" i="1" s="1"/>
  <c r="U30" i="1"/>
  <c r="V30" i="1"/>
  <c r="P30" i="1"/>
  <c r="S30" i="1"/>
  <c r="R30" i="1"/>
  <c r="I31" i="1"/>
  <c r="AO24" i="14"/>
  <c r="I25" i="14"/>
  <c r="S25" i="14"/>
  <c r="AR25" i="15"/>
  <c r="B26" i="15" s="1"/>
  <c r="Z25" i="15"/>
  <c r="BD25" i="14"/>
  <c r="D26" i="14" s="1"/>
  <c r="U26" i="14" s="1"/>
  <c r="BJ24" i="14"/>
  <c r="AU27" i="15"/>
  <c r="E28" i="15" s="1"/>
  <c r="V28" i="15" s="1"/>
  <c r="J25" i="15"/>
  <c r="K25" i="15" s="1"/>
  <c r="L25" i="15" s="1"/>
  <c r="BG25" i="14"/>
  <c r="G26" i="14" s="1"/>
  <c r="X26" i="14" s="1"/>
  <c r="G31" i="13"/>
  <c r="X31" i="13" s="1"/>
  <c r="BE25" i="14"/>
  <c r="E26" i="14" s="1"/>
  <c r="V26" i="14" s="1"/>
  <c r="AO24" i="15"/>
  <c r="E31" i="13"/>
  <c r="V31" i="13" s="1"/>
  <c r="BH25" i="14"/>
  <c r="H26" i="14" s="1"/>
  <c r="Y26" i="14" s="1"/>
  <c r="D31" i="13"/>
  <c r="U31" i="13" s="1"/>
  <c r="AA25" i="13"/>
  <c r="AB25" i="13" s="1"/>
  <c r="AC25" i="13" s="1"/>
  <c r="AD25" i="13"/>
  <c r="AK25" i="13"/>
  <c r="AJ25" i="13"/>
  <c r="AM25" i="13"/>
  <c r="AN25" i="13"/>
  <c r="AX27" i="15"/>
  <c r="H28" i="15" s="1"/>
  <c r="Y28" i="15" s="1"/>
  <c r="AH25" i="13"/>
  <c r="AT27" i="15"/>
  <c r="D28" i="15" s="1"/>
  <c r="U28" i="15" s="1"/>
  <c r="I26" i="13"/>
  <c r="J26" i="13" s="1"/>
  <c r="K26" i="13" s="1"/>
  <c r="L26" i="13" s="1"/>
  <c r="S26" i="13"/>
  <c r="AW27" i="15"/>
  <c r="G28" i="15" s="1"/>
  <c r="X28" i="15" s="1"/>
  <c r="AB24" i="15"/>
  <c r="AC24" i="15" s="1"/>
  <c r="H31" i="13"/>
  <c r="Y31" i="13" s="1"/>
  <c r="AO21" i="9"/>
  <c r="J29" i="1"/>
  <c r="K29" i="1" s="1"/>
  <c r="L29" i="1" s="1"/>
  <c r="V29" i="1"/>
  <c r="U29" i="1"/>
  <c r="P29" i="1"/>
  <c r="S29" i="1"/>
  <c r="I25" i="8"/>
  <c r="D32" i="1"/>
  <c r="S28" i="1"/>
  <c r="P28" i="1"/>
  <c r="R28" i="1"/>
  <c r="U28" i="1"/>
  <c r="V28" i="1"/>
  <c r="W27" i="1"/>
  <c r="R24" i="4"/>
  <c r="S24" i="4"/>
  <c r="V24" i="4"/>
  <c r="AB24" i="4"/>
  <c r="AC24" i="4"/>
  <c r="Z24" i="4"/>
  <c r="P24" i="4"/>
  <c r="W23" i="4"/>
  <c r="AE24" i="4"/>
  <c r="I32" i="1"/>
  <c r="I11" i="8"/>
  <c r="K22" i="9"/>
  <c r="I36" i="9"/>
  <c r="AA22" i="12"/>
  <c r="AX22" i="12"/>
  <c r="H23" i="12" s="1"/>
  <c r="AD22" i="12"/>
  <c r="AY22" i="12"/>
  <c r="AJ22" i="12"/>
  <c r="AN22" i="12"/>
  <c r="AM22" i="12"/>
  <c r="AK22" i="12"/>
  <c r="X25" i="9"/>
  <c r="G26" i="9" s="1"/>
  <c r="X26" i="9" s="1"/>
  <c r="AY22" i="10"/>
  <c r="AA22" i="10"/>
  <c r="AD22" i="10"/>
  <c r="BI22" i="10"/>
  <c r="BE22" i="10"/>
  <c r="E23" i="10" s="1"/>
  <c r="V23" i="10" s="1"/>
  <c r="BH22" i="10"/>
  <c r="H23" i="10" s="1"/>
  <c r="Y23" i="10" s="1"/>
  <c r="BG22" i="10"/>
  <c r="G23" i="10" s="1"/>
  <c r="X23" i="10" s="1"/>
  <c r="BD22" i="10"/>
  <c r="D23" i="10" s="1"/>
  <c r="U23" i="10" s="1"/>
  <c r="BB22" i="10"/>
  <c r="B23" i="10" s="1"/>
  <c r="AU22" i="10"/>
  <c r="AK22" i="10"/>
  <c r="AX22" i="10"/>
  <c r="AJ22" i="10"/>
  <c r="AW22" i="10"/>
  <c r="AN22" i="10"/>
  <c r="AT22" i="10"/>
  <c r="AM22" i="10"/>
  <c r="H25" i="9"/>
  <c r="Y25" i="9" s="1"/>
  <c r="AQ24" i="4"/>
  <c r="AG24" i="4"/>
  <c r="J24" i="4"/>
  <c r="K24" i="4" s="1"/>
  <c r="L24" i="4" s="1"/>
  <c r="S23" i="9"/>
  <c r="I23" i="9"/>
  <c r="D25" i="9"/>
  <c r="U25" i="9" s="1"/>
  <c r="E25" i="9"/>
  <c r="V25" i="9" s="1"/>
  <c r="J23" i="7"/>
  <c r="K23" i="7" s="1"/>
  <c r="L23" i="7" s="1"/>
  <c r="AC23" i="7"/>
  <c r="E24" i="7" s="1"/>
  <c r="R23" i="7"/>
  <c r="AE23" i="7"/>
  <c r="G24" i="7" s="1"/>
  <c r="AB23" i="7"/>
  <c r="D24" i="7" s="1"/>
  <c r="Z23" i="7"/>
  <c r="AF23" i="7"/>
  <c r="H24" i="7" s="1"/>
  <c r="S23" i="7"/>
  <c r="P23" i="7"/>
  <c r="U23" i="7"/>
  <c r="AH22" i="12"/>
  <c r="AR22" i="10"/>
  <c r="AF24" i="4"/>
  <c r="AA22" i="9"/>
  <c r="AD22" i="9"/>
  <c r="AM22" i="9"/>
  <c r="AN22" i="9"/>
  <c r="AJ22" i="9"/>
  <c r="AK22" i="9"/>
  <c r="J26" i="18" l="1"/>
  <c r="K26" i="18" s="1"/>
  <c r="L26" i="18" s="1"/>
  <c r="Z26" i="18"/>
  <c r="AH26" i="18"/>
  <c r="J26" i="19"/>
  <c r="K26" i="19" s="1"/>
  <c r="L26" i="19" s="1"/>
  <c r="AR26" i="19"/>
  <c r="Z26" i="19"/>
  <c r="AH26" i="19"/>
  <c r="J31" i="1"/>
  <c r="K31" i="1" s="1"/>
  <c r="L31" i="1" s="1"/>
  <c r="U31" i="1"/>
  <c r="V31" i="1"/>
  <c r="C13" i="8" s="1"/>
  <c r="P31" i="1"/>
  <c r="S31" i="1"/>
  <c r="R31" i="1"/>
  <c r="W30" i="1"/>
  <c r="X32" i="13"/>
  <c r="G32" i="13"/>
  <c r="BB25" i="14"/>
  <c r="B26" i="14" s="1"/>
  <c r="Z25" i="14"/>
  <c r="AT28" i="15"/>
  <c r="D29" i="15" s="1"/>
  <c r="U29" i="15" s="1"/>
  <c r="J25" i="14"/>
  <c r="K25" i="14" s="1"/>
  <c r="L25" i="14" s="1"/>
  <c r="H32" i="13"/>
  <c r="Y32" i="13"/>
  <c r="BG26" i="14"/>
  <c r="G27" i="14" s="1"/>
  <c r="X27" i="14" s="1"/>
  <c r="AO25" i="13"/>
  <c r="E32" i="13"/>
  <c r="V32" i="13"/>
  <c r="AX28" i="15"/>
  <c r="H29" i="15" s="1"/>
  <c r="Y29" i="15" s="1"/>
  <c r="BD26" i="14"/>
  <c r="D27" i="14" s="1"/>
  <c r="U27" i="14" s="1"/>
  <c r="AW28" i="15"/>
  <c r="G29" i="15" s="1"/>
  <c r="X29" i="15" s="1"/>
  <c r="AZ25" i="15"/>
  <c r="AY25" i="15"/>
  <c r="AA25" i="15"/>
  <c r="AD25" i="15"/>
  <c r="AM25" i="15"/>
  <c r="AN25" i="15"/>
  <c r="AK25" i="15"/>
  <c r="AJ25" i="15"/>
  <c r="D32" i="13"/>
  <c r="U32" i="13"/>
  <c r="S26" i="15"/>
  <c r="I26" i="15"/>
  <c r="J26" i="15" s="1"/>
  <c r="K26" i="15" s="1"/>
  <c r="L26" i="15" s="1"/>
  <c r="Z26" i="13"/>
  <c r="AH26" i="13" s="1"/>
  <c r="B27" i="13"/>
  <c r="BH26" i="14"/>
  <c r="H27" i="14" s="1"/>
  <c r="Y27" i="14" s="1"/>
  <c r="BE26" i="14"/>
  <c r="E27" i="14" s="1"/>
  <c r="V27" i="14" s="1"/>
  <c r="AU28" i="15"/>
  <c r="E29" i="15" s="1"/>
  <c r="V29" i="15" s="1"/>
  <c r="AH25" i="15"/>
  <c r="W29" i="1"/>
  <c r="I40" i="1"/>
  <c r="W28" i="1"/>
  <c r="I38" i="1"/>
  <c r="W24" i="4"/>
  <c r="I34" i="1"/>
  <c r="C8" i="8" s="1"/>
  <c r="AB22" i="9"/>
  <c r="AC22" i="9" s="1"/>
  <c r="C6" i="8"/>
  <c r="G27" i="9"/>
  <c r="X27" i="9" s="1"/>
  <c r="I33" i="1"/>
  <c r="AZ22" i="12"/>
  <c r="AO22" i="10"/>
  <c r="AO22" i="9"/>
  <c r="W23" i="7"/>
  <c r="AO22" i="12"/>
  <c r="AF24" i="7"/>
  <c r="H25" i="7" s="1"/>
  <c r="AE24" i="7"/>
  <c r="G25" i="7" s="1"/>
  <c r="BH23" i="10"/>
  <c r="H24" i="10" s="1"/>
  <c r="Y24" i="10" s="1"/>
  <c r="BJ22" i="10"/>
  <c r="L22" i="9"/>
  <c r="I37" i="9"/>
  <c r="AB24" i="7"/>
  <c r="D25" i="7" s="1"/>
  <c r="E26" i="9"/>
  <c r="V26" i="9" s="1"/>
  <c r="J23" i="9"/>
  <c r="K23" i="9" s="1"/>
  <c r="L23" i="9" s="1"/>
  <c r="S23" i="10"/>
  <c r="I23" i="10"/>
  <c r="BE23" i="10"/>
  <c r="E24" i="10" s="1"/>
  <c r="V24" i="10" s="1"/>
  <c r="I36" i="10"/>
  <c r="K23" i="8" s="1"/>
  <c r="AB22" i="10"/>
  <c r="Y23" i="12"/>
  <c r="I23" i="12"/>
  <c r="AG23" i="7"/>
  <c r="AH23" i="7" s="1"/>
  <c r="B24" i="7"/>
  <c r="AC24" i="7"/>
  <c r="E25" i="7" s="1"/>
  <c r="B24" i="9"/>
  <c r="Z23" i="9"/>
  <c r="AH23" i="9" s="1"/>
  <c r="AM24" i="4"/>
  <c r="E25" i="4" s="1"/>
  <c r="AL24" i="4"/>
  <c r="D25" i="4" s="1"/>
  <c r="AO24" i="4"/>
  <c r="G25" i="4" s="1"/>
  <c r="AJ24" i="4"/>
  <c r="B25" i="4" s="1"/>
  <c r="AP24" i="4"/>
  <c r="H25" i="4" s="1"/>
  <c r="BD23" i="10"/>
  <c r="D24" i="10" s="1"/>
  <c r="U24" i="10" s="1"/>
  <c r="I36" i="12"/>
  <c r="J23" i="8" s="1"/>
  <c r="AB22" i="12"/>
  <c r="D26" i="9"/>
  <c r="U26" i="9" s="1"/>
  <c r="H26" i="9"/>
  <c r="Y26" i="9" s="1"/>
  <c r="BG23" i="10"/>
  <c r="G24" i="10" s="1"/>
  <c r="X24" i="10" s="1"/>
  <c r="BH26" i="18" l="1"/>
  <c r="H27" i="18" s="1"/>
  <c r="Y27" i="18" s="1"/>
  <c r="AY26" i="18"/>
  <c r="AA26" i="18"/>
  <c r="AB26" i="18" s="1"/>
  <c r="AC26" i="18" s="1"/>
  <c r="BB26" i="18"/>
  <c r="B27" i="18" s="1"/>
  <c r="AJ26" i="18"/>
  <c r="AO26" i="18" s="1"/>
  <c r="AD26" i="18"/>
  <c r="AK26" i="18"/>
  <c r="BI26" i="18"/>
  <c r="AM26" i="18"/>
  <c r="AN26" i="18"/>
  <c r="AJ26" i="19"/>
  <c r="AO26" i="19" s="1"/>
  <c r="AN26" i="19"/>
  <c r="AD26" i="19"/>
  <c r="AA26" i="19"/>
  <c r="AB26" i="19" s="1"/>
  <c r="AC26" i="19" s="1"/>
  <c r="AK26" i="19"/>
  <c r="AM26" i="19"/>
  <c r="BI26" i="19"/>
  <c r="AY26" i="19"/>
  <c r="BB26" i="19"/>
  <c r="B27" i="19" s="1"/>
  <c r="BJ26" i="19"/>
  <c r="W31" i="1"/>
  <c r="BE27" i="14"/>
  <c r="E28" i="14" s="1"/>
  <c r="V28" i="14" s="1"/>
  <c r="BD27" i="14"/>
  <c r="D28" i="14" s="1"/>
  <c r="U28" i="14" s="1"/>
  <c r="Z26" i="15"/>
  <c r="AH26" i="15" s="1"/>
  <c r="AR26" i="15"/>
  <c r="B27" i="15" s="1"/>
  <c r="BG27" i="14"/>
  <c r="G28" i="14" s="1"/>
  <c r="X28" i="14" s="1"/>
  <c r="AT29" i="15"/>
  <c r="D30" i="15" s="1"/>
  <c r="U30" i="15" s="1"/>
  <c r="AB25" i="15"/>
  <c r="AC25" i="15" s="1"/>
  <c r="AD25" i="14"/>
  <c r="BJ25" i="14"/>
  <c r="AY25" i="14"/>
  <c r="BI25" i="14"/>
  <c r="AA25" i="14"/>
  <c r="AB25" i="14" s="1"/>
  <c r="AC25" i="14" s="1"/>
  <c r="AU25" i="14"/>
  <c r="AK25" i="14"/>
  <c r="AM25" i="14"/>
  <c r="AJ25" i="14"/>
  <c r="AW25" i="14"/>
  <c r="AT25" i="14"/>
  <c r="AN25" i="14"/>
  <c r="AX25" i="14"/>
  <c r="AX29" i="15"/>
  <c r="H30" i="15" s="1"/>
  <c r="Y30" i="15" s="1"/>
  <c r="AH25" i="14"/>
  <c r="AO25" i="15"/>
  <c r="BH27" i="14"/>
  <c r="H28" i="14" s="1"/>
  <c r="Y28" i="14" s="1"/>
  <c r="S26" i="14"/>
  <c r="I26" i="14"/>
  <c r="J26" i="14" s="1"/>
  <c r="K26" i="14" s="1"/>
  <c r="L26" i="14" s="1"/>
  <c r="S27" i="13"/>
  <c r="I27" i="13"/>
  <c r="J27" i="13" s="1"/>
  <c r="K27" i="13" s="1"/>
  <c r="L27" i="13" s="1"/>
  <c r="AW29" i="15"/>
  <c r="G30" i="15" s="1"/>
  <c r="X30" i="15" s="1"/>
  <c r="AR25" i="14"/>
  <c r="AU29" i="15"/>
  <c r="E30" i="15" s="1"/>
  <c r="V30" i="15" s="1"/>
  <c r="AD26" i="13"/>
  <c r="AA26" i="13"/>
  <c r="AB26" i="13" s="1"/>
  <c r="AC26" i="13" s="1"/>
  <c r="AJ26" i="13"/>
  <c r="AM26" i="13"/>
  <c r="AK26" i="13"/>
  <c r="AN26" i="13"/>
  <c r="J23" i="12"/>
  <c r="K23" i="12" s="1"/>
  <c r="L23" i="12" s="1"/>
  <c r="I35" i="1"/>
  <c r="C9" i="8" s="1"/>
  <c r="I39" i="1"/>
  <c r="C7" i="8"/>
  <c r="C12" i="8"/>
  <c r="C14" i="8" s="1"/>
  <c r="AC25" i="7"/>
  <c r="E26" i="7" s="1"/>
  <c r="AC26" i="7" s="1"/>
  <c r="E27" i="7" s="1"/>
  <c r="AE25" i="7"/>
  <c r="G26" i="7" s="1"/>
  <c r="AE26" i="7" s="1"/>
  <c r="G27" i="7" s="1"/>
  <c r="AF25" i="7"/>
  <c r="H26" i="7" s="1"/>
  <c r="AF26" i="7" s="1"/>
  <c r="H27" i="7" s="1"/>
  <c r="AB25" i="7"/>
  <c r="D26" i="7" s="1"/>
  <c r="AB26" i="7" s="1"/>
  <c r="D27" i="7" s="1"/>
  <c r="D27" i="9"/>
  <c r="U27" i="9" s="1"/>
  <c r="H27" i="9"/>
  <c r="Y27" i="9" s="1"/>
  <c r="E27" i="9"/>
  <c r="V27" i="9" s="1"/>
  <c r="G28" i="9"/>
  <c r="X28" i="9" s="1"/>
  <c r="G29" i="9" s="1"/>
  <c r="X29" i="9" s="1"/>
  <c r="G30" i="9" s="1"/>
  <c r="X30" i="9" s="1"/>
  <c r="I23" i="8"/>
  <c r="I37" i="12"/>
  <c r="J24" i="8" s="1"/>
  <c r="AC22" i="12"/>
  <c r="AL25" i="4"/>
  <c r="D26" i="4" s="1"/>
  <c r="AD23" i="9"/>
  <c r="AA23" i="9"/>
  <c r="AK23" i="9"/>
  <c r="AM23" i="9"/>
  <c r="AN23" i="9"/>
  <c r="AJ23" i="9"/>
  <c r="Z24" i="7"/>
  <c r="I24" i="7"/>
  <c r="P24" i="7" s="1"/>
  <c r="BB23" i="10"/>
  <c r="B24" i="10" s="1"/>
  <c r="Z23" i="10"/>
  <c r="AP25" i="4"/>
  <c r="H26" i="4" s="1"/>
  <c r="AM25" i="4"/>
  <c r="E26" i="4" s="1"/>
  <c r="S24" i="9"/>
  <c r="I24" i="9"/>
  <c r="I38" i="9"/>
  <c r="I41" i="9" s="1"/>
  <c r="I25" i="4"/>
  <c r="AJ25" i="4"/>
  <c r="B26" i="4" s="1"/>
  <c r="AR24" i="4"/>
  <c r="I37" i="10"/>
  <c r="AC22" i="10"/>
  <c r="AO25" i="4"/>
  <c r="G26" i="4" s="1"/>
  <c r="Z23" i="12"/>
  <c r="AN23" i="12" s="1"/>
  <c r="J23" i="10"/>
  <c r="K23" i="10" s="1"/>
  <c r="L23" i="10" s="1"/>
  <c r="S27" i="18" l="1"/>
  <c r="I27" i="18"/>
  <c r="S27" i="19"/>
  <c r="I27" i="19"/>
  <c r="BJ26" i="18"/>
  <c r="G31" i="9"/>
  <c r="X31" i="9" s="1"/>
  <c r="G32" i="9" s="1"/>
  <c r="AO26" i="13"/>
  <c r="AO25" i="14"/>
  <c r="I27" i="15"/>
  <c r="J27" i="15" s="1"/>
  <c r="K27" i="15" s="1"/>
  <c r="L27" i="15" s="1"/>
  <c r="S27" i="15"/>
  <c r="Z27" i="13"/>
  <c r="B28" i="13"/>
  <c r="AD26" i="15"/>
  <c r="AA26" i="15"/>
  <c r="AB26" i="15" s="1"/>
  <c r="AC26" i="15" s="1"/>
  <c r="AZ26" i="15"/>
  <c r="AY26" i="15"/>
  <c r="AJ26" i="15"/>
  <c r="AM26" i="15"/>
  <c r="AN26" i="15"/>
  <c r="AK26" i="15"/>
  <c r="AX30" i="15"/>
  <c r="H31" i="15" s="1"/>
  <c r="Y31" i="15" s="1"/>
  <c r="AU30" i="15"/>
  <c r="E31" i="15" s="1"/>
  <c r="V31" i="15" s="1"/>
  <c r="Z26" i="14"/>
  <c r="AR26" i="14" s="1"/>
  <c r="AH26" i="14"/>
  <c r="BB26" i="14"/>
  <c r="B27" i="14" s="1"/>
  <c r="AT30" i="15"/>
  <c r="D31" i="15" s="1"/>
  <c r="U31" i="15" s="1"/>
  <c r="AW30" i="15"/>
  <c r="G31" i="15" s="1"/>
  <c r="X31" i="15" s="1"/>
  <c r="AF25" i="4"/>
  <c r="J25" i="8"/>
  <c r="AB23" i="9"/>
  <c r="AC23" i="9" s="1"/>
  <c r="AL26" i="4"/>
  <c r="D27" i="4" s="1"/>
  <c r="AM26" i="4"/>
  <c r="E27" i="4" s="1"/>
  <c r="AP26" i="4"/>
  <c r="H27" i="4" s="1"/>
  <c r="I26" i="4"/>
  <c r="R26" i="4" s="1"/>
  <c r="AJ26" i="4"/>
  <c r="B27" i="4" s="1"/>
  <c r="AO26" i="4"/>
  <c r="G27" i="4" s="1"/>
  <c r="H28" i="9"/>
  <c r="Y28" i="9" s="1"/>
  <c r="H29" i="9" s="1"/>
  <c r="Y29" i="9" s="1"/>
  <c r="H30" i="9" s="1"/>
  <c r="Y30" i="9" s="1"/>
  <c r="D28" i="9"/>
  <c r="U28" i="9" s="1"/>
  <c r="D29" i="9" s="1"/>
  <c r="U29" i="9" s="1"/>
  <c r="D30" i="9" s="1"/>
  <c r="E28" i="9"/>
  <c r="V28" i="9" s="1"/>
  <c r="E29" i="9" s="1"/>
  <c r="V29" i="9" s="1"/>
  <c r="E30" i="9" s="1"/>
  <c r="V30" i="9" s="1"/>
  <c r="AB27" i="7"/>
  <c r="D28" i="7" s="1"/>
  <c r="AE27" i="7"/>
  <c r="G28" i="7" s="1"/>
  <c r="AC27" i="7"/>
  <c r="E28" i="7" s="1"/>
  <c r="AF27" i="7"/>
  <c r="H28" i="7" s="1"/>
  <c r="AE25" i="4"/>
  <c r="AO23" i="9"/>
  <c r="U25" i="4"/>
  <c r="Z25" i="4"/>
  <c r="P25" i="4"/>
  <c r="I24" i="8"/>
  <c r="K24" i="8"/>
  <c r="Z24" i="9"/>
  <c r="AH24" i="9" s="1"/>
  <c r="B25" i="9"/>
  <c r="I24" i="10"/>
  <c r="S24" i="10"/>
  <c r="B25" i="7"/>
  <c r="AG24" i="7"/>
  <c r="AH24" i="7" s="1"/>
  <c r="S25" i="4"/>
  <c r="V25" i="4"/>
  <c r="BI23" i="10"/>
  <c r="AA23" i="10"/>
  <c r="AB23" i="10" s="1"/>
  <c r="AC23" i="10" s="1"/>
  <c r="AY23" i="10"/>
  <c r="AD23" i="10"/>
  <c r="BJ23" i="10"/>
  <c r="AN23" i="10"/>
  <c r="AJ23" i="10"/>
  <c r="AK23" i="10"/>
  <c r="AX23" i="10"/>
  <c r="AU23" i="10"/>
  <c r="AT23" i="10"/>
  <c r="AW23" i="10"/>
  <c r="AM23" i="10"/>
  <c r="AB25" i="4"/>
  <c r="AH23" i="10"/>
  <c r="AR23" i="12"/>
  <c r="B24" i="12" s="1"/>
  <c r="AT23" i="12"/>
  <c r="D24" i="12" s="1"/>
  <c r="U24" i="12" s="1"/>
  <c r="AU23" i="12"/>
  <c r="E24" i="12" s="1"/>
  <c r="V24" i="12" s="1"/>
  <c r="AX23" i="12"/>
  <c r="H24" i="12" s="1"/>
  <c r="Y24" i="12" s="1"/>
  <c r="AK23" i="12"/>
  <c r="AA23" i="12"/>
  <c r="AB23" i="12" s="1"/>
  <c r="AC23" i="12" s="1"/>
  <c r="AJ23" i="12"/>
  <c r="AD23" i="12"/>
  <c r="AW23" i="12"/>
  <c r="G24" i="12" s="1"/>
  <c r="X24" i="12" s="1"/>
  <c r="AH23" i="12"/>
  <c r="AM23" i="12"/>
  <c r="AY23" i="12"/>
  <c r="AQ25" i="4"/>
  <c r="AR25" i="4" s="1"/>
  <c r="AG25" i="4"/>
  <c r="J25" i="4"/>
  <c r="K25" i="4" s="1"/>
  <c r="L25" i="4" s="1"/>
  <c r="J24" i="9"/>
  <c r="K24" i="9" s="1"/>
  <c r="L24" i="9" s="1"/>
  <c r="AC25" i="4"/>
  <c r="AR23" i="10"/>
  <c r="J24" i="7"/>
  <c r="K24" i="7" s="1"/>
  <c r="L24" i="7" s="1"/>
  <c r="S24" i="7"/>
  <c r="U24" i="7"/>
  <c r="V24" i="7"/>
  <c r="R24" i="7"/>
  <c r="R25" i="4"/>
  <c r="J27" i="19" l="1"/>
  <c r="K27" i="19" s="1"/>
  <c r="L27" i="19" s="1"/>
  <c r="Z27" i="19"/>
  <c r="J27" i="18"/>
  <c r="K27" i="18" s="1"/>
  <c r="L27" i="18" s="1"/>
  <c r="Z27" i="18"/>
  <c r="U30" i="9"/>
  <c r="E31" i="9"/>
  <c r="V31" i="9" s="1"/>
  <c r="H31" i="9"/>
  <c r="Y31" i="9" s="1"/>
  <c r="AO26" i="15"/>
  <c r="AW31" i="15"/>
  <c r="AW32" i="15" s="1"/>
  <c r="G32" i="15" s="1"/>
  <c r="X32" i="15"/>
  <c r="AX31" i="15"/>
  <c r="AX32" i="15" s="1"/>
  <c r="H32" i="15" s="1"/>
  <c r="Y32" i="15"/>
  <c r="S27" i="14"/>
  <c r="I27" i="14"/>
  <c r="J27" i="14" s="1"/>
  <c r="K27" i="14" s="1"/>
  <c r="L27" i="14" s="1"/>
  <c r="I28" i="13"/>
  <c r="J28" i="13" s="1"/>
  <c r="K28" i="13" s="1"/>
  <c r="L28" i="13" s="1"/>
  <c r="S28" i="13"/>
  <c r="AD27" i="13"/>
  <c r="AA27" i="13"/>
  <c r="AB27" i="13" s="1"/>
  <c r="AC27" i="13" s="1"/>
  <c r="AM27" i="13"/>
  <c r="AN27" i="13"/>
  <c r="AK27" i="13"/>
  <c r="AJ27" i="13"/>
  <c r="AH27" i="13"/>
  <c r="BJ26" i="14"/>
  <c r="AA26" i="14"/>
  <c r="AB26" i="14" s="1"/>
  <c r="AC26" i="14" s="1"/>
  <c r="BI26" i="14"/>
  <c r="AD26" i="14"/>
  <c r="AY26" i="14"/>
  <c r="AX26" i="14"/>
  <c r="AW26" i="14"/>
  <c r="AN26" i="14"/>
  <c r="AJ26" i="14"/>
  <c r="AK26" i="14"/>
  <c r="AM26" i="14"/>
  <c r="AU26" i="14"/>
  <c r="AT26" i="14"/>
  <c r="AR27" i="15"/>
  <c r="B28" i="15" s="1"/>
  <c r="Z27" i="15"/>
  <c r="AH27" i="15" s="1"/>
  <c r="AU31" i="15"/>
  <c r="AU32" i="15" s="1"/>
  <c r="E32" i="15" s="1"/>
  <c r="V32" i="15"/>
  <c r="U32" i="15"/>
  <c r="AT31" i="15"/>
  <c r="AT32" i="15" s="1"/>
  <c r="D32" i="15" s="1"/>
  <c r="X32" i="9"/>
  <c r="V26" i="4"/>
  <c r="U26" i="4"/>
  <c r="AE26" i="4"/>
  <c r="AF26" i="4"/>
  <c r="AC26" i="4"/>
  <c r="Z26" i="4"/>
  <c r="P26" i="4"/>
  <c r="S26" i="4"/>
  <c r="AG26" i="4"/>
  <c r="AQ26" i="4"/>
  <c r="AR26" i="4" s="1"/>
  <c r="J26" i="4"/>
  <c r="K26" i="4" s="1"/>
  <c r="L26" i="4" s="1"/>
  <c r="AB26" i="4"/>
  <c r="Z25" i="7"/>
  <c r="AG25" i="7" s="1"/>
  <c r="I27" i="4"/>
  <c r="AF27" i="4" s="1"/>
  <c r="AF28" i="7"/>
  <c r="H29" i="7" s="1"/>
  <c r="AE28" i="7"/>
  <c r="G29" i="7" s="1"/>
  <c r="AC28" i="7"/>
  <c r="E29" i="7" s="1"/>
  <c r="AB28" i="7"/>
  <c r="D29" i="7" s="1"/>
  <c r="W24" i="7"/>
  <c r="W25" i="4"/>
  <c r="AO23" i="10"/>
  <c r="AW24" i="12"/>
  <c r="G25" i="12" s="1"/>
  <c r="X25" i="12" s="1"/>
  <c r="S24" i="12"/>
  <c r="I24" i="12"/>
  <c r="AX24" i="12"/>
  <c r="H25" i="12" s="1"/>
  <c r="Y25" i="12" s="1"/>
  <c r="I25" i="7"/>
  <c r="P25" i="7" s="1"/>
  <c r="AO23" i="12"/>
  <c r="AU24" i="12"/>
  <c r="E25" i="12" s="1"/>
  <c r="V25" i="12" s="1"/>
  <c r="Z24" i="10"/>
  <c r="AH24" i="10" s="1"/>
  <c r="S25" i="9"/>
  <c r="I25" i="9"/>
  <c r="AZ23" i="12"/>
  <c r="AT24" i="12"/>
  <c r="D25" i="12" s="1"/>
  <c r="U25" i="12" s="1"/>
  <c r="J24" i="10"/>
  <c r="K24" i="10" s="1"/>
  <c r="L24" i="10" s="1"/>
  <c r="AA24" i="9"/>
  <c r="AD24" i="9"/>
  <c r="AJ24" i="9"/>
  <c r="AM24" i="9"/>
  <c r="AN24" i="9"/>
  <c r="AK24" i="9"/>
  <c r="BI27" i="18" l="1"/>
  <c r="BB27" i="18"/>
  <c r="B28" i="18" s="1"/>
  <c r="BH27" i="18"/>
  <c r="H28" i="18" s="1"/>
  <c r="Y28" i="18" s="1"/>
  <c r="AA27" i="18"/>
  <c r="AB27" i="18" s="1"/>
  <c r="AC27" i="18" s="1"/>
  <c r="AM27" i="18"/>
  <c r="AK27" i="18"/>
  <c r="AY27" i="18"/>
  <c r="AJ27" i="18"/>
  <c r="AD27" i="18"/>
  <c r="AN27" i="18"/>
  <c r="AH27" i="19"/>
  <c r="AO27" i="19" s="1"/>
  <c r="BB27" i="19"/>
  <c r="B28" i="19" s="1"/>
  <c r="AM27" i="19"/>
  <c r="AD27" i="19"/>
  <c r="AK27" i="19"/>
  <c r="AN27" i="19"/>
  <c r="AJ27" i="19"/>
  <c r="BI27" i="19"/>
  <c r="AA27" i="19"/>
  <c r="AB27" i="19" s="1"/>
  <c r="AC27" i="19" s="1"/>
  <c r="AY27" i="19"/>
  <c r="BJ27" i="19"/>
  <c r="AR27" i="19"/>
  <c r="AH27" i="18"/>
  <c r="AO26" i="14"/>
  <c r="D31" i="9"/>
  <c r="U31" i="9" s="1"/>
  <c r="U32" i="9" s="1"/>
  <c r="AY27" i="15"/>
  <c r="AA27" i="15"/>
  <c r="AB27" i="15" s="1"/>
  <c r="AC27" i="15" s="1"/>
  <c r="AZ27" i="15"/>
  <c r="AD27" i="15"/>
  <c r="AM27" i="15"/>
  <c r="AN27" i="15"/>
  <c r="AJ27" i="15"/>
  <c r="AK27" i="15"/>
  <c r="AO27" i="13"/>
  <c r="Z28" i="13"/>
  <c r="AH28" i="13" s="1"/>
  <c r="B29" i="13"/>
  <c r="I28" i="15"/>
  <c r="J28" i="15" s="1"/>
  <c r="K28" i="15" s="1"/>
  <c r="L28" i="15" s="1"/>
  <c r="S28" i="15"/>
  <c r="Z27" i="14"/>
  <c r="AH27" i="14" s="1"/>
  <c r="BB27" i="14"/>
  <c r="B28" i="14" s="1"/>
  <c r="AC29" i="7"/>
  <c r="E30" i="7" s="1"/>
  <c r="V32" i="9"/>
  <c r="AB29" i="7"/>
  <c r="D30" i="7" s="1"/>
  <c r="Y32" i="9"/>
  <c r="J24" i="12"/>
  <c r="K24" i="12" s="1"/>
  <c r="L24" i="12" s="1"/>
  <c r="AE29" i="7"/>
  <c r="G30" i="7" s="1"/>
  <c r="H32" i="9"/>
  <c r="AF29" i="7"/>
  <c r="H30" i="7" s="1"/>
  <c r="D32" i="9"/>
  <c r="E32" i="9"/>
  <c r="AB24" i="9"/>
  <c r="AC24" i="9" s="1"/>
  <c r="AH25" i="7"/>
  <c r="W26" i="4"/>
  <c r="S25" i="7"/>
  <c r="R25" i="7"/>
  <c r="U25" i="7"/>
  <c r="V25" i="7"/>
  <c r="B26" i="7"/>
  <c r="I26" i="7" s="1"/>
  <c r="AG27" i="4"/>
  <c r="AQ27" i="4"/>
  <c r="AB27" i="4"/>
  <c r="P27" i="4"/>
  <c r="AC27" i="4"/>
  <c r="S27" i="4"/>
  <c r="V27" i="4"/>
  <c r="AE27" i="4"/>
  <c r="R27" i="4"/>
  <c r="U27" i="4"/>
  <c r="Z27" i="4"/>
  <c r="J27" i="4"/>
  <c r="K27" i="4" s="1"/>
  <c r="L27" i="4" s="1"/>
  <c r="AO24" i="9"/>
  <c r="J25" i="9"/>
  <c r="K25" i="9" s="1"/>
  <c r="L25" i="9" s="1"/>
  <c r="AR24" i="10"/>
  <c r="AU25" i="12"/>
  <c r="E26" i="12" s="1"/>
  <c r="J25" i="7"/>
  <c r="K25" i="7" s="1"/>
  <c r="L25" i="7" s="1"/>
  <c r="AR24" i="12"/>
  <c r="B25" i="12" s="1"/>
  <c r="Z24" i="12"/>
  <c r="Z25" i="9"/>
  <c r="AH25" i="9" s="1"/>
  <c r="B26" i="9"/>
  <c r="S26" i="9" s="1"/>
  <c r="AX25" i="12"/>
  <c r="H26" i="12" s="1"/>
  <c r="Y26" i="12" s="1"/>
  <c r="AW25" i="12"/>
  <c r="G26" i="12" s="1"/>
  <c r="X26" i="12" s="1"/>
  <c r="AT25" i="12"/>
  <c r="D26" i="12" s="1"/>
  <c r="U26" i="12" s="1"/>
  <c r="AA24" i="10"/>
  <c r="AB24" i="10" s="1"/>
  <c r="AC24" i="10" s="1"/>
  <c r="AD24" i="10"/>
  <c r="AY24" i="10"/>
  <c r="BI24" i="10"/>
  <c r="BG24" i="10"/>
  <c r="G25" i="10" s="1"/>
  <c r="X25" i="10" s="1"/>
  <c r="BE24" i="10"/>
  <c r="E25" i="10" s="1"/>
  <c r="V25" i="10" s="1"/>
  <c r="BH24" i="10"/>
  <c r="H25" i="10" s="1"/>
  <c r="Y25" i="10" s="1"/>
  <c r="BD24" i="10"/>
  <c r="D25" i="10" s="1"/>
  <c r="U25" i="10" s="1"/>
  <c r="BB24" i="10"/>
  <c r="B25" i="10" s="1"/>
  <c r="AU24" i="10"/>
  <c r="AW24" i="10"/>
  <c r="AK24" i="10"/>
  <c r="AM24" i="10"/>
  <c r="AX24" i="10"/>
  <c r="AJ24" i="10"/>
  <c r="AN24" i="10"/>
  <c r="AT24" i="10"/>
  <c r="S28" i="18" l="1"/>
  <c r="I28" i="18"/>
  <c r="J28" i="18" s="1"/>
  <c r="K28" i="18" s="1"/>
  <c r="L28" i="18" s="1"/>
  <c r="AO27" i="18"/>
  <c r="BJ27" i="18"/>
  <c r="S28" i="19"/>
  <c r="I28" i="19"/>
  <c r="J28" i="19" s="1"/>
  <c r="K28" i="19" s="1"/>
  <c r="L28" i="19" s="1"/>
  <c r="AB30" i="7"/>
  <c r="D31" i="7" s="1"/>
  <c r="AC30" i="7"/>
  <c r="E31" i="7" s="1"/>
  <c r="AF30" i="7"/>
  <c r="H31" i="7" s="1"/>
  <c r="AE30" i="7"/>
  <c r="G31" i="7" s="1"/>
  <c r="AO27" i="15"/>
  <c r="S28" i="14"/>
  <c r="I28" i="14"/>
  <c r="J28" i="14" s="1"/>
  <c r="K28" i="14" s="1"/>
  <c r="L28" i="14" s="1"/>
  <c r="BJ27" i="14"/>
  <c r="AY27" i="14"/>
  <c r="AD27" i="14"/>
  <c r="AA27" i="14"/>
  <c r="AB27" i="14" s="1"/>
  <c r="AC27" i="14" s="1"/>
  <c r="BI27" i="14"/>
  <c r="AU27" i="14"/>
  <c r="AW27" i="14"/>
  <c r="AN27" i="14"/>
  <c r="AM27" i="14"/>
  <c r="AT27" i="14"/>
  <c r="AX27" i="14"/>
  <c r="AJ27" i="14"/>
  <c r="AK27" i="14"/>
  <c r="AR28" i="15"/>
  <c r="B29" i="15" s="1"/>
  <c r="Z28" i="15"/>
  <c r="I29" i="13"/>
  <c r="J29" i="13" s="1"/>
  <c r="K29" i="13" s="1"/>
  <c r="L29" i="13" s="1"/>
  <c r="S29" i="13"/>
  <c r="AR27" i="14"/>
  <c r="AA28" i="13"/>
  <c r="AB28" i="13" s="1"/>
  <c r="AC28" i="13" s="1"/>
  <c r="I34" i="13" s="1"/>
  <c r="C21" i="8" s="1"/>
  <c r="AD28" i="13"/>
  <c r="AJ28" i="13"/>
  <c r="AM28" i="13"/>
  <c r="AK28" i="13"/>
  <c r="AN28" i="13"/>
  <c r="W25" i="7"/>
  <c r="W27" i="4"/>
  <c r="P26" i="7"/>
  <c r="AO27" i="4"/>
  <c r="G28" i="4" s="1"/>
  <c r="AO28" i="4" s="1"/>
  <c r="G29" i="4" s="1"/>
  <c r="AM27" i="4"/>
  <c r="E28" i="4" s="1"/>
  <c r="AM28" i="4" s="1"/>
  <c r="E29" i="4" s="1"/>
  <c r="AL27" i="4"/>
  <c r="D28" i="4" s="1"/>
  <c r="AL28" i="4" s="1"/>
  <c r="D29" i="4" s="1"/>
  <c r="AP27" i="4"/>
  <c r="H28" i="4" s="1"/>
  <c r="AP28" i="4" s="1"/>
  <c r="H29" i="4" s="1"/>
  <c r="AJ27" i="4"/>
  <c r="B28" i="4" s="1"/>
  <c r="Z26" i="7"/>
  <c r="AG26" i="7" s="1"/>
  <c r="AH26" i="7" s="1"/>
  <c r="AX26" i="12"/>
  <c r="B27" i="9"/>
  <c r="Z26" i="9"/>
  <c r="AH26" i="9" s="1"/>
  <c r="AW26" i="12"/>
  <c r="AT26" i="12"/>
  <c r="V26" i="12"/>
  <c r="J26" i="7"/>
  <c r="K26" i="7" s="1"/>
  <c r="L26" i="7" s="1"/>
  <c r="S26" i="7"/>
  <c r="R26" i="7"/>
  <c r="V26" i="7"/>
  <c r="U26" i="7"/>
  <c r="AO24" i="10"/>
  <c r="AH24" i="12"/>
  <c r="BD25" i="10"/>
  <c r="D26" i="10" s="1"/>
  <c r="U26" i="10" s="1"/>
  <c r="BJ24" i="10"/>
  <c r="I26" i="9"/>
  <c r="BH25" i="10"/>
  <c r="H26" i="10" s="1"/>
  <c r="Y26" i="10" s="1"/>
  <c r="AD24" i="12"/>
  <c r="AA24" i="12"/>
  <c r="AB24" i="12" s="1"/>
  <c r="AC24" i="12" s="1"/>
  <c r="AY24" i="12"/>
  <c r="AZ24" i="12"/>
  <c r="AN24" i="12"/>
  <c r="AK24" i="12"/>
  <c r="AM24" i="12"/>
  <c r="AJ24" i="12"/>
  <c r="BE25" i="10"/>
  <c r="E26" i="10" s="1"/>
  <c r="V26" i="10" s="1"/>
  <c r="AD25" i="9"/>
  <c r="AA25" i="9"/>
  <c r="AK25" i="9"/>
  <c r="AN25" i="9"/>
  <c r="AM25" i="9"/>
  <c r="AJ25" i="9"/>
  <c r="S25" i="12"/>
  <c r="I25" i="12"/>
  <c r="S25" i="10"/>
  <c r="I25" i="10"/>
  <c r="BG25" i="10"/>
  <c r="G26" i="10" s="1"/>
  <c r="X26" i="10" s="1"/>
  <c r="Z28" i="19" l="1"/>
  <c r="AH28" i="19"/>
  <c r="Z28" i="18"/>
  <c r="AH28" i="18"/>
  <c r="AF31" i="7"/>
  <c r="H32" i="7" s="1"/>
  <c r="AC31" i="7"/>
  <c r="E32" i="7" s="1"/>
  <c r="AE31" i="7"/>
  <c r="G32" i="7" s="1"/>
  <c r="AB31" i="7"/>
  <c r="D32" i="7" s="1"/>
  <c r="AO27" i="14"/>
  <c r="AO28" i="13"/>
  <c r="S29" i="15"/>
  <c r="I29" i="15"/>
  <c r="J29" i="15" s="1"/>
  <c r="K29" i="15" s="1"/>
  <c r="L29" i="15" s="1"/>
  <c r="B30" i="13"/>
  <c r="Z29" i="13"/>
  <c r="AH29" i="13" s="1"/>
  <c r="AD28" i="15"/>
  <c r="AZ28" i="15"/>
  <c r="AA28" i="15"/>
  <c r="AB28" i="15" s="1"/>
  <c r="AC28" i="15" s="1"/>
  <c r="AY28" i="15"/>
  <c r="AM28" i="15"/>
  <c r="AK28" i="15"/>
  <c r="AN28" i="15"/>
  <c r="AJ28" i="15"/>
  <c r="AH28" i="15"/>
  <c r="Z28" i="14"/>
  <c r="AR28" i="14" s="1"/>
  <c r="AP29" i="4"/>
  <c r="H30" i="4" s="1"/>
  <c r="AL29" i="4"/>
  <c r="D30" i="4" s="1"/>
  <c r="AO29" i="4"/>
  <c r="G30" i="4" s="1"/>
  <c r="J25" i="12"/>
  <c r="K25" i="12" s="1"/>
  <c r="L25" i="12" s="1"/>
  <c r="AM29" i="4"/>
  <c r="E30" i="4" s="1"/>
  <c r="AB25" i="9"/>
  <c r="AC25" i="9" s="1"/>
  <c r="B27" i="7"/>
  <c r="I27" i="7" s="1"/>
  <c r="J27" i="7" s="1"/>
  <c r="K27" i="7" s="1"/>
  <c r="L27" i="7" s="1"/>
  <c r="AR27" i="4"/>
  <c r="I28" i="4"/>
  <c r="AF28" i="4" s="1"/>
  <c r="AJ28" i="4"/>
  <c r="B29" i="4" s="1"/>
  <c r="BH26" i="10"/>
  <c r="H27" i="10" s="1"/>
  <c r="Y27" i="10" s="1"/>
  <c r="S27" i="9"/>
  <c r="I27" i="9"/>
  <c r="J27" i="9" s="1"/>
  <c r="K27" i="9" s="1"/>
  <c r="L27" i="9" s="1"/>
  <c r="AU26" i="12"/>
  <c r="E27" i="12" s="1"/>
  <c r="V27" i="12" s="1"/>
  <c r="BG26" i="10"/>
  <c r="G27" i="10" s="1"/>
  <c r="X27" i="10" s="1"/>
  <c r="BE26" i="10"/>
  <c r="E27" i="10" s="1"/>
  <c r="BD26" i="10"/>
  <c r="D27" i="10" s="1"/>
  <c r="U27" i="10" s="1"/>
  <c r="AD26" i="9"/>
  <c r="AA26" i="9"/>
  <c r="AB26" i="9" s="1"/>
  <c r="AC26" i="9" s="1"/>
  <c r="AM26" i="9"/>
  <c r="AJ26" i="9"/>
  <c r="AK26" i="9"/>
  <c r="AN26" i="9"/>
  <c r="H27" i="12"/>
  <c r="Y27" i="12" s="1"/>
  <c r="D27" i="12"/>
  <c r="U27" i="12" s="1"/>
  <c r="G27" i="12"/>
  <c r="X27" i="12" s="1"/>
  <c r="W26" i="7"/>
  <c r="AO25" i="9"/>
  <c r="AO24" i="12"/>
  <c r="J25" i="10"/>
  <c r="K25" i="10" s="1"/>
  <c r="L25" i="10" s="1"/>
  <c r="BB25" i="10"/>
  <c r="B26" i="10" s="1"/>
  <c r="S26" i="10" s="1"/>
  <c r="Z26" i="10" s="1"/>
  <c r="AW26" i="10" s="1"/>
  <c r="Z25" i="10"/>
  <c r="AR25" i="10" s="1"/>
  <c r="AR25" i="12"/>
  <c r="B26" i="12" s="1"/>
  <c r="Z25" i="12"/>
  <c r="J26" i="9"/>
  <c r="K26" i="9" s="1"/>
  <c r="L26" i="9" s="1"/>
  <c r="BH28" i="18" l="1"/>
  <c r="H29" i="18" s="1"/>
  <c r="Y29" i="18" s="1"/>
  <c r="BB28" i="18"/>
  <c r="B29" i="18" s="1"/>
  <c r="AY28" i="18"/>
  <c r="AK28" i="18"/>
  <c r="AJ28" i="18"/>
  <c r="AM28" i="18"/>
  <c r="BI28" i="18"/>
  <c r="AA28" i="18"/>
  <c r="AB28" i="18" s="1"/>
  <c r="AC28" i="18" s="1"/>
  <c r="AD28" i="18"/>
  <c r="BJ28" i="18"/>
  <c r="AN28" i="18"/>
  <c r="AO28" i="18"/>
  <c r="BB28" i="19"/>
  <c r="B29" i="19" s="1"/>
  <c r="AJ28" i="19"/>
  <c r="AO28" i="19" s="1"/>
  <c r="AK28" i="19"/>
  <c r="AD28" i="19"/>
  <c r="AM28" i="19"/>
  <c r="AN28" i="19"/>
  <c r="AA28" i="19"/>
  <c r="AB28" i="19" s="1"/>
  <c r="AC28" i="19" s="1"/>
  <c r="BI28" i="19"/>
  <c r="AY28" i="19"/>
  <c r="BJ28" i="19"/>
  <c r="AR28" i="19"/>
  <c r="AH28" i="14"/>
  <c r="AO28" i="15"/>
  <c r="AO30" i="4"/>
  <c r="G31" i="4" s="1"/>
  <c r="AL30" i="4"/>
  <c r="D31" i="4" s="1"/>
  <c r="AP30" i="4"/>
  <c r="H31" i="4" s="1"/>
  <c r="AM30" i="4"/>
  <c r="E31" i="4" s="1"/>
  <c r="AA29" i="13"/>
  <c r="AB29" i="13" s="1"/>
  <c r="AC29" i="13" s="1"/>
  <c r="AD29" i="13"/>
  <c r="AJ29" i="13"/>
  <c r="AM29" i="13"/>
  <c r="AK29" i="13"/>
  <c r="AN29" i="13"/>
  <c r="I30" i="13"/>
  <c r="J30" i="13" s="1"/>
  <c r="K30" i="13" s="1"/>
  <c r="L30" i="13" s="1"/>
  <c r="S30" i="13"/>
  <c r="BI28" i="14"/>
  <c r="AD28" i="14"/>
  <c r="AY28" i="14"/>
  <c r="AA28" i="14"/>
  <c r="AB28" i="14" s="1"/>
  <c r="AC28" i="14" s="1"/>
  <c r="BE28" i="14"/>
  <c r="E29" i="14" s="1"/>
  <c r="V29" i="14" s="1"/>
  <c r="BB28" i="14"/>
  <c r="B29" i="14" s="1"/>
  <c r="BD28" i="14"/>
  <c r="D29" i="14" s="1"/>
  <c r="U29" i="14" s="1"/>
  <c r="BH28" i="14"/>
  <c r="H29" i="14" s="1"/>
  <c r="Y29" i="14" s="1"/>
  <c r="BG28" i="14"/>
  <c r="G29" i="14" s="1"/>
  <c r="X29" i="14" s="1"/>
  <c r="AK28" i="14"/>
  <c r="AT28" i="14"/>
  <c r="AJ28" i="14"/>
  <c r="AM28" i="14"/>
  <c r="AW28" i="14"/>
  <c r="AN28" i="14"/>
  <c r="AX28" i="14"/>
  <c r="AU28" i="14"/>
  <c r="AR29" i="15"/>
  <c r="B30" i="15" s="1"/>
  <c r="Z29" i="15"/>
  <c r="AH29" i="15" s="1"/>
  <c r="I29" i="4"/>
  <c r="Z29" i="4" s="1"/>
  <c r="AJ29" i="4"/>
  <c r="B30" i="4" s="1"/>
  <c r="P27" i="7"/>
  <c r="Z27" i="7"/>
  <c r="AG27" i="7" s="1"/>
  <c r="AH27" i="7" s="1"/>
  <c r="AC28" i="4"/>
  <c r="R28" i="4"/>
  <c r="P28" i="4"/>
  <c r="U28" i="4"/>
  <c r="V28" i="4"/>
  <c r="Z28" i="4"/>
  <c r="AE28" i="4"/>
  <c r="J28" i="4"/>
  <c r="K28" i="4" s="1"/>
  <c r="L28" i="4" s="1"/>
  <c r="AG28" i="4"/>
  <c r="AQ28" i="4"/>
  <c r="AR28" i="4" s="1"/>
  <c r="S28" i="4"/>
  <c r="AB28" i="4"/>
  <c r="B28" i="9"/>
  <c r="Z27" i="9"/>
  <c r="AR26" i="10"/>
  <c r="AH26" i="10"/>
  <c r="BB26" i="10"/>
  <c r="BJ26" i="10" s="1"/>
  <c r="AO26" i="9"/>
  <c r="AU26" i="10"/>
  <c r="BI26" i="10"/>
  <c r="AY26" i="10"/>
  <c r="AA26" i="10"/>
  <c r="AB26" i="10" s="1"/>
  <c r="AC26" i="10" s="1"/>
  <c r="AJ26" i="10"/>
  <c r="AK26" i="10"/>
  <c r="AN26" i="10"/>
  <c r="S26" i="12"/>
  <c r="I26" i="12"/>
  <c r="J26" i="12" s="1"/>
  <c r="K26" i="12" s="1"/>
  <c r="L26" i="12" s="1"/>
  <c r="AT26" i="10"/>
  <c r="AM26" i="10"/>
  <c r="AX26" i="10"/>
  <c r="AW27" i="12"/>
  <c r="G28" i="12" s="1"/>
  <c r="X28" i="12" s="1"/>
  <c r="AT27" i="12"/>
  <c r="D28" i="12" s="1"/>
  <c r="U28" i="12" s="1"/>
  <c r="AX27" i="12"/>
  <c r="H28" i="12" s="1"/>
  <c r="Y28" i="12" s="1"/>
  <c r="AU27" i="12"/>
  <c r="E28" i="12" s="1"/>
  <c r="BH27" i="10"/>
  <c r="H28" i="10" s="1"/>
  <c r="Y28" i="10" s="1"/>
  <c r="BD27" i="10"/>
  <c r="D28" i="10" s="1"/>
  <c r="U28" i="10" s="1"/>
  <c r="BG27" i="10"/>
  <c r="G28" i="10" s="1"/>
  <c r="X28" i="10" s="1"/>
  <c r="V27" i="10"/>
  <c r="R27" i="7"/>
  <c r="S27" i="7"/>
  <c r="U27" i="7"/>
  <c r="V27" i="7"/>
  <c r="AA25" i="12"/>
  <c r="AB25" i="12" s="1"/>
  <c r="AC25" i="12" s="1"/>
  <c r="AY25" i="12"/>
  <c r="AZ25" i="12"/>
  <c r="AD25" i="12"/>
  <c r="AK25" i="12"/>
  <c r="AN25" i="12"/>
  <c r="AJ25" i="12"/>
  <c r="AM25" i="12"/>
  <c r="AH25" i="12"/>
  <c r="AY25" i="10"/>
  <c r="AD25" i="10"/>
  <c r="BJ25" i="10"/>
  <c r="AA25" i="10"/>
  <c r="AB25" i="10" s="1"/>
  <c r="AC25" i="10" s="1"/>
  <c r="BI25" i="10"/>
  <c r="AN25" i="10"/>
  <c r="AT25" i="10"/>
  <c r="AK25" i="10"/>
  <c r="AW25" i="10"/>
  <c r="AJ25" i="10"/>
  <c r="AX25" i="10"/>
  <c r="AU25" i="10"/>
  <c r="AM25" i="10"/>
  <c r="I26" i="10"/>
  <c r="AD26" i="10" s="1"/>
  <c r="AH25" i="10"/>
  <c r="S29" i="18" l="1"/>
  <c r="I29" i="18"/>
  <c r="J29" i="18" s="1"/>
  <c r="K29" i="18" s="1"/>
  <c r="L29" i="18" s="1"/>
  <c r="S29" i="19"/>
  <c r="I29" i="19"/>
  <c r="J29" i="19" s="1"/>
  <c r="K29" i="19" s="1"/>
  <c r="L29" i="19" s="1"/>
  <c r="AL31" i="4"/>
  <c r="D32" i="4" s="1"/>
  <c r="AM31" i="4"/>
  <c r="E32" i="4" s="1"/>
  <c r="AP31" i="4"/>
  <c r="H32" i="4" s="1"/>
  <c r="AJ30" i="4"/>
  <c r="B31" i="4" s="1"/>
  <c r="I30" i="4"/>
  <c r="P30" i="4"/>
  <c r="AO31" i="4"/>
  <c r="G32" i="4" s="1"/>
  <c r="AO29" i="13"/>
  <c r="AO28" i="14"/>
  <c r="I30" i="15"/>
  <c r="J30" i="15" s="1"/>
  <c r="K30" i="15" s="1"/>
  <c r="L30" i="15" s="1"/>
  <c r="S30" i="15"/>
  <c r="BG29" i="14"/>
  <c r="G30" i="14" s="1"/>
  <c r="X30" i="14" s="1"/>
  <c r="BH29" i="14"/>
  <c r="H30" i="14" s="1"/>
  <c r="Y30" i="14" s="1"/>
  <c r="BJ28" i="14"/>
  <c r="BD29" i="14"/>
  <c r="D30" i="14" s="1"/>
  <c r="U30" i="14" s="1"/>
  <c r="BE29" i="14"/>
  <c r="E30" i="14" s="1"/>
  <c r="V30" i="14" s="1"/>
  <c r="AY29" i="15"/>
  <c r="AZ29" i="15"/>
  <c r="AA29" i="15"/>
  <c r="AB29" i="15" s="1"/>
  <c r="AC29" i="15" s="1"/>
  <c r="AD29" i="15"/>
  <c r="AK29" i="15"/>
  <c r="AJ29" i="15"/>
  <c r="AN29" i="15"/>
  <c r="AM29" i="15"/>
  <c r="S29" i="14"/>
  <c r="I29" i="14"/>
  <c r="J29" i="14" s="1"/>
  <c r="K29" i="14" s="1"/>
  <c r="L29" i="14" s="1"/>
  <c r="B31" i="13"/>
  <c r="Z30" i="13"/>
  <c r="AH30" i="13" s="1"/>
  <c r="P29" i="4"/>
  <c r="AG29" i="4"/>
  <c r="AQ29" i="4"/>
  <c r="AR29" i="4" s="1"/>
  <c r="J29" i="4"/>
  <c r="K29" i="4" s="1"/>
  <c r="L29" i="4" s="1"/>
  <c r="V29" i="4"/>
  <c r="U29" i="4"/>
  <c r="R29" i="4"/>
  <c r="AB29" i="4"/>
  <c r="AC29" i="4"/>
  <c r="AF29" i="4"/>
  <c r="S29" i="4"/>
  <c r="AE29" i="4"/>
  <c r="B28" i="7"/>
  <c r="Z28" i="7" s="1"/>
  <c r="B29" i="7" s="1"/>
  <c r="W27" i="7"/>
  <c r="W28" i="4"/>
  <c r="AD27" i="9"/>
  <c r="AA27" i="9"/>
  <c r="AB27" i="9" s="1"/>
  <c r="AC27" i="9" s="1"/>
  <c r="AM27" i="9"/>
  <c r="AJ27" i="9"/>
  <c r="AN27" i="9"/>
  <c r="AK27" i="9"/>
  <c r="I28" i="9"/>
  <c r="J28" i="9" s="1"/>
  <c r="K28" i="9" s="1"/>
  <c r="L28" i="9" s="1"/>
  <c r="S28" i="9"/>
  <c r="B29" i="9" s="1"/>
  <c r="AR26" i="12"/>
  <c r="B27" i="12" s="1"/>
  <c r="Z26" i="12"/>
  <c r="AO26" i="10"/>
  <c r="AH27" i="9"/>
  <c r="AT28" i="12"/>
  <c r="D29" i="12" s="1"/>
  <c r="U29" i="12" s="1"/>
  <c r="V28" i="12"/>
  <c r="AX28" i="12"/>
  <c r="H29" i="12" s="1"/>
  <c r="Y29" i="12" s="1"/>
  <c r="AW28" i="12"/>
  <c r="G29" i="12" s="1"/>
  <c r="X29" i="12" s="1"/>
  <c r="BE27" i="10"/>
  <c r="E28" i="10" s="1"/>
  <c r="AO25" i="10"/>
  <c r="B27" i="10"/>
  <c r="J26" i="10"/>
  <c r="K26" i="10" s="1"/>
  <c r="L26" i="10" s="1"/>
  <c r="AO25" i="12"/>
  <c r="Z29" i="19" l="1"/>
  <c r="Z29" i="18"/>
  <c r="AH29" i="18"/>
  <c r="Z30" i="4"/>
  <c r="AG30" i="4"/>
  <c r="J30" i="4"/>
  <c r="K30" i="4" s="1"/>
  <c r="L30" i="4" s="1"/>
  <c r="AQ30" i="4"/>
  <c r="AR30" i="4" s="1"/>
  <c r="AF30" i="4"/>
  <c r="U30" i="4"/>
  <c r="AC30" i="4"/>
  <c r="AE30" i="4"/>
  <c r="S30" i="4"/>
  <c r="R30" i="4"/>
  <c r="AB30" i="4"/>
  <c r="V30" i="4"/>
  <c r="AJ31" i="4"/>
  <c r="B32" i="4" s="1"/>
  <c r="I32" i="4" s="1"/>
  <c r="I31" i="4"/>
  <c r="Z31" i="4" s="1"/>
  <c r="AO29" i="15"/>
  <c r="BE30" i="14"/>
  <c r="E31" i="14" s="1"/>
  <c r="V31" i="14" s="1"/>
  <c r="BG30" i="14"/>
  <c r="G31" i="14" s="1"/>
  <c r="X31" i="14" s="1"/>
  <c r="S31" i="13"/>
  <c r="I31" i="13"/>
  <c r="Z30" i="15"/>
  <c r="AH30" i="15" s="1"/>
  <c r="AR30" i="15"/>
  <c r="B31" i="15" s="1"/>
  <c r="BD30" i="14"/>
  <c r="D31" i="14" s="1"/>
  <c r="U31" i="14" s="1"/>
  <c r="AD30" i="13"/>
  <c r="AA30" i="13"/>
  <c r="AB30" i="13" s="1"/>
  <c r="AC30" i="13" s="1"/>
  <c r="AJ30" i="13"/>
  <c r="AK30" i="13"/>
  <c r="AM30" i="13"/>
  <c r="AN30" i="13"/>
  <c r="BB29" i="14"/>
  <c r="B30" i="14" s="1"/>
  <c r="Z29" i="14"/>
  <c r="AH29" i="14" s="1"/>
  <c r="BH30" i="14"/>
  <c r="H31" i="14" s="1"/>
  <c r="Y31" i="14" s="1"/>
  <c r="W29" i="4"/>
  <c r="I28" i="7"/>
  <c r="V28" i="7" s="1"/>
  <c r="I29" i="7"/>
  <c r="P29" i="7" s="1"/>
  <c r="Z29" i="7"/>
  <c r="B30" i="7" s="1"/>
  <c r="AW29" i="12"/>
  <c r="G30" i="12" s="1"/>
  <c r="X30" i="12" s="1"/>
  <c r="I29" i="9"/>
  <c r="J29" i="9" s="1"/>
  <c r="K29" i="9" s="1"/>
  <c r="L29" i="9" s="1"/>
  <c r="S29" i="9"/>
  <c r="B30" i="9" s="1"/>
  <c r="AX29" i="12"/>
  <c r="H30" i="12" s="1"/>
  <c r="Y30" i="12" s="1"/>
  <c r="AT29" i="12"/>
  <c r="D30" i="12" s="1"/>
  <c r="U30" i="12" s="1"/>
  <c r="AG28" i="7"/>
  <c r="AY26" i="12"/>
  <c r="AZ26" i="12"/>
  <c r="AA26" i="12"/>
  <c r="AB26" i="12" s="1"/>
  <c r="AC26" i="12" s="1"/>
  <c r="AD26" i="12"/>
  <c r="AN26" i="12"/>
  <c r="AM26" i="12"/>
  <c r="AJ26" i="12"/>
  <c r="AK26" i="12"/>
  <c r="AO27" i="9"/>
  <c r="AH26" i="12"/>
  <c r="Z28" i="9"/>
  <c r="AH28" i="9" s="1"/>
  <c r="AU28" i="12"/>
  <c r="E29" i="12" s="1"/>
  <c r="V29" i="12" s="1"/>
  <c r="I27" i="12"/>
  <c r="J27" i="12" s="1"/>
  <c r="K27" i="12" s="1"/>
  <c r="L27" i="12" s="1"/>
  <c r="S27" i="12"/>
  <c r="V28" i="10"/>
  <c r="S27" i="10"/>
  <c r="I27" i="10"/>
  <c r="R28" i="7"/>
  <c r="W30" i="4" l="1"/>
  <c r="BH29" i="18"/>
  <c r="H30" i="18" s="1"/>
  <c r="Y30" i="18" s="1"/>
  <c r="AA29" i="18"/>
  <c r="AB29" i="18" s="1"/>
  <c r="AC29" i="18" s="1"/>
  <c r="AK29" i="18"/>
  <c r="BB29" i="18"/>
  <c r="B30" i="18" s="1"/>
  <c r="AY29" i="18"/>
  <c r="AM29" i="18"/>
  <c r="AD29" i="18"/>
  <c r="BI29" i="18"/>
  <c r="AJ29" i="18"/>
  <c r="AO29" i="18" s="1"/>
  <c r="BJ29" i="18"/>
  <c r="AN29" i="18"/>
  <c r="P28" i="7"/>
  <c r="J28" i="7"/>
  <c r="K28" i="7" s="1"/>
  <c r="L28" i="7" s="1"/>
  <c r="AH29" i="19"/>
  <c r="AY29" i="19"/>
  <c r="AN29" i="19"/>
  <c r="AJ29" i="19"/>
  <c r="BI29" i="19"/>
  <c r="BB29" i="19"/>
  <c r="B30" i="19" s="1"/>
  <c r="AM29" i="19"/>
  <c r="AK29" i="19"/>
  <c r="AA29" i="19"/>
  <c r="AB29" i="19" s="1"/>
  <c r="AC29" i="19" s="1"/>
  <c r="AD29" i="19"/>
  <c r="BJ29" i="19"/>
  <c r="U28" i="7"/>
  <c r="AR29" i="19"/>
  <c r="I38" i="4"/>
  <c r="Z30" i="7"/>
  <c r="I30" i="7"/>
  <c r="AQ31" i="4"/>
  <c r="AR31" i="4" s="1"/>
  <c r="J31" i="4"/>
  <c r="K31" i="4" s="1"/>
  <c r="L31" i="4" s="1"/>
  <c r="I34" i="4" s="1"/>
  <c r="B8" i="8" s="1"/>
  <c r="K8" i="8" s="1"/>
  <c r="AG31" i="4"/>
  <c r="AB31" i="4"/>
  <c r="R31" i="4"/>
  <c r="AC31" i="4"/>
  <c r="V31" i="4"/>
  <c r="B13" i="8" s="1"/>
  <c r="S31" i="4"/>
  <c r="AE31" i="4"/>
  <c r="U31" i="4"/>
  <c r="AF31" i="4"/>
  <c r="I40" i="4"/>
  <c r="AW30" i="12"/>
  <c r="G31" i="12" s="1"/>
  <c r="X31" i="12" s="1"/>
  <c r="X32" i="12" s="1"/>
  <c r="I33" i="4"/>
  <c r="B6" i="8"/>
  <c r="K6" i="8" s="1"/>
  <c r="S30" i="9"/>
  <c r="I30" i="9"/>
  <c r="J30" i="9" s="1"/>
  <c r="K30" i="9" s="1"/>
  <c r="L30" i="9" s="1"/>
  <c r="AT30" i="12"/>
  <c r="D31" i="12" s="1"/>
  <c r="U31" i="12" s="1"/>
  <c r="AX30" i="12"/>
  <c r="H31" i="12" s="1"/>
  <c r="Y31" i="12" s="1"/>
  <c r="AR29" i="14"/>
  <c r="P31" i="4"/>
  <c r="AO30" i="13"/>
  <c r="S32" i="13"/>
  <c r="B32" i="13"/>
  <c r="I32" i="13" s="1"/>
  <c r="C19" i="8" s="1"/>
  <c r="Z31" i="13"/>
  <c r="BG31" i="14"/>
  <c r="G32" i="14" s="1"/>
  <c r="X32" i="14"/>
  <c r="S30" i="14"/>
  <c r="I30" i="14"/>
  <c r="J30" i="14" s="1"/>
  <c r="K30" i="14" s="1"/>
  <c r="L30" i="14" s="1"/>
  <c r="U32" i="14"/>
  <c r="BD31" i="14"/>
  <c r="D32" i="14" s="1"/>
  <c r="BH31" i="14"/>
  <c r="H32" i="14" s="1"/>
  <c r="Y32" i="14"/>
  <c r="S31" i="15"/>
  <c r="I31" i="15"/>
  <c r="AA30" i="15"/>
  <c r="AB30" i="15" s="1"/>
  <c r="AC30" i="15" s="1"/>
  <c r="AZ30" i="15"/>
  <c r="AD30" i="15"/>
  <c r="AY30" i="15"/>
  <c r="AN30" i="15"/>
  <c r="AM30" i="15"/>
  <c r="AK30" i="15"/>
  <c r="AJ30" i="15"/>
  <c r="BJ29" i="14"/>
  <c r="AY29" i="14"/>
  <c r="BI29" i="14"/>
  <c r="AD29" i="14"/>
  <c r="AA29" i="14"/>
  <c r="AB29" i="14" s="1"/>
  <c r="AC29" i="14" s="1"/>
  <c r="AJ29" i="14"/>
  <c r="AT29" i="14"/>
  <c r="AK29" i="14"/>
  <c r="AU29" i="14"/>
  <c r="AX29" i="14"/>
  <c r="AW29" i="14"/>
  <c r="AM29" i="14"/>
  <c r="AN29" i="14"/>
  <c r="J31" i="13"/>
  <c r="K31" i="13" s="1"/>
  <c r="L31" i="13" s="1"/>
  <c r="I42" i="13"/>
  <c r="V32" i="14"/>
  <c r="BE31" i="14"/>
  <c r="E32" i="14" s="1"/>
  <c r="S28" i="7"/>
  <c r="W28" i="7" s="1"/>
  <c r="AH28" i="7"/>
  <c r="AU29" i="12"/>
  <c r="E30" i="12" s="1"/>
  <c r="V30" i="12" s="1"/>
  <c r="Z29" i="9"/>
  <c r="AH29" i="9" s="1"/>
  <c r="AG29" i="7"/>
  <c r="AH29" i="7" s="1"/>
  <c r="J29" i="7"/>
  <c r="K29" i="7" s="1"/>
  <c r="L29" i="7" s="1"/>
  <c r="S29" i="7"/>
  <c r="R29" i="7"/>
  <c r="U29" i="7"/>
  <c r="V29" i="7"/>
  <c r="B7" i="8"/>
  <c r="K7" i="8" s="1"/>
  <c r="AO26" i="12"/>
  <c r="AD28" i="9"/>
  <c r="AA28" i="9"/>
  <c r="AM28" i="9"/>
  <c r="AK28" i="9"/>
  <c r="AJ28" i="9"/>
  <c r="AN28" i="9"/>
  <c r="Z27" i="12"/>
  <c r="AH27" i="12" s="1"/>
  <c r="AR27" i="12"/>
  <c r="B28" i="12" s="1"/>
  <c r="Z27" i="10"/>
  <c r="AA27" i="10" s="1"/>
  <c r="AB27" i="10" s="1"/>
  <c r="AC27" i="10" s="1"/>
  <c r="BB27" i="10"/>
  <c r="B28" i="10" s="1"/>
  <c r="J27" i="10"/>
  <c r="K27" i="10" s="1"/>
  <c r="L27" i="10" s="1"/>
  <c r="AO29" i="19" l="1"/>
  <c r="S30" i="18"/>
  <c r="I30" i="18"/>
  <c r="J30" i="18" s="1"/>
  <c r="K30" i="18" s="1"/>
  <c r="L30" i="18" s="1"/>
  <c r="I35" i="4"/>
  <c r="B9" i="8" s="1"/>
  <c r="K9" i="8" s="1"/>
  <c r="S30" i="19"/>
  <c r="I30" i="19"/>
  <c r="J30" i="19" s="1"/>
  <c r="K30" i="19" s="1"/>
  <c r="L30" i="19" s="1"/>
  <c r="B12" i="8"/>
  <c r="B14" i="8" s="1"/>
  <c r="I39" i="4"/>
  <c r="AX31" i="12"/>
  <c r="AX32" i="12" s="1"/>
  <c r="H32" i="12" s="1"/>
  <c r="AU30" i="12"/>
  <c r="E31" i="12" s="1"/>
  <c r="V31" i="12" s="1"/>
  <c r="AT31" i="12"/>
  <c r="AT32" i="12" s="1"/>
  <c r="D32" i="12" s="1"/>
  <c r="U32" i="12"/>
  <c r="Z30" i="9"/>
  <c r="B31" i="9"/>
  <c r="AW31" i="12"/>
  <c r="AW32" i="12" s="1"/>
  <c r="G32" i="12" s="1"/>
  <c r="AO29" i="14"/>
  <c r="Y32" i="12"/>
  <c r="W31" i="4"/>
  <c r="P30" i="7"/>
  <c r="J30" i="7"/>
  <c r="K30" i="7" s="1"/>
  <c r="L30" i="7" s="1"/>
  <c r="R30" i="7"/>
  <c r="S30" i="7"/>
  <c r="U30" i="7"/>
  <c r="V30" i="7"/>
  <c r="B31" i="7"/>
  <c r="AG30" i="7"/>
  <c r="AH30" i="7" s="1"/>
  <c r="AO30" i="15"/>
  <c r="J31" i="15"/>
  <c r="K31" i="15" s="1"/>
  <c r="L31" i="15" s="1"/>
  <c r="I42" i="15"/>
  <c r="AD31" i="13"/>
  <c r="Z32" i="13"/>
  <c r="I33" i="13" s="1"/>
  <c r="AA31" i="13"/>
  <c r="AB31" i="13" s="1"/>
  <c r="AC31" i="13" s="1"/>
  <c r="AM31" i="13"/>
  <c r="AK31" i="13"/>
  <c r="AJ31" i="13"/>
  <c r="AN31" i="13"/>
  <c r="C27" i="8" s="1"/>
  <c r="S32" i="15"/>
  <c r="Z32" i="15" s="1"/>
  <c r="AR31" i="15"/>
  <c r="AR32" i="15" s="1"/>
  <c r="Z31" i="15"/>
  <c r="AH31" i="15" s="1"/>
  <c r="I40" i="13"/>
  <c r="I39" i="13"/>
  <c r="BB30" i="14"/>
  <c r="B31" i="14" s="1"/>
  <c r="Z30" i="14"/>
  <c r="AH30" i="14" s="1"/>
  <c r="AH31" i="13"/>
  <c r="C26" i="8" s="1"/>
  <c r="W29" i="7"/>
  <c r="AD29" i="9"/>
  <c r="AA29" i="9"/>
  <c r="AB29" i="9" s="1"/>
  <c r="AC29" i="9" s="1"/>
  <c r="AM29" i="9"/>
  <c r="AJ29" i="9"/>
  <c r="AN29" i="9"/>
  <c r="AK29" i="9"/>
  <c r="AD27" i="12"/>
  <c r="V32" i="12"/>
  <c r="AB28" i="9"/>
  <c r="AC28" i="9" s="1"/>
  <c r="I34" i="9" s="1"/>
  <c r="AH27" i="10"/>
  <c r="AO28" i="9"/>
  <c r="AD27" i="10"/>
  <c r="AR27" i="10"/>
  <c r="AA27" i="12"/>
  <c r="AB27" i="12" s="1"/>
  <c r="AC27" i="12" s="1"/>
  <c r="S28" i="12"/>
  <c r="I28" i="12"/>
  <c r="J28" i="12" s="1"/>
  <c r="K28" i="12" s="1"/>
  <c r="L28" i="12" s="1"/>
  <c r="AY27" i="12"/>
  <c r="AZ27" i="12"/>
  <c r="AM27" i="12"/>
  <c r="AN27" i="12"/>
  <c r="AJ27" i="12"/>
  <c r="AK27" i="12"/>
  <c r="S28" i="10"/>
  <c r="I28" i="10"/>
  <c r="J28" i="10" s="1"/>
  <c r="K28" i="10" s="1"/>
  <c r="L28" i="10" s="1"/>
  <c r="BJ27" i="10"/>
  <c r="AY27" i="10"/>
  <c r="BI27" i="10"/>
  <c r="AX27" i="10"/>
  <c r="AJ27" i="10"/>
  <c r="AM27" i="10"/>
  <c r="AT27" i="10"/>
  <c r="AN27" i="10"/>
  <c r="AW27" i="10"/>
  <c r="AU27" i="10"/>
  <c r="AK27" i="10"/>
  <c r="Z30" i="19" l="1"/>
  <c r="AH30" i="19"/>
  <c r="Z30" i="18"/>
  <c r="AH30" i="18"/>
  <c r="I35" i="13"/>
  <c r="C22" i="8" s="1"/>
  <c r="C20" i="8"/>
  <c r="AA30" i="9"/>
  <c r="AB30" i="9" s="1"/>
  <c r="AC30" i="9" s="1"/>
  <c r="AD30" i="9"/>
  <c r="AM30" i="9"/>
  <c r="AN30" i="9"/>
  <c r="AK30" i="9"/>
  <c r="AJ30" i="9"/>
  <c r="Z31" i="7"/>
  <c r="AG31" i="7" s="1"/>
  <c r="I31" i="7"/>
  <c r="W30" i="7"/>
  <c r="AU31" i="12"/>
  <c r="AU32" i="12" s="1"/>
  <c r="E32" i="12" s="1"/>
  <c r="AH30" i="9"/>
  <c r="I31" i="9"/>
  <c r="J31" i="9" s="1"/>
  <c r="K31" i="9" s="1"/>
  <c r="L31" i="9" s="1"/>
  <c r="S31" i="9"/>
  <c r="BJ30" i="14"/>
  <c r="AD30" i="14"/>
  <c r="AA30" i="14"/>
  <c r="AB30" i="14" s="1"/>
  <c r="AC30" i="14" s="1"/>
  <c r="AY30" i="14"/>
  <c r="BI30" i="14"/>
  <c r="AK30" i="14"/>
  <c r="AX30" i="14"/>
  <c r="AU30" i="14"/>
  <c r="AN30" i="14"/>
  <c r="AW30" i="14"/>
  <c r="AT30" i="14"/>
  <c r="AJ30" i="14"/>
  <c r="AM30" i="14"/>
  <c r="I33" i="15"/>
  <c r="AZ32" i="15"/>
  <c r="S31" i="14"/>
  <c r="I31" i="14"/>
  <c r="AY31" i="15"/>
  <c r="AA31" i="15"/>
  <c r="AZ31" i="15"/>
  <c r="AD31" i="15"/>
  <c r="AM31" i="15"/>
  <c r="AJ31" i="15"/>
  <c r="AN31" i="15"/>
  <c r="D27" i="8" s="1"/>
  <c r="AK31" i="15"/>
  <c r="D26" i="8" s="1"/>
  <c r="AO31" i="13"/>
  <c r="AY32" i="15"/>
  <c r="B32" i="15"/>
  <c r="I32" i="15" s="1"/>
  <c r="AR30" i="14"/>
  <c r="AO29" i="9"/>
  <c r="I42" i="9"/>
  <c r="S32" i="9"/>
  <c r="B32" i="9"/>
  <c r="I32" i="9" s="1"/>
  <c r="AO27" i="10"/>
  <c r="AO27" i="12"/>
  <c r="Z28" i="12"/>
  <c r="AH28" i="12" s="1"/>
  <c r="AR28" i="12"/>
  <c r="B29" i="12" s="1"/>
  <c r="Z28" i="10"/>
  <c r="AY30" i="18" l="1"/>
  <c r="AK30" i="18"/>
  <c r="AD30" i="18"/>
  <c r="AJ30" i="18"/>
  <c r="BB30" i="18"/>
  <c r="B31" i="18" s="1"/>
  <c r="AM30" i="18"/>
  <c r="BI30" i="18"/>
  <c r="BH30" i="18"/>
  <c r="H31" i="18" s="1"/>
  <c r="Y31" i="18" s="1"/>
  <c r="AA30" i="18"/>
  <c r="AB30" i="18" s="1"/>
  <c r="AC30" i="18" s="1"/>
  <c r="AN30" i="18"/>
  <c r="AO30" i="18"/>
  <c r="I35" i="15"/>
  <c r="D22" i="8" s="1"/>
  <c r="D20" i="8"/>
  <c r="AA30" i="19"/>
  <c r="AB30" i="19" s="1"/>
  <c r="AC30" i="19" s="1"/>
  <c r="AN30" i="19"/>
  <c r="AK30" i="19"/>
  <c r="AY30" i="19"/>
  <c r="AM30" i="19"/>
  <c r="AJ30" i="19"/>
  <c r="AO30" i="19" s="1"/>
  <c r="BI30" i="19"/>
  <c r="AD30" i="19"/>
  <c r="BB30" i="19"/>
  <c r="B31" i="19" s="1"/>
  <c r="I39" i="15"/>
  <c r="D19" i="8"/>
  <c r="AR30" i="19"/>
  <c r="B32" i="7"/>
  <c r="I32" i="7" s="1"/>
  <c r="I38" i="7" s="1"/>
  <c r="Z31" i="9"/>
  <c r="AH31" i="9" s="1"/>
  <c r="J31" i="7"/>
  <c r="K31" i="7" s="1"/>
  <c r="L31" i="7" s="1"/>
  <c r="I34" i="7" s="1"/>
  <c r="D8" i="8" s="1"/>
  <c r="J8" i="8" s="1"/>
  <c r="U31" i="7"/>
  <c r="V31" i="7"/>
  <c r="D13" i="8" s="1"/>
  <c r="I13" i="8" s="1"/>
  <c r="S31" i="7"/>
  <c r="R31" i="7"/>
  <c r="AO30" i="9"/>
  <c r="AH31" i="7"/>
  <c r="I40" i="7"/>
  <c r="P31" i="7"/>
  <c r="AO30" i="14"/>
  <c r="AO31" i="15"/>
  <c r="AB31" i="15"/>
  <c r="AC31" i="15" s="1"/>
  <c r="I34" i="15" s="1"/>
  <c r="D21" i="8" s="1"/>
  <c r="I40" i="15"/>
  <c r="J31" i="14"/>
  <c r="K31" i="14" s="1"/>
  <c r="L31" i="14" s="1"/>
  <c r="I42" i="14"/>
  <c r="Z31" i="14"/>
  <c r="AH31" i="14" s="1"/>
  <c r="AR31" i="14"/>
  <c r="BB31" i="14"/>
  <c r="B32" i="14" s="1"/>
  <c r="I32" i="14" s="1"/>
  <c r="B19" i="8" s="1"/>
  <c r="S32" i="14"/>
  <c r="I39" i="9"/>
  <c r="I8" i="8"/>
  <c r="I29" i="12"/>
  <c r="J29" i="12" s="1"/>
  <c r="K29" i="12" s="1"/>
  <c r="L29" i="12" s="1"/>
  <c r="S29" i="12"/>
  <c r="D6" i="8"/>
  <c r="J6" i="8" s="1"/>
  <c r="Z32" i="9"/>
  <c r="I33" i="9" s="1"/>
  <c r="AH28" i="10"/>
  <c r="BH28" i="10"/>
  <c r="H29" i="10" s="1"/>
  <c r="Y29" i="10" s="1"/>
  <c r="BG28" i="10"/>
  <c r="G29" i="10" s="1"/>
  <c r="X29" i="10" s="1"/>
  <c r="BE28" i="10"/>
  <c r="E29" i="10" s="1"/>
  <c r="V29" i="10" s="1"/>
  <c r="BB28" i="10"/>
  <c r="B29" i="10" s="1"/>
  <c r="BD28" i="10"/>
  <c r="D29" i="10" s="1"/>
  <c r="U29" i="10" s="1"/>
  <c r="AR28" i="10"/>
  <c r="AZ28" i="12"/>
  <c r="AY28" i="12"/>
  <c r="AD28" i="12"/>
  <c r="AM28" i="12"/>
  <c r="AJ28" i="12"/>
  <c r="AN28" i="12"/>
  <c r="AK28" i="12"/>
  <c r="AA28" i="12"/>
  <c r="AY28" i="10"/>
  <c r="BI28" i="10"/>
  <c r="AD28" i="10"/>
  <c r="AN28" i="10"/>
  <c r="AM28" i="10"/>
  <c r="AX28" i="10"/>
  <c r="AW28" i="10"/>
  <c r="AT28" i="10"/>
  <c r="AJ28" i="10"/>
  <c r="AK28" i="10"/>
  <c r="AU28" i="10"/>
  <c r="AA28" i="10"/>
  <c r="AB28" i="10" s="1"/>
  <c r="AC28" i="10" s="1"/>
  <c r="S31" i="18" l="1"/>
  <c r="I31" i="18"/>
  <c r="BJ30" i="19"/>
  <c r="BJ30" i="18"/>
  <c r="Y32" i="18"/>
  <c r="S31" i="19"/>
  <c r="I31" i="19"/>
  <c r="I33" i="7"/>
  <c r="I35" i="7" s="1"/>
  <c r="D9" i="8" s="1"/>
  <c r="J9" i="8" s="1"/>
  <c r="I39" i="7"/>
  <c r="W31" i="7"/>
  <c r="D12" i="8"/>
  <c r="AA31" i="9"/>
  <c r="AB31" i="9" s="1"/>
  <c r="AC31" i="9" s="1"/>
  <c r="AD31" i="9"/>
  <c r="AM31" i="9"/>
  <c r="AK31" i="9"/>
  <c r="AN31" i="9"/>
  <c r="AJ31" i="9"/>
  <c r="J13" i="8"/>
  <c r="I39" i="14"/>
  <c r="BI31" i="14"/>
  <c r="AA31" i="14"/>
  <c r="AB31" i="14" s="1"/>
  <c r="AC31" i="14" s="1"/>
  <c r="I34" i="14" s="1"/>
  <c r="B21" i="8" s="1"/>
  <c r="BJ31" i="14"/>
  <c r="AD31" i="14"/>
  <c r="Z32" i="14"/>
  <c r="I33" i="14" s="1"/>
  <c r="AY31" i="14"/>
  <c r="AX31" i="14"/>
  <c r="AN31" i="14"/>
  <c r="B27" i="8" s="1"/>
  <c r="AT31" i="14"/>
  <c r="AK31" i="14"/>
  <c r="B26" i="8" s="1"/>
  <c r="AM31" i="14"/>
  <c r="AW31" i="14"/>
  <c r="AJ31" i="14"/>
  <c r="AU31" i="14"/>
  <c r="I6" i="8"/>
  <c r="N6" i="8"/>
  <c r="BE29" i="10"/>
  <c r="E30" i="10" s="1"/>
  <c r="V30" i="10" s="1"/>
  <c r="BD29" i="10"/>
  <c r="D30" i="10" s="1"/>
  <c r="U30" i="10" s="1"/>
  <c r="I35" i="9"/>
  <c r="S29" i="10"/>
  <c r="I29" i="10"/>
  <c r="J29" i="10" s="1"/>
  <c r="K29" i="10" s="1"/>
  <c r="L29" i="10" s="1"/>
  <c r="M6" i="8"/>
  <c r="BG29" i="10"/>
  <c r="G30" i="10" s="1"/>
  <c r="X30" i="10" s="1"/>
  <c r="BH29" i="10"/>
  <c r="H30" i="10" s="1"/>
  <c r="Y30" i="10" s="1"/>
  <c r="AR29" i="12"/>
  <c r="B30" i="12" s="1"/>
  <c r="Z29" i="12"/>
  <c r="BJ28" i="10"/>
  <c r="AB28" i="12"/>
  <c r="AC28" i="12" s="1"/>
  <c r="AO28" i="12"/>
  <c r="AO28" i="10"/>
  <c r="I35" i="14" l="1"/>
  <c r="B22" i="8" s="1"/>
  <c r="B20" i="8"/>
  <c r="J31" i="19"/>
  <c r="K31" i="19" s="1"/>
  <c r="L31" i="19" s="1"/>
  <c r="I42" i="19"/>
  <c r="J31" i="18"/>
  <c r="K31" i="18" s="1"/>
  <c r="L31" i="18" s="1"/>
  <c r="I42" i="18"/>
  <c r="I40" i="9"/>
  <c r="AR31" i="19"/>
  <c r="Z31" i="19"/>
  <c r="S32" i="19"/>
  <c r="Z31" i="18"/>
  <c r="S32" i="18"/>
  <c r="I9" i="8"/>
  <c r="D7" i="8"/>
  <c r="I7" i="8" s="1"/>
  <c r="AO31" i="14"/>
  <c r="I12" i="8"/>
  <c r="D14" i="8"/>
  <c r="J12" i="8"/>
  <c r="S30" i="12"/>
  <c r="I30" i="12"/>
  <c r="J30" i="12" s="1"/>
  <c r="K30" i="12" s="1"/>
  <c r="L30" i="12" s="1"/>
  <c r="BE30" i="10"/>
  <c r="E31" i="10" s="1"/>
  <c r="V31" i="10" s="1"/>
  <c r="BD30" i="10"/>
  <c r="D31" i="10" s="1"/>
  <c r="U31" i="10" s="1"/>
  <c r="U32" i="10" s="1"/>
  <c r="BH30" i="10"/>
  <c r="H31" i="10" s="1"/>
  <c r="Y31" i="10" s="1"/>
  <c r="Y32" i="10" s="1"/>
  <c r="BG30" i="10"/>
  <c r="G31" i="10" s="1"/>
  <c r="X31" i="10" s="1"/>
  <c r="AO31" i="9"/>
  <c r="C28" i="8"/>
  <c r="I40" i="14"/>
  <c r="AD29" i="12"/>
  <c r="AA29" i="12"/>
  <c r="AB29" i="12" s="1"/>
  <c r="AC29" i="12" s="1"/>
  <c r="AY29" i="12"/>
  <c r="AZ29" i="12"/>
  <c r="AN29" i="12"/>
  <c r="AM29" i="12"/>
  <c r="AJ29" i="12"/>
  <c r="AK29" i="12"/>
  <c r="AH29" i="12"/>
  <c r="BB29" i="10"/>
  <c r="B30" i="10" s="1"/>
  <c r="Z29" i="10"/>
  <c r="AH29" i="10" s="1"/>
  <c r="AH31" i="18" l="1"/>
  <c r="Z32" i="18"/>
  <c r="I33" i="18" s="1"/>
  <c r="AM31" i="18"/>
  <c r="BB31" i="18"/>
  <c r="B32" i="18" s="1"/>
  <c r="AA31" i="18"/>
  <c r="AB31" i="18" s="1"/>
  <c r="AC31" i="18" s="1"/>
  <c r="I34" i="18" s="1"/>
  <c r="F21" i="8" s="1"/>
  <c r="AD31" i="18"/>
  <c r="AK31" i="18"/>
  <c r="AY31" i="18"/>
  <c r="BI31" i="18"/>
  <c r="AJ31" i="18"/>
  <c r="BH31" i="18"/>
  <c r="H32" i="18" s="1"/>
  <c r="BJ31" i="18"/>
  <c r="AN31" i="18"/>
  <c r="F27" i="8" s="1"/>
  <c r="J7" i="8"/>
  <c r="AH31" i="19"/>
  <c r="AD31" i="19"/>
  <c r="BB31" i="19"/>
  <c r="B32" i="19" s="1"/>
  <c r="I32" i="19" s="1"/>
  <c r="AN31" i="19"/>
  <c r="G27" i="8" s="1"/>
  <c r="AY31" i="19"/>
  <c r="Z32" i="19"/>
  <c r="I33" i="19" s="1"/>
  <c r="AM31" i="19"/>
  <c r="AA31" i="19"/>
  <c r="AB31" i="19" s="1"/>
  <c r="AC31" i="19" s="1"/>
  <c r="I34" i="19" s="1"/>
  <c r="G21" i="8" s="1"/>
  <c r="AK31" i="19"/>
  <c r="AJ31" i="19"/>
  <c r="BI31" i="19"/>
  <c r="BJ31" i="19"/>
  <c r="BG31" i="10"/>
  <c r="G32" i="10" s="1"/>
  <c r="BH31" i="10"/>
  <c r="Z30" i="12"/>
  <c r="AR30" i="12"/>
  <c r="B31" i="12" s="1"/>
  <c r="I30" i="10"/>
  <c r="J30" i="10" s="1"/>
  <c r="K30" i="10" s="1"/>
  <c r="L30" i="10" s="1"/>
  <c r="S30" i="10"/>
  <c r="BE31" i="10"/>
  <c r="E32" i="10" s="1"/>
  <c r="X32" i="10"/>
  <c r="V32" i="10"/>
  <c r="BD31" i="10"/>
  <c r="D32" i="10" s="1"/>
  <c r="AD29" i="10"/>
  <c r="AA29" i="10"/>
  <c r="AB29" i="10" s="1"/>
  <c r="AC29" i="10" s="1"/>
  <c r="BI29" i="10"/>
  <c r="AY29" i="10"/>
  <c r="AK29" i="10"/>
  <c r="AX29" i="10"/>
  <c r="AU29" i="10"/>
  <c r="AT29" i="10"/>
  <c r="AW29" i="10"/>
  <c r="AJ29" i="10"/>
  <c r="AM29" i="10"/>
  <c r="AN29" i="10"/>
  <c r="AR29" i="10"/>
  <c r="AO29" i="12"/>
  <c r="BJ29" i="10"/>
  <c r="G19" i="8" l="1"/>
  <c r="I40" i="19"/>
  <c r="I39" i="19"/>
  <c r="I32" i="18"/>
  <c r="G26" i="8"/>
  <c r="G28" i="8" s="1"/>
  <c r="AO31" i="19"/>
  <c r="I35" i="18"/>
  <c r="F22" i="8" s="1"/>
  <c r="F20" i="8"/>
  <c r="I35" i="19"/>
  <c r="G22" i="8" s="1"/>
  <c r="G20" i="8"/>
  <c r="F26" i="8"/>
  <c r="F28" i="8" s="1"/>
  <c r="AO31" i="18"/>
  <c r="I31" i="12"/>
  <c r="S31" i="12"/>
  <c r="H32" i="10"/>
  <c r="BB30" i="10"/>
  <c r="B31" i="10" s="1"/>
  <c r="Z30" i="10"/>
  <c r="AR30" i="10"/>
  <c r="AH30" i="10"/>
  <c r="AY30" i="12"/>
  <c r="AZ30" i="12"/>
  <c r="AD30" i="12"/>
  <c r="AA30" i="12"/>
  <c r="AB30" i="12" s="1"/>
  <c r="AC30" i="12" s="1"/>
  <c r="AJ30" i="12"/>
  <c r="AN30" i="12"/>
  <c r="AM30" i="12"/>
  <c r="AK30" i="12"/>
  <c r="AH30" i="12"/>
  <c r="AO29" i="10"/>
  <c r="F19" i="8" l="1"/>
  <c r="I39" i="18"/>
  <c r="I40" i="18"/>
  <c r="S31" i="10"/>
  <c r="S32" i="10" s="1"/>
  <c r="I31" i="10"/>
  <c r="J31" i="10" s="1"/>
  <c r="K31" i="10" s="1"/>
  <c r="L31" i="10" s="1"/>
  <c r="Z31" i="12"/>
  <c r="AH31" i="12" s="1"/>
  <c r="AR31" i="12"/>
  <c r="AR32" i="12" s="1"/>
  <c r="S32" i="12"/>
  <c r="Z32" i="12" s="1"/>
  <c r="I33" i="12" s="1"/>
  <c r="BJ30" i="10"/>
  <c r="AD30" i="10"/>
  <c r="AA30" i="10"/>
  <c r="AB30" i="10" s="1"/>
  <c r="AC30" i="10" s="1"/>
  <c r="BI30" i="10"/>
  <c r="AY30" i="10"/>
  <c r="AW30" i="10"/>
  <c r="AN30" i="10"/>
  <c r="AJ30" i="10"/>
  <c r="AX30" i="10"/>
  <c r="AU30" i="10"/>
  <c r="AK30" i="10"/>
  <c r="AT30" i="10"/>
  <c r="AM30" i="10"/>
  <c r="AO30" i="12"/>
  <c r="J31" i="12"/>
  <c r="K31" i="12" s="1"/>
  <c r="L31" i="12" s="1"/>
  <c r="I42" i="12"/>
  <c r="AZ32" i="12" l="1"/>
  <c r="AY32" i="12"/>
  <c r="B32" i="12"/>
  <c r="I32" i="12" s="1"/>
  <c r="I42" i="10"/>
  <c r="AO30" i="10"/>
  <c r="I35" i="12"/>
  <c r="J22" i="8" s="1"/>
  <c r="J20" i="8"/>
  <c r="AD31" i="12"/>
  <c r="AZ31" i="12"/>
  <c r="AA31" i="12"/>
  <c r="AY31" i="12"/>
  <c r="AN31" i="12"/>
  <c r="AM31" i="12"/>
  <c r="AJ31" i="12"/>
  <c r="AK31" i="12"/>
  <c r="Z31" i="10"/>
  <c r="Z32" i="10" s="1"/>
  <c r="I33" i="10" s="1"/>
  <c r="BB31" i="10"/>
  <c r="B32" i="10" s="1"/>
  <c r="I32" i="10" s="1"/>
  <c r="I39" i="10" s="1"/>
  <c r="I39" i="12"/>
  <c r="AH31" i="10" l="1"/>
  <c r="AR31" i="10"/>
  <c r="BI31" i="10"/>
  <c r="AY31" i="10"/>
  <c r="AD31" i="10"/>
  <c r="AA31" i="10"/>
  <c r="AB31" i="10" s="1"/>
  <c r="AC31" i="10" s="1"/>
  <c r="I34" i="10" s="1"/>
  <c r="K21" i="8" s="1"/>
  <c r="AW31" i="10"/>
  <c r="AX31" i="10"/>
  <c r="AK31" i="10"/>
  <c r="AM31" i="10"/>
  <c r="AJ31" i="10"/>
  <c r="AN31" i="10"/>
  <c r="AT31" i="10"/>
  <c r="AU31" i="10"/>
  <c r="BJ31" i="10"/>
  <c r="AB31" i="12"/>
  <c r="AC31" i="12" s="1"/>
  <c r="I34" i="12" s="1"/>
  <c r="J21" i="8" s="1"/>
  <c r="I40" i="12"/>
  <c r="AO31" i="12"/>
  <c r="D28" i="8"/>
  <c r="I35" i="10"/>
  <c r="N19" i="8"/>
  <c r="J19" i="8"/>
  <c r="K19" i="8"/>
  <c r="M19" i="8"/>
  <c r="I19" i="8"/>
  <c r="B28" i="8" l="1"/>
  <c r="I40" i="10"/>
  <c r="AO31" i="10"/>
  <c r="I21" i="8"/>
  <c r="K20" i="8"/>
  <c r="I20" i="8"/>
  <c r="K22" i="8"/>
  <c r="I22" i="8"/>
</calcChain>
</file>

<file path=xl/sharedStrings.xml><?xml version="1.0" encoding="utf-8"?>
<sst xmlns="http://schemas.openxmlformats.org/spreadsheetml/2006/main" count="689" uniqueCount="172">
  <si>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</si>
  <si>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</si>
  <si>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</si>
  <si>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</si>
  <si>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</si>
  <si>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</si>
  <si>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</si>
  <si>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</si>
  <si>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</si>
  <si>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</si>
  <si>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</si>
  <si>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</si>
  <si>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</si>
  <si>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</si>
  <si>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</si>
  <si>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</si>
  <si>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</si>
  <si>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</si>
  <si>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Year</t>
  </si>
  <si>
    <t>1. Return Data from Morningstar</t>
  </si>
  <si>
    <t>LC Stocks</t>
  </si>
  <si>
    <t>Ext Mkt</t>
  </si>
  <si>
    <t>Mcap Stk</t>
  </si>
  <si>
    <t>Small Cap</t>
  </si>
  <si>
    <t>VFINX</t>
  </si>
  <si>
    <t>VEXMX</t>
  </si>
  <si>
    <t>VIMSX</t>
  </si>
  <si>
    <t>NAESX</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</si>
  <si>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</si>
  <si>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</si>
  <si>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</si>
  <si>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</si>
  <si>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</si>
  <si>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</si>
  <si>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</si>
  <si>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</si>
  <si>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</si>
  <si>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</si>
  <si>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</si>
  <si>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</si>
  <si>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</si>
  <si>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</si>
  <si>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</si>
  <si>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</si>
  <si>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</si>
  <si>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</si>
  <si>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</si>
  <si>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</si>
  <si>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</si>
  <si>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</si>
  <si>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</si>
  <si>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</si>
  <si>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</si>
  <si>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</si>
  <si>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</si>
  <si>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</si>
  <si>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</si>
  <si>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</si>
  <si>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</si>
  <si>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</si>
  <si>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</si>
  <si>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</si>
  <si>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</si>
  <si>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Total International Stock (VGTSX) has Developed &amp; Emerging Market stocks</t>
  </si>
  <si>
    <t>1A</t>
  </si>
  <si>
    <t>CPI Data downloaded from Econostats. Most current data is preliminary; all other is end of year</t>
  </si>
  <si>
    <t>3. Withdrawal Amount</t>
  </si>
  <si>
    <t>6. Allocations Test - False Values Signal Rebalancing Needed</t>
  </si>
  <si>
    <t>When a new year of data is added, new rows must be added to all spreadsheets</t>
  </si>
  <si>
    <t>All items shaded in Orange are manually adjusted; all other are based on formulas</t>
  </si>
  <si>
    <t>Rebalancing is done manually; including blue shading of cells</t>
  </si>
  <si>
    <t>Rebalancing required at the end of 2013</t>
  </si>
  <si>
    <t>Portfolio Strategy</t>
  </si>
  <si>
    <t>Rebalance at 5% Thresholds</t>
  </si>
  <si>
    <t>Total Return</t>
  </si>
  <si>
    <t>Annualized Return</t>
  </si>
  <si>
    <t>Largest Annual Loss</t>
  </si>
  <si>
    <t>Final</t>
  </si>
  <si>
    <t>CPI</t>
  </si>
  <si>
    <t>Total Withdrawals</t>
  </si>
  <si>
    <t>Return data from Morningstar; available in truncated form in AAII's Mutual Fund Guide</t>
  </si>
  <si>
    <t>CPI  (CPI-U - US city average all urban consumers ) seas adj data used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</si>
  <si>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</si>
  <si>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</si>
  <si>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Panic Portfolio</t>
  </si>
  <si>
    <t>Allocations are calculated post withdrawals</t>
  </si>
  <si>
    <t>Adjust return and standard deviation calculations to reflect addition of new year</t>
  </si>
  <si>
    <t>Assumes investor starts at Jan 1 2000 to simulate investing at height of tech buble</t>
  </si>
  <si>
    <t>No extended Market (VEXMX) because Midcap fund (VIMSX) available</t>
  </si>
  <si>
    <t>4. Panic Grid</t>
  </si>
  <si>
    <t>6. Panic Grid</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</si>
  <si>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</si>
  <si>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</si>
  <si>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</si>
  <si>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</si>
  <si>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Ending Equity Allocation</t>
  </si>
  <si>
    <t>Ending Fixed-Income Allocation</t>
  </si>
  <si>
    <t>Allocation Check</t>
  </si>
  <si>
    <t>1A. Geometric Mean of Fund Retunrs</t>
  </si>
  <si>
    <t>Rebalance vs Panic</t>
  </si>
  <si>
    <t>No Change vs Panic</t>
  </si>
  <si>
    <t>Rebalance vs Not Rebalancing</t>
  </si>
  <si>
    <t>Panic and Sell When S&amp;P 500 Falls &gt; 20%</t>
  </si>
  <si>
    <t>Table 3. Returns from Starting in 2007</t>
  </si>
  <si>
    <t>No Rebalancing</t>
  </si>
  <si>
    <t>2. Non-Rebalanced Strategy - End of Year Balance</t>
  </si>
  <si>
    <t>2. Panic Strategy - End of Year Balance</t>
  </si>
  <si>
    <t>3. Panic Strategy - Annual Allocations</t>
  </si>
  <si>
    <t>4. Panic Strategy - Withdrawal Equal Amounts from All Funds</t>
  </si>
  <si>
    <t>5. Panic Strategy - Annual Allocations</t>
  </si>
  <si>
    <t>2. Rebalanced Strategy (5% Triggers) - End of Year Balance</t>
  </si>
  <si>
    <t>4. Rebalanced Strategy - Withdrawal Equal Amounts from All Funds</t>
  </si>
  <si>
    <t>5. Rebalanced Strategy - Annual Allocations</t>
  </si>
  <si>
    <t>7. Rebalanced Strategy (5% Triggers) - Rebalance Grid</t>
  </si>
  <si>
    <t>4. Non-Rebalanced Strategy - Withdrawal Equal Amounts from All Funds</t>
  </si>
  <si>
    <t>5. Non-Rebalanced Strategy - Annual Allocations</t>
  </si>
  <si>
    <t>3. Rebalanced Strategy (5% Triggers) - Allocations Prior to Rebalancing</t>
  </si>
  <si>
    <t>4. Rebalanced Strategy Allocations Test - False Values Signal Rebalancing Needed</t>
  </si>
  <si>
    <t>5. Rebalanced Strategy (5% Triggers) - Rebalance Grid</t>
  </si>
  <si>
    <t>3. Non-Rebalanced Strategy Annual Allocations</t>
  </si>
  <si>
    <t>Non-Rebalanced Strategy</t>
  </si>
  <si>
    <t>Portfolio allocations - per fund dollar amount divided by portfolio's total balance</t>
  </si>
  <si>
    <t>Rebalanced Strategy</t>
  </si>
  <si>
    <t>Annual return information for funds; data pulls from Non-Rebalanced Strategy tab</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</si>
  <si>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</si>
  <si>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</si>
  <si>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Withdrawals are made evenly from all funds. The calculation is simply the withdrawal amount divided by the number of funds used. Five funds used. The formula would need to be adjusted if additional or fewer funds used are used.</t>
  </si>
  <si>
    <t>Post-withdrawal portfolio allocations - per fund dollar amount divided by portfolio's total balance from Table 4.</t>
  </si>
  <si>
    <t>CPI Data pulled from 4% Withdrawals - No Rebalancing tab.</t>
  </si>
  <si>
    <t>Year-end allocations are calculated after withdrawal amounts have been deducted. Rebalance if allocations are five percentage points above or below.  Numbers in blue (manually shaded) are signals to rebalance.</t>
  </si>
  <si>
    <t>Used for rebalancing the portfolio. Numbers pull from Table 4 unless rebalancing is necessary. If rebalancing is necessary, allocations are adjusted back to targets for all funds based numbers in Table 4. Rebalanced cells are shaded in blue. Balance check should always equal $0.00</t>
  </si>
  <si>
    <t>Withdrawals are made evenly from all funds. The calculation is simply the withdrawal amount divided by the number of funds used. Five funds used in most years; one fund used in 2003 and 2009 to reflect panicking. The formula would need to be adjusted if additional or fewer funds used are used.</t>
  </si>
  <si>
    <t>Annual balances calculated using end of year post-withdrawal data for previous years times fund returns for current year (Table 4), since all data beyond 2007 factors in withdrawals. 2007 returns are pre-withdrawals. Largest drawdown and worse return calculated before withdrawals to show impact of market on the portfolio. No rebalancing occurs.</t>
  </si>
  <si>
    <t xml:space="preserve">Annual balances calculated using end of year post-withdrawal data for previous years times fund returns for current year (Table 7), since all data beyond 2007 factors in withdrawals and rebalancing. 2007 returns are pre-withdrawals. Returns calculated before any rebalancing adjustments are made for that specific year. Largest drawdown and worse return calculated before withdrawals and rebalancing to show impact of market on the portfolio. </t>
  </si>
  <si>
    <t>End of year performance calculated as balances from prior year times fund return for current year in Table 5. 2007 end of year balance based solely on annual fund performance.  Manually adjust standard deviation for number of periods</t>
  </si>
  <si>
    <t>Portfolio allocations - per fund dollar amount divided by portfolio's total balance.  Rebalance if allocations are five percentage points above or below.  Numbers in blue (manually shaded) are signals to rebalance.</t>
  </si>
  <si>
    <t>End of year performance calculated as balances from prior year (table 4) times fund return for current year (table 1). 2007 end of year balance based solely on annual fund performance. Manually adjust standard deviation for number of periods.</t>
  </si>
  <si>
    <t xml:space="preserve">Annual balances calculated using end of year post-withdrawal data for previous years times fund returns for current year (Table 4), since all data beyond 2007 factors in withdrawals. 2007 returns are pre-withdrawals. Returns calculated before any panicking adjustments are made for that specific year. Starting values for 2008 and beyond are from Table 6, and reflect any adjustments for panicking. Largest drawdown and worse return calculated before withdrawals to show impact of market on the portfolio. 
</t>
  </si>
  <si>
    <t>1A. CPI Data</t>
  </si>
  <si>
    <t>CPI Data from Econostats thru 2013, data from FRED for 2014 forward used</t>
  </si>
  <si>
    <t>https://research.stlouisfed.org/fred2/series/CPIAUCSL</t>
  </si>
  <si>
    <t>Gain/Loss Check</t>
  </si>
  <si>
    <t>Withdrawal Check</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</si>
  <si>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</si>
  <si>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</si>
  <si>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</si>
  <si>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Years</t>
  </si>
  <si>
    <t>60/40 Allocation</t>
  </si>
  <si>
    <t>S&amp;P 500 Only</t>
  </si>
  <si>
    <t>Non-Withdrawal Portfolio Results (2007 - 2017)</t>
  </si>
  <si>
    <t>Withdrawal Portfolio Results (2007 - 2017)</t>
  </si>
  <si>
    <t>4.5% &amp; 4% Withdrawals-No Rebalancing</t>
  </si>
  <si>
    <t>Withdrawal amount starts at 4.5% (4%) of year-end 2007 balance. Initial amount is adjusted upwards annually based on change in CPI using data in Table 1A.</t>
  </si>
  <si>
    <t>4.5% and 4% Withdrawals-Rebalancing</t>
  </si>
  <si>
    <t>Withdrawal amount starts at 4.5% (4%) of year-end 2000 balance. Initial amount is adjusted upwards annually based on change in CPI using data in Table 1A.</t>
  </si>
  <si>
    <t>4.5% and 4% Withdrawals-Panic</t>
  </si>
  <si>
    <t>Withdrawal amount starts at 4.5% (4%) of year-end 2007 balance. Initial amount is adjusted upwards annually based on change in CPI.</t>
  </si>
  <si>
    <t>4.5% Withdrawals-60-40 Portfolio</t>
  </si>
  <si>
    <t>CPI Data pulled from 4.5% Withdrawals - No Rebalancing tab.</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</si>
  <si>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</si>
  <si>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</si>
  <si>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Constant allocation to 60% large-cap stocks/40% bonds is used with annual rebalancing</t>
  </si>
  <si>
    <t>4.5% SP500</t>
  </si>
  <si>
    <t>Withdrawal amount starts at 4.5% (4%) of year-end 1988 balance. Initial amount is adjusted upwards annually based on change in CPI using data in Table 1A</t>
  </si>
  <si>
    <t>Withdrawals are made from S&amp;P 500 fund</t>
  </si>
  <si>
    <t xml:space="preserve">Annual balances calculated using end of year post-withdrawal data for previous years times fund returns for current year (Table 4), since all data beyond 2007 factors in withdrawals. 2007 returns are pre-withdrawals. Largest drawdown and worse return calculated before withdrawals to show impact of market on the portfolio. No rebalancing occurs.
</t>
  </si>
  <si>
    <t>60-40 Portfolio</t>
  </si>
  <si>
    <t>Portfolio allocations - per fund dollar amount divided by portfolio's total balance.  Rebalance each year back to 60% large-cap stock/40% bond allocation</t>
  </si>
  <si>
    <t xml:space="preserve">A test to see if rebalancing would have been needed if five-percentage point bands were used. Allocations above or below targets by more than five percentage points are flagged as being "FALSE." </t>
  </si>
  <si>
    <t>Used for rebalancing the portfolio. Allocations are adjusted back to targets for all funds annually. Balance check should always equal $0.00</t>
  </si>
  <si>
    <t>SP500 Only Portfolio</t>
  </si>
  <si>
    <t>End of year performance calculated as balances from prior year (Table 5) times fund return for current year (Table 1). 2007 end of year balance based solely on annual fund performance (Table 1).  Manually adjust standard deviation for number of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</si>
</sst>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
  </numFmts>
  <fonts count="13"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sz val="8"/>
      <name val="Verdana"/>
      <family val="2"/>
    </font>
    <font>
      <sz val="11"/>
      <color indexed="8"/>
      <name val="Calibri"/>
      <family val="2"/>
    </font>
    <font>
      <b/>
      <sz val="1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68">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3" fillId="4" borderId="0" xfId="0" applyFont="1" applyFill="1"/>
    <xf numFmtId="2" fontId="3" fillId="4" borderId="0" xfId="0" applyNumberFormat="1" applyFont="1" applyFill="1"/>
    <xf numFmtId="0" fontId="4"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6" borderId="0" xfId="0" applyNumberFormat="1" applyFill="1"/>
    <xf numFmtId="164" fontId="0" fillId="3" borderId="0" xfId="1" applyNumberFormat="1" applyFont="1" applyFill="1" applyBorder="1"/>
    <xf numFmtId="10" fontId="5"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6" fillId="0" borderId="0" xfId="0" applyFont="1"/>
    <xf numFmtId="164" fontId="0" fillId="6"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7"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6" fillId="0" borderId="0" xfId="0" applyFont="1" applyBorder="1"/>
    <xf numFmtId="0" fontId="6" fillId="0" borderId="0" xfId="0" applyFont="1" applyAlignment="1">
      <alignment horizontal="left"/>
    </xf>
    <xf numFmtId="9" fontId="0" fillId="4" borderId="0" xfId="1" applyFont="1" applyFill="1"/>
    <xf numFmtId="6" fontId="0" fillId="7" borderId="0" xfId="0" applyNumberFormat="1" applyFill="1"/>
    <xf numFmtId="9" fontId="0" fillId="0" borderId="0" xfId="1" applyNumberFormat="1" applyFont="1"/>
    <xf numFmtId="6" fontId="11" fillId="0" borderId="1" xfId="0" applyNumberFormat="1" applyFont="1" applyBorder="1"/>
    <xf numFmtId="164" fontId="0" fillId="0" borderId="0" xfId="1" applyNumberFormat="1" applyFont="1" applyFill="1"/>
    <xf numFmtId="6" fontId="0" fillId="0" borderId="0" xfId="0" applyNumberFormat="1" applyFill="1"/>
    <xf numFmtId="164" fontId="0" fillId="2" borderId="0" xfId="1" applyNumberFormat="1" applyFont="1" applyFill="1"/>
    <xf numFmtId="164" fontId="3" fillId="4" borderId="0" xfId="1" applyNumberFormat="1" applyFont="1" applyFill="1"/>
    <xf numFmtId="0" fontId="0" fillId="4" borderId="0" xfId="0" applyFill="1" applyAlignment="1">
      <alignment horizontal="right"/>
    </xf>
    <xf numFmtId="0" fontId="12" fillId="0" borderId="0" xfId="0" applyFont="1"/>
    <xf numFmtId="0" fontId="4" fillId="3" borderId="0" xfId="0" applyFont="1" applyFill="1"/>
    <xf numFmtId="10" fontId="0" fillId="0" borderId="0" xfId="0" applyNumberFormat="1" applyFill="1"/>
    <xf numFmtId="0" fontId="0" fillId="9" borderId="0" xfId="0" applyFill="1"/>
    <xf numFmtId="10" fontId="4" fillId="0" borderId="0" xfId="0" applyNumberFormat="1" applyFont="1"/>
    <xf numFmtId="9" fontId="0" fillId="0" borderId="0" xfId="0" applyNumberFormat="1" applyFill="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4"/>
  <sheetViews>
    <sheetView topLeftCell="A69" workbookViewId="0">
      <selection activeCell="A38" sqref="A38:XFD51"/>
    </sheetView>
  </sheetViews>
  <sheetFormatPr defaultColWidth="8.85546875" defaultRowHeight="15" x14ac:dyDescent="0.25"/>
  <cols>
    <col min="2" max="2" width="84.140625" style="8" customWidth="1"/>
  </cols>
  <sheetData>
    <row r="1" spans="1:2" x14ac:dyDescent="0.25">
      <c r="A1" s="18" t="s">
        <v>59</v>
      </c>
    </row>
    <row r="3" spans="1:2" x14ac:dyDescent="0.25">
      <c r="A3" s="50" t="s">
        <v>11</v>
      </c>
    </row>
    <row r="4" spans="1:2" x14ac:dyDescent="0.25">
      <c r="A4" t="s">
        <v>68</v>
      </c>
    </row>
    <row r="5" spans="1:2" x14ac:dyDescent="0.25">
      <c r="A5" t="s">
        <v>86</v>
      </c>
    </row>
    <row r="6" spans="1:2" x14ac:dyDescent="0.25">
      <c r="A6" t="s">
        <v>69</v>
      </c>
    </row>
    <row r="7" spans="1:2" x14ac:dyDescent="0.25">
      <c r="A7" t="s">
        <v>70</v>
      </c>
    </row>
    <row r="8" spans="1:2" x14ac:dyDescent="0.25">
      <c r="A8" t="s">
        <v>13</v>
      </c>
    </row>
    <row r="9" spans="1:2" x14ac:dyDescent="0.25">
      <c r="A9" t="s">
        <v>14</v>
      </c>
    </row>
    <row r="10" spans="1:2" x14ac:dyDescent="0.25">
      <c r="A10" t="s">
        <v>16</v>
      </c>
    </row>
    <row r="11" spans="1:2" x14ac:dyDescent="0.25">
      <c r="A11" t="s">
        <v>17</v>
      </c>
    </row>
    <row r="14" spans="1:2" x14ac:dyDescent="0.25">
      <c r="A14" s="51" t="s">
        <v>120</v>
      </c>
    </row>
    <row r="15" spans="1:2" x14ac:dyDescent="0.25">
      <c r="A15" s="30" t="s">
        <v>57</v>
      </c>
    </row>
    <row r="16" spans="1:2" ht="30" x14ac:dyDescent="0.25">
      <c r="A16" s="30">
        <v>1</v>
      </c>
      <c r="B16" s="8" t="s">
        <v>60</v>
      </c>
    </row>
    <row r="17" spans="1:2" ht="30" x14ac:dyDescent="0.25">
      <c r="A17" s="30">
        <v>2</v>
      </c>
      <c r="B17" s="8" t="s">
        <v>15</v>
      </c>
    </row>
    <row r="18" spans="1:2" x14ac:dyDescent="0.25">
      <c r="A18" s="30">
        <v>3</v>
      </c>
      <c r="B18" s="8" t="s">
        <v>121</v>
      </c>
    </row>
    <row r="19" spans="1:2" x14ac:dyDescent="0.25">
      <c r="A19" s="30"/>
    </row>
    <row r="20" spans="1:2" x14ac:dyDescent="0.25">
      <c r="A20" s="30"/>
    </row>
    <row r="21" spans="1:2" x14ac:dyDescent="0.25">
      <c r="A21" s="52" t="s">
        <v>122</v>
      </c>
    </row>
    <row r="22" spans="1:2" x14ac:dyDescent="0.25">
      <c r="A22" s="30" t="s">
        <v>57</v>
      </c>
    </row>
    <row r="23" spans="1:2" x14ac:dyDescent="0.25">
      <c r="A23" s="30">
        <v>1</v>
      </c>
      <c r="B23" s="8" t="s">
        <v>123</v>
      </c>
    </row>
    <row r="24" spans="1:2" ht="45" x14ac:dyDescent="0.25">
      <c r="A24" s="30">
        <v>2</v>
      </c>
      <c r="B24" s="8" t="s">
        <v>134</v>
      </c>
    </row>
    <row r="25" spans="1:2" ht="45" x14ac:dyDescent="0.25">
      <c r="A25" s="30">
        <v>3</v>
      </c>
      <c r="B25" s="8" t="s">
        <v>135</v>
      </c>
    </row>
    <row r="26" spans="1:2" ht="30" x14ac:dyDescent="0.25">
      <c r="A26" s="30">
        <v>4</v>
      </c>
      <c r="B26" s="8" t="s">
        <v>82</v>
      </c>
    </row>
    <row r="27" spans="1:2" ht="45" x14ac:dyDescent="0.25">
      <c r="A27" s="30">
        <v>5</v>
      </c>
      <c r="B27" s="8" t="s">
        <v>83</v>
      </c>
    </row>
    <row r="28" spans="1:2" x14ac:dyDescent="0.25">
      <c r="A28" s="30"/>
    </row>
    <row r="29" spans="1:2" x14ac:dyDescent="0.25">
      <c r="A29" s="30"/>
    </row>
    <row r="30" spans="1:2" x14ac:dyDescent="0.25">
      <c r="A30" s="52" t="s">
        <v>84</v>
      </c>
    </row>
    <row r="31" spans="1:2" x14ac:dyDescent="0.25">
      <c r="A31" s="30" t="s">
        <v>57</v>
      </c>
    </row>
    <row r="32" spans="1:2" x14ac:dyDescent="0.25">
      <c r="A32" s="30">
        <v>1</v>
      </c>
      <c r="B32" s="8" t="s">
        <v>123</v>
      </c>
    </row>
    <row r="33" spans="1:2" ht="45" x14ac:dyDescent="0.25">
      <c r="A33" s="30">
        <v>2</v>
      </c>
      <c r="B33" s="8" t="s">
        <v>136</v>
      </c>
    </row>
    <row r="34" spans="1:2" ht="60" x14ac:dyDescent="0.25">
      <c r="A34" s="30">
        <v>3</v>
      </c>
      <c r="B34" s="8" t="s">
        <v>124</v>
      </c>
    </row>
    <row r="35" spans="1:2" ht="60" x14ac:dyDescent="0.25">
      <c r="A35" s="30">
        <v>4</v>
      </c>
      <c r="B35" s="8" t="s">
        <v>125</v>
      </c>
    </row>
    <row r="36" spans="1:2" x14ac:dyDescent="0.25">
      <c r="A36" s="30"/>
    </row>
    <row r="37" spans="1:2" x14ac:dyDescent="0.25">
      <c r="A37" s="30"/>
    </row>
    <row r="38" spans="1:2" x14ac:dyDescent="0.25">
      <c r="A38" s="33" t="s">
        <v>166</v>
      </c>
    </row>
    <row r="39" spans="1:2" x14ac:dyDescent="0.25">
      <c r="A39" s="30" t="s">
        <v>57</v>
      </c>
    </row>
    <row r="40" spans="1:2" x14ac:dyDescent="0.25">
      <c r="A40" s="30">
        <v>1</v>
      </c>
      <c r="B40" s="8" t="s">
        <v>123</v>
      </c>
    </row>
    <row r="41" spans="1:2" ht="45" x14ac:dyDescent="0.25">
      <c r="A41" s="30">
        <v>2</v>
      </c>
      <c r="B41" s="8" t="s">
        <v>171</v>
      </c>
    </row>
    <row r="42" spans="1:2" ht="30" x14ac:dyDescent="0.25">
      <c r="A42" s="30">
        <v>3</v>
      </c>
      <c r="B42" s="8" t="s">
        <v>167</v>
      </c>
    </row>
    <row r="43" spans="1:2" ht="45" x14ac:dyDescent="0.25">
      <c r="A43" s="30">
        <v>4</v>
      </c>
      <c r="B43" s="8" t="s">
        <v>168</v>
      </c>
    </row>
    <row r="44" spans="1:2" ht="30" x14ac:dyDescent="0.25">
      <c r="A44" s="30">
        <v>5</v>
      </c>
      <c r="B44" s="8" t="s">
        <v>169</v>
      </c>
    </row>
    <row r="45" spans="1:2" x14ac:dyDescent="0.25">
      <c r="A45" s="30">
        <v>6</v>
      </c>
      <c r="B45" s="8" t="s">
        <v>161</v>
      </c>
    </row>
    <row r="46" spans="1:2" x14ac:dyDescent="0.25">
      <c r="A46" s="30"/>
    </row>
    <row r="47" spans="1:2" x14ac:dyDescent="0.25">
      <c r="A47" s="33" t="s">
        <v>170</v>
      </c>
    </row>
    <row r="48" spans="1:2" x14ac:dyDescent="0.25">
      <c r="A48" s="30" t="s">
        <v>57</v>
      </c>
    </row>
    <row r="49" spans="1:2" x14ac:dyDescent="0.25">
      <c r="A49" s="30">
        <v>1</v>
      </c>
      <c r="B49" s="8" t="s">
        <v>123</v>
      </c>
    </row>
    <row r="50" spans="1:2" ht="30" x14ac:dyDescent="0.25">
      <c r="A50" s="30">
        <v>2</v>
      </c>
      <c r="B50" s="8" t="s">
        <v>15</v>
      </c>
    </row>
    <row r="51" spans="1:2" x14ac:dyDescent="0.25">
      <c r="A51" s="30">
        <v>3</v>
      </c>
      <c r="B51" s="8" t="s">
        <v>121</v>
      </c>
    </row>
    <row r="52" spans="1:2" x14ac:dyDescent="0.25">
      <c r="A52" s="30"/>
    </row>
    <row r="53" spans="1:2" x14ac:dyDescent="0.25">
      <c r="A53" s="30"/>
    </row>
    <row r="54" spans="1:2" x14ac:dyDescent="0.25">
      <c r="A54" s="52" t="s">
        <v>151</v>
      </c>
    </row>
    <row r="55" spans="1:2" x14ac:dyDescent="0.25">
      <c r="A55" s="30" t="s">
        <v>57</v>
      </c>
    </row>
    <row r="56" spans="1:2" x14ac:dyDescent="0.25">
      <c r="A56" s="30">
        <v>1</v>
      </c>
      <c r="B56" s="8" t="s">
        <v>123</v>
      </c>
    </row>
    <row r="57" spans="1:2" ht="30" x14ac:dyDescent="0.25">
      <c r="A57" s="30" t="s">
        <v>64</v>
      </c>
      <c r="B57" s="8" t="s">
        <v>65</v>
      </c>
    </row>
    <row r="58" spans="1:2" ht="60" x14ac:dyDescent="0.25">
      <c r="A58" s="30">
        <v>2</v>
      </c>
      <c r="B58" s="8" t="s">
        <v>132</v>
      </c>
    </row>
    <row r="59" spans="1:2" ht="30" x14ac:dyDescent="0.25">
      <c r="A59" s="30">
        <v>3</v>
      </c>
      <c r="B59" s="8" t="s">
        <v>152</v>
      </c>
    </row>
    <row r="60" spans="1:2" ht="30" x14ac:dyDescent="0.25">
      <c r="A60" s="30">
        <v>4</v>
      </c>
      <c r="B60" s="8" t="s">
        <v>65</v>
      </c>
    </row>
    <row r="61" spans="1:2" ht="30" x14ac:dyDescent="0.25">
      <c r="A61" s="30">
        <v>5</v>
      </c>
      <c r="B61" s="8" t="s">
        <v>127</v>
      </c>
    </row>
    <row r="62" spans="1:2" x14ac:dyDescent="0.25">
      <c r="A62" s="30"/>
    </row>
    <row r="63" spans="1:2" x14ac:dyDescent="0.25">
      <c r="A63" s="52" t="s">
        <v>153</v>
      </c>
    </row>
    <row r="64" spans="1:2" x14ac:dyDescent="0.25">
      <c r="A64" s="30" t="s">
        <v>57</v>
      </c>
    </row>
    <row r="65" spans="1:2" x14ac:dyDescent="0.25">
      <c r="A65" s="30">
        <v>1</v>
      </c>
      <c r="B65" s="8" t="s">
        <v>123</v>
      </c>
    </row>
    <row r="66" spans="1:2" ht="15.75" customHeight="1" x14ac:dyDescent="0.25">
      <c r="A66" s="30" t="s">
        <v>64</v>
      </c>
      <c r="B66" s="8" t="s">
        <v>128</v>
      </c>
    </row>
    <row r="67" spans="1:2" ht="78" customHeight="1" x14ac:dyDescent="0.25">
      <c r="A67" s="30">
        <v>2</v>
      </c>
      <c r="B67" s="8" t="s">
        <v>133</v>
      </c>
    </row>
    <row r="68" spans="1:2" ht="30" x14ac:dyDescent="0.25">
      <c r="A68" s="30">
        <v>3</v>
      </c>
      <c r="B68" s="8" t="s">
        <v>154</v>
      </c>
    </row>
    <row r="69" spans="1:2" ht="45" x14ac:dyDescent="0.25">
      <c r="A69" s="30">
        <v>4</v>
      </c>
      <c r="B69" s="8" t="s">
        <v>126</v>
      </c>
    </row>
    <row r="70" spans="1:2" ht="45" x14ac:dyDescent="0.25">
      <c r="A70" s="30">
        <v>5</v>
      </c>
      <c r="B70" s="8" t="s">
        <v>129</v>
      </c>
    </row>
    <row r="71" spans="1:2" ht="30" x14ac:dyDescent="0.25">
      <c r="A71" s="30">
        <v>6</v>
      </c>
      <c r="B71" s="8" t="s">
        <v>82</v>
      </c>
    </row>
    <row r="72" spans="1:2" ht="60" x14ac:dyDescent="0.25">
      <c r="A72" s="30">
        <v>7</v>
      </c>
      <c r="B72" s="8" t="s">
        <v>130</v>
      </c>
    </row>
    <row r="75" spans="1:2" x14ac:dyDescent="0.25">
      <c r="A75" s="33" t="s">
        <v>155</v>
      </c>
    </row>
    <row r="76" spans="1:2" x14ac:dyDescent="0.25">
      <c r="A76" s="30" t="s">
        <v>57</v>
      </c>
    </row>
    <row r="77" spans="1:2" x14ac:dyDescent="0.25">
      <c r="A77" s="30">
        <v>1</v>
      </c>
      <c r="B77" s="8" t="s">
        <v>123</v>
      </c>
    </row>
    <row r="78" spans="1:2" x14ac:dyDescent="0.25">
      <c r="A78" s="30" t="s">
        <v>64</v>
      </c>
      <c r="B78" s="8" t="s">
        <v>128</v>
      </c>
    </row>
    <row r="79" spans="1:2" ht="74.25" customHeight="1" x14ac:dyDescent="0.25">
      <c r="A79" s="30">
        <v>2</v>
      </c>
      <c r="B79" s="8" t="s">
        <v>137</v>
      </c>
    </row>
    <row r="80" spans="1:2" ht="30" x14ac:dyDescent="0.25">
      <c r="A80" s="30">
        <v>3</v>
      </c>
      <c r="B80" s="8" t="s">
        <v>156</v>
      </c>
    </row>
    <row r="81" spans="1:2" ht="60" x14ac:dyDescent="0.25">
      <c r="A81" s="30">
        <v>4</v>
      </c>
      <c r="B81" s="8" t="s">
        <v>131</v>
      </c>
    </row>
    <row r="82" spans="1:2" x14ac:dyDescent="0.25">
      <c r="A82" s="30">
        <v>5</v>
      </c>
      <c r="B82" s="8" t="s">
        <v>85</v>
      </c>
    </row>
    <row r="83" spans="1:2" ht="60" x14ac:dyDescent="0.25">
      <c r="A83" s="30">
        <v>6</v>
      </c>
      <c r="B83" s="8" t="s">
        <v>91</v>
      </c>
    </row>
    <row r="86" spans="1:2" x14ac:dyDescent="0.25">
      <c r="A86" s="33" t="s">
        <v>157</v>
      </c>
    </row>
    <row r="87" spans="1:2" x14ac:dyDescent="0.25">
      <c r="A87" s="30" t="s">
        <v>57</v>
      </c>
    </row>
    <row r="88" spans="1:2" x14ac:dyDescent="0.25">
      <c r="A88" s="30">
        <v>1</v>
      </c>
      <c r="B88" s="8" t="s">
        <v>123</v>
      </c>
    </row>
    <row r="89" spans="1:2" x14ac:dyDescent="0.25">
      <c r="A89" s="30" t="s">
        <v>64</v>
      </c>
      <c r="B89" s="8" t="s">
        <v>158</v>
      </c>
    </row>
    <row r="90" spans="1:2" ht="90" x14ac:dyDescent="0.25">
      <c r="A90" s="30">
        <v>2</v>
      </c>
      <c r="B90" s="8" t="s">
        <v>133</v>
      </c>
    </row>
    <row r="91" spans="1:2" ht="30" x14ac:dyDescent="0.25">
      <c r="A91" s="30">
        <v>3</v>
      </c>
      <c r="B91" s="8" t="s">
        <v>159</v>
      </c>
    </row>
    <row r="92" spans="1:2" ht="45" x14ac:dyDescent="0.25">
      <c r="A92" s="30">
        <v>4</v>
      </c>
      <c r="B92" s="8" t="s">
        <v>160</v>
      </c>
    </row>
    <row r="93" spans="1:2" x14ac:dyDescent="0.25">
      <c r="A93" s="30">
        <v>5</v>
      </c>
      <c r="B93" s="8" t="s">
        <v>85</v>
      </c>
    </row>
    <row r="94" spans="1:2" x14ac:dyDescent="0.25">
      <c r="A94" s="30">
        <v>6</v>
      </c>
      <c r="B94" s="8" t="s">
        <v>161</v>
      </c>
    </row>
    <row r="97" spans="1:2" x14ac:dyDescent="0.25">
      <c r="A97" s="52" t="s">
        <v>162</v>
      </c>
    </row>
    <row r="98" spans="1:2" x14ac:dyDescent="0.25">
      <c r="A98" s="30" t="s">
        <v>57</v>
      </c>
    </row>
    <row r="99" spans="1:2" x14ac:dyDescent="0.25">
      <c r="A99" s="30">
        <v>1</v>
      </c>
      <c r="B99" s="8" t="s">
        <v>123</v>
      </c>
    </row>
    <row r="100" spans="1:2" ht="30" x14ac:dyDescent="0.25">
      <c r="A100" s="30" t="s">
        <v>64</v>
      </c>
      <c r="B100" s="8" t="s">
        <v>65</v>
      </c>
    </row>
    <row r="101" spans="1:2" ht="75" x14ac:dyDescent="0.25">
      <c r="A101" s="30">
        <v>2</v>
      </c>
      <c r="B101" s="8" t="s">
        <v>165</v>
      </c>
    </row>
    <row r="102" spans="1:2" ht="30" x14ac:dyDescent="0.25">
      <c r="A102" s="30">
        <v>3</v>
      </c>
      <c r="B102" s="8" t="s">
        <v>163</v>
      </c>
    </row>
    <row r="103" spans="1:2" x14ac:dyDescent="0.25">
      <c r="A103" s="30">
        <v>4</v>
      </c>
      <c r="B103" s="8" t="s">
        <v>164</v>
      </c>
    </row>
    <row r="104" spans="1:2" ht="30" x14ac:dyDescent="0.25">
      <c r="A104" s="30">
        <v>5</v>
      </c>
      <c r="B104" s="8" t="s">
        <v>127</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3E133-1B63-4292-A760-C359A123682A}">
  <dimension ref="A1:BK44"/>
  <sheetViews>
    <sheetView tabSelected="1" topLeftCell="AT10" zoomScaleNormal="100" workbookViewId="0">
      <selection activeCell="BB21" sqref="BB21:BH21"/>
    </sheetView>
  </sheetViews>
  <sheetFormatPr defaultColWidth="8.85546875" defaultRowHeight="15" x14ac:dyDescent="0.25"/>
  <cols>
    <col min="1" max="1" width="25.42578125" customWidth="1"/>
    <col min="2" max="2" width="9.28515625" bestFit="1"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4" max="54" width="10.85546875" bestFit="1" customWidth="1"/>
    <col min="61" max="61" width="9.28515625" bestFit="1" customWidth="1"/>
  </cols>
  <sheetData>
    <row r="1" spans="1:16" x14ac:dyDescent="0.25">
      <c r="A1" s="18" t="s">
        <v>19</v>
      </c>
      <c r="N1" s="18" t="s">
        <v>138</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7" spans="1:63" x14ac:dyDescent="0.25">
      <c r="A17" s="18" t="s">
        <v>110</v>
      </c>
      <c r="N17" s="18" t="s">
        <v>66</v>
      </c>
      <c r="R17" s="18" t="s">
        <v>111</v>
      </c>
      <c r="AG17" s="18" t="s">
        <v>112</v>
      </c>
      <c r="AQ17" s="18" t="s">
        <v>67</v>
      </c>
      <c r="BA17" s="18" t="s">
        <v>113</v>
      </c>
    </row>
    <row r="18" spans="1:63" x14ac:dyDescent="0.25">
      <c r="B18" s="4" t="str">
        <f t="shared" ref="B18:H19" si="0">B2</f>
        <v>LC Stocks</v>
      </c>
      <c r="C18" s="4" t="str">
        <f t="shared" si="0"/>
        <v>Ext Mkt</v>
      </c>
      <c r="D18" s="4" t="str">
        <f t="shared" si="0"/>
        <v>Mcap Stk</v>
      </c>
      <c r="E18" s="4" t="str">
        <f t="shared" si="0"/>
        <v>Small Cap</v>
      </c>
      <c r="F18" s="4" t="str">
        <f t="shared" si="0"/>
        <v>Intl Val</v>
      </c>
      <c r="G18" s="4" t="str">
        <f t="shared" si="0"/>
        <v>Tot Int Stk</v>
      </c>
      <c r="H18" s="4" t="str">
        <f t="shared" si="0"/>
        <v>Bonds</v>
      </c>
      <c r="I18" s="5"/>
      <c r="J18" s="5" t="s">
        <v>44</v>
      </c>
      <c r="K18" s="5" t="s">
        <v>41</v>
      </c>
      <c r="L18" s="5" t="s">
        <v>42</v>
      </c>
      <c r="O18" s="66">
        <v>4.4999999999999998E-2</v>
      </c>
      <c r="S18" s="4" t="str">
        <f t="shared" ref="S18:Z20" si="1">B18</f>
        <v>LC Stocks</v>
      </c>
      <c r="T18" s="4" t="str">
        <f t="shared" si="1"/>
        <v>Ext Mkt</v>
      </c>
      <c r="U18" s="4" t="str">
        <f t="shared" si="1"/>
        <v>Mcap Stk</v>
      </c>
      <c r="V18" s="4" t="str">
        <f t="shared" si="1"/>
        <v>Small Cap</v>
      </c>
      <c r="W18" s="4" t="str">
        <f t="shared" si="1"/>
        <v>Intl Val</v>
      </c>
      <c r="X18" s="4" t="str">
        <f t="shared" si="1"/>
        <v>Tot Int Stk</v>
      </c>
      <c r="Y18" s="4" t="str">
        <f t="shared" si="1"/>
        <v>Bonds</v>
      </c>
      <c r="Z18" s="5"/>
      <c r="AA18" s="5" t="s">
        <v>44</v>
      </c>
      <c r="AB18" s="5" t="s">
        <v>41</v>
      </c>
      <c r="AC18" s="5" t="s">
        <v>42</v>
      </c>
      <c r="AD18" s="5" t="s">
        <v>56</v>
      </c>
      <c r="AE18" s="5"/>
      <c r="AH18" s="4" t="str">
        <f t="shared" ref="AH18:AN19" si="2">B18</f>
        <v>LC Stocks</v>
      </c>
      <c r="AI18" s="4" t="str">
        <f t="shared" si="2"/>
        <v>Ext Mkt</v>
      </c>
      <c r="AJ18" s="4" t="str">
        <f t="shared" si="2"/>
        <v>Mcap Stk</v>
      </c>
      <c r="AK18" s="4" t="str">
        <f t="shared" si="2"/>
        <v>Small Cap</v>
      </c>
      <c r="AL18" s="4" t="str">
        <f t="shared" si="2"/>
        <v>Intl Val</v>
      </c>
      <c r="AM18" s="4" t="str">
        <f t="shared" si="2"/>
        <v>Tot Int Stk</v>
      </c>
      <c r="AN18" s="4" t="str">
        <f t="shared" si="2"/>
        <v>Bonds</v>
      </c>
      <c r="AO18" s="5"/>
      <c r="AR18" s="4" t="str">
        <f>AH18</f>
        <v>LC Stocks</v>
      </c>
      <c r="AS18" s="4" t="str">
        <f t="shared" ref="AS18:AY20" si="3">AI18</f>
        <v>Ext Mkt</v>
      </c>
      <c r="AT18" s="4" t="str">
        <f t="shared" si="3"/>
        <v>Mcap Stk</v>
      </c>
      <c r="AU18" s="4" t="str">
        <f t="shared" si="3"/>
        <v>Small Cap</v>
      </c>
      <c r="AV18" s="4" t="str">
        <f t="shared" si="3"/>
        <v>Intl Val</v>
      </c>
      <c r="AW18" s="4" t="str">
        <f t="shared" si="3"/>
        <v>Tot Int Stk</v>
      </c>
      <c r="AX18" s="4" t="str">
        <f t="shared" si="3"/>
        <v>Bonds</v>
      </c>
      <c r="AY18" s="5"/>
      <c r="BB18" s="4" t="str">
        <f>AR18</f>
        <v>LC Stocks</v>
      </c>
      <c r="BC18" s="4" t="str">
        <f t="shared" ref="BC18:BI20" si="4">AS18</f>
        <v>Ext Mkt</v>
      </c>
      <c r="BD18" s="4" t="str">
        <f t="shared" si="4"/>
        <v>Mcap Stk</v>
      </c>
      <c r="BE18" s="4" t="str">
        <f t="shared" si="4"/>
        <v>Small Cap</v>
      </c>
      <c r="BF18" s="4" t="str">
        <f t="shared" si="4"/>
        <v>Intl Val</v>
      </c>
      <c r="BG18" s="4" t="str">
        <f t="shared" si="4"/>
        <v>Tot Int Stk</v>
      </c>
      <c r="BH18" s="4" t="str">
        <f t="shared" si="4"/>
        <v>Bonds</v>
      </c>
      <c r="BI18" s="4"/>
      <c r="BJ18" t="s">
        <v>56</v>
      </c>
    </row>
    <row r="19" spans="1:63" x14ac:dyDescent="0.25">
      <c r="A19" t="s">
        <v>40</v>
      </c>
      <c r="B19" s="4" t="str">
        <f t="shared" si="0"/>
        <v>VFINX</v>
      </c>
      <c r="C19" s="4" t="str">
        <f t="shared" si="0"/>
        <v>VEXMX</v>
      </c>
      <c r="D19" s="4" t="str">
        <f t="shared" si="0"/>
        <v>VIMSX</v>
      </c>
      <c r="E19" s="4" t="str">
        <f t="shared" si="0"/>
        <v>NAESX</v>
      </c>
      <c r="F19" s="4" t="str">
        <f t="shared" si="0"/>
        <v>VTRIX</v>
      </c>
      <c r="G19" s="4" t="str">
        <f t="shared" si="0"/>
        <v>VGTSX</v>
      </c>
      <c r="H19" s="4" t="str">
        <f t="shared" si="0"/>
        <v>VBMFX</v>
      </c>
      <c r="I19" s="5" t="s">
        <v>38</v>
      </c>
      <c r="J19" s="5" t="s">
        <v>45</v>
      </c>
      <c r="K19" s="5" t="s">
        <v>43</v>
      </c>
      <c r="L19" s="5" t="s">
        <v>43</v>
      </c>
      <c r="R19" t="str">
        <f t="shared" ref="R19:R31" si="5">A19</f>
        <v>Fund</v>
      </c>
      <c r="S19" s="4" t="str">
        <f t="shared" si="1"/>
        <v>VFINX</v>
      </c>
      <c r="T19" s="4" t="str">
        <f t="shared" si="1"/>
        <v>VEXMX</v>
      </c>
      <c r="U19" s="4" t="str">
        <f t="shared" si="1"/>
        <v>VIMSX</v>
      </c>
      <c r="V19" s="4" t="str">
        <f t="shared" si="1"/>
        <v>NAESX</v>
      </c>
      <c r="W19" s="4" t="str">
        <f t="shared" si="1"/>
        <v>VTRIX</v>
      </c>
      <c r="X19" s="4" t="str">
        <f t="shared" si="1"/>
        <v>VGTSX</v>
      </c>
      <c r="Y19" s="4" t="str">
        <f t="shared" si="1"/>
        <v>VBMFX</v>
      </c>
      <c r="Z19" s="5" t="str">
        <f t="shared" si="1"/>
        <v>Total</v>
      </c>
      <c r="AA19" s="5" t="s">
        <v>45</v>
      </c>
      <c r="AB19" s="5" t="s">
        <v>43</v>
      </c>
      <c r="AC19" s="5" t="s">
        <v>43</v>
      </c>
      <c r="AD19" s="5" t="s">
        <v>55</v>
      </c>
      <c r="AE19" s="5"/>
      <c r="AG19" t="s">
        <v>40</v>
      </c>
      <c r="AH19" s="4" t="str">
        <f t="shared" si="2"/>
        <v>VFINX</v>
      </c>
      <c r="AI19" s="4" t="str">
        <f t="shared" si="2"/>
        <v>VEXMX</v>
      </c>
      <c r="AJ19" s="4" t="str">
        <f t="shared" si="2"/>
        <v>VIMSX</v>
      </c>
      <c r="AK19" s="4" t="str">
        <f t="shared" si="2"/>
        <v>NAESX</v>
      </c>
      <c r="AL19" s="4" t="str">
        <f t="shared" si="2"/>
        <v>VTRIX</v>
      </c>
      <c r="AM19" s="4" t="str">
        <f t="shared" si="2"/>
        <v>VGTSX</v>
      </c>
      <c r="AN19" s="4" t="str">
        <f t="shared" si="2"/>
        <v>VBMFX</v>
      </c>
      <c r="AO19" s="5" t="s">
        <v>38</v>
      </c>
      <c r="AQ19" t="str">
        <f>AG19</f>
        <v>Fund</v>
      </c>
      <c r="AR19" s="4" t="str">
        <f>AH19</f>
        <v>VFINX</v>
      </c>
      <c r="AS19" s="4" t="str">
        <f t="shared" si="3"/>
        <v>VEXMX</v>
      </c>
      <c r="AT19" s="4" t="str">
        <f t="shared" si="3"/>
        <v>VIMSX</v>
      </c>
      <c r="AU19" s="4" t="str">
        <f t="shared" si="3"/>
        <v>NAESX</v>
      </c>
      <c r="AV19" s="4" t="str">
        <f t="shared" si="3"/>
        <v>VTRIX</v>
      </c>
      <c r="AW19" s="4" t="str">
        <f t="shared" si="3"/>
        <v>VGTSX</v>
      </c>
      <c r="AX19" s="4" t="str">
        <f t="shared" si="3"/>
        <v>VBMFX</v>
      </c>
      <c r="AY19" s="4" t="str">
        <f t="shared" si="3"/>
        <v>Total</v>
      </c>
      <c r="BA19" t="s">
        <v>40</v>
      </c>
      <c r="BB19" s="4" t="str">
        <f>AR19</f>
        <v>VFINX</v>
      </c>
      <c r="BC19" s="4" t="str">
        <f t="shared" si="4"/>
        <v>VEXMX</v>
      </c>
      <c r="BD19" s="4" t="str">
        <f t="shared" si="4"/>
        <v>VIMSX</v>
      </c>
      <c r="BE19" s="4" t="str">
        <f t="shared" si="4"/>
        <v>NAESX</v>
      </c>
      <c r="BF19" s="4" t="str">
        <f t="shared" si="4"/>
        <v>VTRIX</v>
      </c>
      <c r="BG19" s="4" t="str">
        <f t="shared" si="4"/>
        <v>VGTSX</v>
      </c>
      <c r="BH19" s="4" t="str">
        <f t="shared" si="4"/>
        <v>VBMFX</v>
      </c>
      <c r="BI19" s="4" t="str">
        <f t="shared" si="4"/>
        <v>Total</v>
      </c>
      <c r="BJ19" t="s">
        <v>55</v>
      </c>
    </row>
    <row r="20" spans="1:63" x14ac:dyDescent="0.25">
      <c r="A20" t="s">
        <v>39</v>
      </c>
      <c r="B20" s="2">
        <v>60000</v>
      </c>
      <c r="C20" s="2"/>
      <c r="D20" s="2"/>
      <c r="E20" s="2"/>
      <c r="F20" s="2"/>
      <c r="G20" s="2"/>
      <c r="H20" s="2">
        <v>40000</v>
      </c>
      <c r="I20" s="2">
        <f t="shared" ref="I20:I32" si="6">SUM(B20:H20)</f>
        <v>100000</v>
      </c>
      <c r="N20" s="19"/>
      <c r="R20" t="str">
        <f t="shared" si="5"/>
        <v>Stating Balance</v>
      </c>
      <c r="S20" s="2">
        <f t="shared" si="1"/>
        <v>60000</v>
      </c>
      <c r="T20" s="2"/>
      <c r="U20" s="2"/>
      <c r="V20" s="2"/>
      <c r="W20" s="2"/>
      <c r="X20" s="2"/>
      <c r="Y20" s="2">
        <f t="shared" si="1"/>
        <v>40000</v>
      </c>
      <c r="Z20" s="2">
        <f t="shared" si="1"/>
        <v>100000</v>
      </c>
      <c r="AD20" s="2"/>
      <c r="AE20" s="2"/>
      <c r="AG20" s="19" t="s">
        <v>54</v>
      </c>
      <c r="AH20" s="6">
        <f t="shared" ref="AH20:AN31" si="7">S20/$Z20</f>
        <v>0.6</v>
      </c>
      <c r="AI20" s="6"/>
      <c r="AJ20" s="6">
        <f t="shared" si="7"/>
        <v>0</v>
      </c>
      <c r="AK20" s="6">
        <f t="shared" si="7"/>
        <v>0</v>
      </c>
      <c r="AL20" s="6"/>
      <c r="AM20" s="6">
        <f t="shared" si="7"/>
        <v>0</v>
      </c>
      <c r="AN20" s="6">
        <f>Y20/$Z20</f>
        <v>0.4</v>
      </c>
      <c r="AO20" s="6">
        <f>Z20/$Z20</f>
        <v>1</v>
      </c>
      <c r="AP20" s="22"/>
      <c r="AQ20" s="19" t="str">
        <f>AG20</f>
        <v>Target Allocation</v>
      </c>
      <c r="AR20" s="22">
        <f>AH20</f>
        <v>0.6</v>
      </c>
      <c r="AS20" s="22">
        <f t="shared" si="3"/>
        <v>0</v>
      </c>
      <c r="AT20" s="22">
        <f>AJ20</f>
        <v>0</v>
      </c>
      <c r="AU20" s="22">
        <f>AK20</f>
        <v>0</v>
      </c>
      <c r="AV20" s="22"/>
      <c r="AW20" s="22">
        <f>AM20</f>
        <v>0</v>
      </c>
      <c r="AX20" s="22">
        <f>AN20</f>
        <v>0.4</v>
      </c>
      <c r="AY20" s="22">
        <f t="shared" si="3"/>
        <v>1</v>
      </c>
      <c r="BA20" s="19" t="str">
        <f>AQ20</f>
        <v>Target Allocation</v>
      </c>
      <c r="BB20" s="22">
        <f>AR20</f>
        <v>0.6</v>
      </c>
      <c r="BC20" s="22"/>
      <c r="BD20" s="67"/>
      <c r="BE20" s="67"/>
      <c r="BF20" s="67"/>
      <c r="BG20" s="67"/>
      <c r="BH20" s="22">
        <f t="shared" si="4"/>
        <v>0.4</v>
      </c>
      <c r="BI20" s="22">
        <f t="shared" si="4"/>
        <v>1</v>
      </c>
      <c r="BJ20" s="2"/>
    </row>
    <row r="21" spans="1:63" x14ac:dyDescent="0.25">
      <c r="A21">
        <f t="shared" ref="A21:A31" si="8">A4</f>
        <v>2007</v>
      </c>
      <c r="B21" s="2">
        <f>B20*(1+(B4/100))</f>
        <v>63234</v>
      </c>
      <c r="C21" s="2"/>
      <c r="D21" s="2">
        <f>D20*(1+(D4/100))</f>
        <v>0</v>
      </c>
      <c r="E21" s="2">
        <f>E20*(1+(E4/100))</f>
        <v>0</v>
      </c>
      <c r="F21" s="2"/>
      <c r="G21" s="2">
        <f>G20*(1+(G4/100))</f>
        <v>0</v>
      </c>
      <c r="H21" s="2">
        <f>H20*(1+(H4/100))</f>
        <v>42768</v>
      </c>
      <c r="I21" s="2">
        <f t="shared" si="6"/>
        <v>106002</v>
      </c>
      <c r="J21" s="2">
        <f>I21-I20</f>
        <v>6002</v>
      </c>
      <c r="K21" s="6" t="e">
        <f>(J21/#REF!)</f>
        <v>#REF!</v>
      </c>
      <c r="L21" s="7" t="e">
        <f t="shared" ref="L21:L31" si="9">K21+1</f>
        <v>#REF!</v>
      </c>
      <c r="N21">
        <f t="shared" ref="N21:N31" si="10">A21</f>
        <v>2007</v>
      </c>
      <c r="O21" s="2">
        <f>I21*O18</f>
        <v>4770.09</v>
      </c>
      <c r="P21" s="2"/>
      <c r="Q21" s="2"/>
      <c r="R21">
        <f t="shared" si="5"/>
        <v>2007</v>
      </c>
      <c r="S21" s="2">
        <f>B21-($O21*0.6)</f>
        <v>60371.945999999996</v>
      </c>
      <c r="T21" s="2"/>
      <c r="U21" s="2"/>
      <c r="V21" s="2"/>
      <c r="W21" s="2"/>
      <c r="X21" s="2"/>
      <c r="Y21" s="2">
        <f>H21-($O21*0.4)</f>
        <v>40859.964</v>
      </c>
      <c r="Z21" s="2">
        <f t="shared" ref="Z21:Z31" si="11">SUM(S21:Y21)</f>
        <v>101231.91</v>
      </c>
      <c r="AA21" s="2">
        <f>Z21-Z20</f>
        <v>1231.9100000000035</v>
      </c>
      <c r="AB21" s="6">
        <f>(AA21/Z20)</f>
        <v>1.2319100000000034E-2</v>
      </c>
      <c r="AC21" s="7">
        <f t="shared" ref="AC21:AC31" si="12">AB21+1</f>
        <v>1.0123191</v>
      </c>
      <c r="AD21" s="2">
        <f t="shared" ref="AD21:AD31" si="13">Z21-(I21-O21)</f>
        <v>0</v>
      </c>
      <c r="AE21" s="2"/>
      <c r="AG21">
        <f t="shared" ref="AG21:AG31" si="14">A21</f>
        <v>2007</v>
      </c>
      <c r="AH21" s="6">
        <f t="shared" si="7"/>
        <v>0.5963726852530985</v>
      </c>
      <c r="AI21" s="6"/>
      <c r="AJ21" s="6">
        <f t="shared" si="7"/>
        <v>0</v>
      </c>
      <c r="AK21" s="6">
        <f t="shared" si="7"/>
        <v>0</v>
      </c>
      <c r="AL21" s="6"/>
      <c r="AM21" s="6">
        <f t="shared" si="7"/>
        <v>0</v>
      </c>
      <c r="AN21" s="6">
        <f t="shared" si="7"/>
        <v>0.40362731474690144</v>
      </c>
      <c r="AO21" s="20">
        <f>SUM(AH21:AN21)</f>
        <v>1</v>
      </c>
      <c r="AP21" s="22"/>
      <c r="AQ21">
        <f t="shared" ref="AQ21:AQ31" si="15">AG21</f>
        <v>2007</v>
      </c>
      <c r="AR21" s="1" t="b">
        <f>AND((S21/$Z21)&gt;0.55,(S21/$Z21)&lt;0.65)</f>
        <v>1</v>
      </c>
      <c r="AS21" s="1"/>
      <c r="AT21" s="1"/>
      <c r="AU21" s="1"/>
      <c r="AV21" s="1"/>
      <c r="AW21" s="1"/>
      <c r="AX21" s="1" t="b">
        <f>AND((Y21/$Z21)&gt;0.35,(Y21/$Z21)&lt;0.45)</f>
        <v>1</v>
      </c>
      <c r="AY21" s="1" t="b">
        <f t="shared" ref="AY21:AY31" si="16">AND((Z21/$Z21)&gt;0.999,(Z21/$Z21)&lt;1.01)</f>
        <v>1</v>
      </c>
      <c r="BA21">
        <f t="shared" ref="BA21:BA31" si="17">AQ21</f>
        <v>2007</v>
      </c>
      <c r="BB21" s="36">
        <f>BB$20*$Z21</f>
        <v>60739.146000000001</v>
      </c>
      <c r="BC21" s="2"/>
      <c r="BD21" s="58"/>
      <c r="BE21" s="58"/>
      <c r="BF21" s="58"/>
      <c r="BG21" s="58"/>
      <c r="BH21" s="36">
        <f>BH$20*$Z21</f>
        <v>40492.764000000003</v>
      </c>
      <c r="BI21" s="2">
        <f t="shared" ref="BI21:BI31" si="18">Z21</f>
        <v>101231.91</v>
      </c>
      <c r="BJ21" s="2">
        <f t="shared" ref="BJ21:BJ31" si="19">SUM(BB21:BH21)-Z21</f>
        <v>0</v>
      </c>
      <c r="BK21" s="2"/>
    </row>
    <row r="22" spans="1:63" x14ac:dyDescent="0.25">
      <c r="A22">
        <f t="shared" si="8"/>
        <v>2008</v>
      </c>
      <c r="B22" s="2">
        <f t="shared" ref="B22:H31" si="20">BB21*(1+(B5/100))</f>
        <v>38253.514150799994</v>
      </c>
      <c r="C22" s="2"/>
      <c r="D22" s="2">
        <f t="shared" si="20"/>
        <v>0</v>
      </c>
      <c r="E22" s="2">
        <f t="shared" si="20"/>
        <v>0</v>
      </c>
      <c r="F22" s="2"/>
      <c r="G22" s="2">
        <f t="shared" si="20"/>
        <v>0</v>
      </c>
      <c r="H22" s="2">
        <f t="shared" si="20"/>
        <v>42537.648582000002</v>
      </c>
      <c r="I22" s="2">
        <f t="shared" si="6"/>
        <v>80791.162732800003</v>
      </c>
      <c r="J22" s="2">
        <f t="shared" ref="J22:J31" si="21">I22-I21</f>
        <v>-25210.837267199997</v>
      </c>
      <c r="K22" s="6">
        <f t="shared" ref="K22:K31" si="22">(J22/I21)</f>
        <v>-0.23783359999999998</v>
      </c>
      <c r="L22" s="7">
        <f t="shared" si="9"/>
        <v>0.76216640000000002</v>
      </c>
      <c r="N22">
        <f t="shared" si="10"/>
        <v>2008</v>
      </c>
      <c r="O22" s="2">
        <f t="shared" ref="O22:O31" si="23">O21*(1+O5)</f>
        <v>4770.09</v>
      </c>
      <c r="P22" s="2"/>
      <c r="Q22" s="2"/>
      <c r="R22">
        <f t="shared" si="5"/>
        <v>2008</v>
      </c>
      <c r="S22" s="2">
        <f t="shared" ref="S22:S31" si="24">B22-($O22*0.6)</f>
        <v>35391.460150799991</v>
      </c>
      <c r="T22" s="2"/>
      <c r="U22" s="2"/>
      <c r="V22" s="2"/>
      <c r="W22" s="2"/>
      <c r="X22" s="2"/>
      <c r="Y22" s="2">
        <f t="shared" ref="Y22:Y31" si="25">H22-($O22*0.4)</f>
        <v>40629.612582000002</v>
      </c>
      <c r="Z22" s="2">
        <f t="shared" si="11"/>
        <v>76021.072732799992</v>
      </c>
      <c r="AA22" s="2">
        <f t="shared" ref="AA22:AA31" si="26">Z22-Z21</f>
        <v>-25210.837267200011</v>
      </c>
      <c r="AB22" s="6">
        <f t="shared" ref="AB22:AB31" si="27">(AA22/Z21)</f>
        <v>-0.24904041884816763</v>
      </c>
      <c r="AC22" s="7">
        <f t="shared" si="12"/>
        <v>0.75095958115183237</v>
      </c>
      <c r="AD22" s="2">
        <f t="shared" si="13"/>
        <v>0</v>
      </c>
      <c r="AE22" s="2"/>
      <c r="AG22">
        <f t="shared" si="14"/>
        <v>2008</v>
      </c>
      <c r="AH22" s="6">
        <f t="shared" si="7"/>
        <v>0.46554802344337376</v>
      </c>
      <c r="AI22" s="6"/>
      <c r="AJ22" s="6">
        <f t="shared" si="7"/>
        <v>0</v>
      </c>
      <c r="AK22" s="6">
        <f t="shared" si="7"/>
        <v>0</v>
      </c>
      <c r="AL22" s="6"/>
      <c r="AM22" s="6">
        <f t="shared" si="7"/>
        <v>0</v>
      </c>
      <c r="AN22" s="6">
        <f t="shared" si="7"/>
        <v>0.53445197655662624</v>
      </c>
      <c r="AO22" s="20">
        <f t="shared" ref="AO22:AO25" si="28">SUM(AH22:AN22)</f>
        <v>1</v>
      </c>
      <c r="AP22" s="22"/>
      <c r="AQ22">
        <f t="shared" si="15"/>
        <v>2008</v>
      </c>
      <c r="AR22" s="1" t="b">
        <f t="shared" ref="AR22:AR31" si="29">AND((S22/$Z22)&gt;0.55,(S22/$Z22)&lt;0.65)</f>
        <v>0</v>
      </c>
      <c r="AS22" s="1"/>
      <c r="AT22" s="1"/>
      <c r="AU22" s="1"/>
      <c r="AV22" s="1"/>
      <c r="AW22" s="1"/>
      <c r="AX22" s="1" t="b">
        <f t="shared" ref="AX22:AX31" si="30">AND((Y22/$Z22)&gt;0.35,(Y22/$Z22)&lt;0.45)</f>
        <v>0</v>
      </c>
      <c r="AY22" s="1" t="b">
        <f t="shared" si="16"/>
        <v>1</v>
      </c>
      <c r="BA22">
        <f t="shared" si="17"/>
        <v>2008</v>
      </c>
      <c r="BB22" s="36">
        <f t="shared" ref="BB22:BB31" si="31">BB$20*$Z22</f>
        <v>45612.643639679991</v>
      </c>
      <c r="BC22" s="2"/>
      <c r="BD22" s="58"/>
      <c r="BE22" s="58"/>
      <c r="BF22" s="58"/>
      <c r="BG22" s="58"/>
      <c r="BH22" s="36">
        <f t="shared" ref="BH22:BH31" si="32">BH$20*$Z22</f>
        <v>30408.429093119998</v>
      </c>
      <c r="BI22" s="2">
        <f t="shared" si="18"/>
        <v>76021.072732799992</v>
      </c>
      <c r="BJ22" s="2">
        <f t="shared" si="19"/>
        <v>0</v>
      </c>
      <c r="BK22" s="2"/>
    </row>
    <row r="23" spans="1:63" x14ac:dyDescent="0.25">
      <c r="A23">
        <f t="shared" si="8"/>
        <v>2009</v>
      </c>
      <c r="B23" s="2">
        <f t="shared" si="20"/>
        <v>57695.432939831218</v>
      </c>
      <c r="C23" s="2"/>
      <c r="D23" s="2">
        <f t="shared" si="20"/>
        <v>0</v>
      </c>
      <c r="E23" s="2">
        <f t="shared" si="20"/>
        <v>0</v>
      </c>
      <c r="F23" s="2"/>
      <c r="G23" s="2">
        <f t="shared" si="20"/>
        <v>0</v>
      </c>
      <c r="H23" s="2">
        <f t="shared" si="20"/>
        <v>32211.648938342012</v>
      </c>
      <c r="I23" s="2">
        <f t="shared" si="6"/>
        <v>89907.081878173223</v>
      </c>
      <c r="J23" s="2">
        <f t="shared" si="21"/>
        <v>9115.9191453732201</v>
      </c>
      <c r="K23" s="6">
        <f t="shared" si="22"/>
        <v>0.1128331222998019</v>
      </c>
      <c r="L23" s="7">
        <f t="shared" si="9"/>
        <v>1.1128331222998018</v>
      </c>
      <c r="N23">
        <f t="shared" si="10"/>
        <v>2009</v>
      </c>
      <c r="O23" s="2">
        <f t="shared" si="23"/>
        <v>4903.6525200000005</v>
      </c>
      <c r="P23" s="2"/>
      <c r="Q23" s="2"/>
      <c r="R23">
        <f t="shared" si="5"/>
        <v>2009</v>
      </c>
      <c r="S23" s="2">
        <f t="shared" si="24"/>
        <v>54753.241427831221</v>
      </c>
      <c r="T23" s="2"/>
      <c r="U23" s="2"/>
      <c r="V23" s="2"/>
      <c r="W23" s="2"/>
      <c r="X23" s="2"/>
      <c r="Y23" s="2">
        <f t="shared" si="25"/>
        <v>30250.187930342014</v>
      </c>
      <c r="Z23" s="2">
        <f t="shared" si="11"/>
        <v>85003.429358173235</v>
      </c>
      <c r="AA23" s="2">
        <f t="shared" si="26"/>
        <v>8982.3566253732424</v>
      </c>
      <c r="AB23" s="6">
        <f t="shared" si="27"/>
        <v>0.11815614148125171</v>
      </c>
      <c r="AC23" s="7">
        <f t="shared" si="12"/>
        <v>1.1181561414812518</v>
      </c>
      <c r="AD23" s="2">
        <f t="shared" si="13"/>
        <v>0</v>
      </c>
      <c r="AE23" s="2"/>
      <c r="AG23">
        <f t="shared" si="14"/>
        <v>2009</v>
      </c>
      <c r="AH23" s="6">
        <f t="shared" si="7"/>
        <v>0.64412979383597768</v>
      </c>
      <c r="AI23" s="6"/>
      <c r="AJ23" s="6">
        <f t="shared" si="7"/>
        <v>0</v>
      </c>
      <c r="AK23" s="6">
        <f t="shared" si="7"/>
        <v>0</v>
      </c>
      <c r="AL23" s="6"/>
      <c r="AM23" s="6">
        <f t="shared" si="7"/>
        <v>0</v>
      </c>
      <c r="AN23" s="6">
        <f t="shared" si="7"/>
        <v>0.35587020616402226</v>
      </c>
      <c r="AO23" s="20">
        <f t="shared" si="28"/>
        <v>1</v>
      </c>
      <c r="AP23" s="22"/>
      <c r="AQ23">
        <f t="shared" si="15"/>
        <v>2009</v>
      </c>
      <c r="AR23" s="1" t="b">
        <f t="shared" si="29"/>
        <v>1</v>
      </c>
      <c r="AS23" s="1"/>
      <c r="AT23" s="1"/>
      <c r="AU23" s="1"/>
      <c r="AV23" s="1"/>
      <c r="AW23" s="1"/>
      <c r="AX23" s="1" t="b">
        <f t="shared" si="30"/>
        <v>1</v>
      </c>
      <c r="AY23" s="1" t="b">
        <f t="shared" si="16"/>
        <v>1</v>
      </c>
      <c r="BA23">
        <f t="shared" si="17"/>
        <v>2009</v>
      </c>
      <c r="BB23" s="36">
        <f t="shared" si="31"/>
        <v>51002.057614903941</v>
      </c>
      <c r="BC23" s="2"/>
      <c r="BD23" s="58"/>
      <c r="BE23" s="58"/>
      <c r="BF23" s="58"/>
      <c r="BG23" s="58"/>
      <c r="BH23" s="36">
        <f t="shared" si="32"/>
        <v>34001.371743269294</v>
      </c>
      <c r="BI23" s="2">
        <f t="shared" si="18"/>
        <v>85003.429358173235</v>
      </c>
      <c r="BJ23" s="2">
        <f t="shared" si="19"/>
        <v>0</v>
      </c>
      <c r="BK23" s="2"/>
    </row>
    <row r="24" spans="1:63" x14ac:dyDescent="0.25">
      <c r="A24">
        <f t="shared" si="8"/>
        <v>2010</v>
      </c>
      <c r="B24" s="2">
        <f t="shared" si="20"/>
        <v>58606.464405286119</v>
      </c>
      <c r="C24" s="2"/>
      <c r="D24" s="2">
        <f t="shared" si="20"/>
        <v>0</v>
      </c>
      <c r="E24" s="2">
        <f t="shared" si="20"/>
        <v>0</v>
      </c>
      <c r="F24" s="2"/>
      <c r="G24" s="2">
        <f t="shared" si="20"/>
        <v>0</v>
      </c>
      <c r="H24" s="2">
        <f t="shared" si="20"/>
        <v>36184.259809187184</v>
      </c>
      <c r="I24" s="2">
        <f t="shared" si="6"/>
        <v>94790.724214473303</v>
      </c>
      <c r="J24" s="2">
        <f t="shared" si="21"/>
        <v>4883.6423363000795</v>
      </c>
      <c r="K24" s="6">
        <f t="shared" si="22"/>
        <v>5.4318772607007314E-2</v>
      </c>
      <c r="L24" s="7">
        <f t="shared" si="9"/>
        <v>1.0543187726070073</v>
      </c>
      <c r="N24">
        <f t="shared" si="10"/>
        <v>2010</v>
      </c>
      <c r="O24" s="2">
        <f t="shared" si="23"/>
        <v>4972.3036552800004</v>
      </c>
      <c r="P24" s="2"/>
      <c r="Q24" s="2"/>
      <c r="R24">
        <f t="shared" si="5"/>
        <v>2010</v>
      </c>
      <c r="S24" s="2">
        <f t="shared" si="24"/>
        <v>55623.082212118119</v>
      </c>
      <c r="T24" s="2"/>
      <c r="U24" s="2"/>
      <c r="V24" s="2"/>
      <c r="W24" s="2"/>
      <c r="X24" s="2"/>
      <c r="Y24" s="2">
        <f t="shared" si="25"/>
        <v>34195.338347075187</v>
      </c>
      <c r="Z24" s="2">
        <f t="shared" si="11"/>
        <v>89818.420559193299</v>
      </c>
      <c r="AA24" s="2">
        <f t="shared" si="26"/>
        <v>4814.9912010200642</v>
      </c>
      <c r="AB24" s="6">
        <f t="shared" si="27"/>
        <v>5.664466995480217E-2</v>
      </c>
      <c r="AC24" s="7">
        <f t="shared" si="12"/>
        <v>1.0566446699548022</v>
      </c>
      <c r="AD24" s="2">
        <f t="shared" si="13"/>
        <v>0</v>
      </c>
      <c r="AE24" s="2"/>
      <c r="AG24">
        <f t="shared" si="14"/>
        <v>2010</v>
      </c>
      <c r="AH24" s="6">
        <f t="shared" si="7"/>
        <v>0.61928368218700391</v>
      </c>
      <c r="AI24" s="6"/>
      <c r="AJ24" s="6">
        <f t="shared" si="7"/>
        <v>0</v>
      </c>
      <c r="AK24" s="6">
        <f t="shared" si="7"/>
        <v>0</v>
      </c>
      <c r="AL24" s="6"/>
      <c r="AM24" s="6">
        <f t="shared" si="7"/>
        <v>0</v>
      </c>
      <c r="AN24" s="6">
        <f t="shared" si="7"/>
        <v>0.3807163178129962</v>
      </c>
      <c r="AO24" s="20">
        <f t="shared" si="28"/>
        <v>1</v>
      </c>
      <c r="AP24" s="22"/>
      <c r="AQ24">
        <f t="shared" si="15"/>
        <v>2010</v>
      </c>
      <c r="AR24" s="1" t="b">
        <f t="shared" si="29"/>
        <v>1</v>
      </c>
      <c r="AS24" s="1"/>
      <c r="AT24" s="1"/>
      <c r="AU24" s="1"/>
      <c r="AV24" s="1"/>
      <c r="AW24" s="1"/>
      <c r="AX24" s="1" t="b">
        <f t="shared" si="30"/>
        <v>1</v>
      </c>
      <c r="AY24" s="1" t="b">
        <f t="shared" si="16"/>
        <v>1</v>
      </c>
      <c r="BA24">
        <f t="shared" si="17"/>
        <v>2010</v>
      </c>
      <c r="BB24" s="36">
        <f t="shared" si="31"/>
        <v>53891.052335515975</v>
      </c>
      <c r="BC24" s="2"/>
      <c r="BD24" s="58"/>
      <c r="BE24" s="58"/>
      <c r="BF24" s="58"/>
      <c r="BG24" s="58"/>
      <c r="BH24" s="36">
        <f t="shared" si="32"/>
        <v>35927.368223677324</v>
      </c>
      <c r="BI24" s="2">
        <f t="shared" si="18"/>
        <v>89818.420559193299</v>
      </c>
      <c r="BJ24" s="2">
        <f t="shared" si="19"/>
        <v>0</v>
      </c>
      <c r="BK24" s="2"/>
    </row>
    <row r="25" spans="1:63" x14ac:dyDescent="0.25">
      <c r="A25">
        <f t="shared" si="8"/>
        <v>2011</v>
      </c>
      <c r="B25" s="2">
        <f t="shared" si="20"/>
        <v>54952.706066525643</v>
      </c>
      <c r="C25" s="2"/>
      <c r="D25" s="2">
        <f t="shared" si="20"/>
        <v>0</v>
      </c>
      <c r="E25" s="2">
        <f t="shared" si="20"/>
        <v>0</v>
      </c>
      <c r="F25" s="2"/>
      <c r="G25" s="2">
        <f t="shared" si="20"/>
        <v>0</v>
      </c>
      <c r="H25" s="2">
        <f t="shared" si="20"/>
        <v>38643.477261387336</v>
      </c>
      <c r="I25" s="2">
        <f t="shared" si="6"/>
        <v>93596.183327912979</v>
      </c>
      <c r="J25" s="2">
        <f t="shared" si="21"/>
        <v>-1194.540886560324</v>
      </c>
      <c r="K25" s="6">
        <f t="shared" si="22"/>
        <v>-1.2601875304355289E-2</v>
      </c>
      <c r="L25" s="7">
        <f t="shared" si="9"/>
        <v>0.9873981246956447</v>
      </c>
      <c r="N25">
        <f t="shared" si="10"/>
        <v>2011</v>
      </c>
      <c r="O25" s="2">
        <f t="shared" si="23"/>
        <v>5121.4727649384004</v>
      </c>
      <c r="P25" s="2"/>
      <c r="Q25" s="2"/>
      <c r="R25">
        <f t="shared" si="5"/>
        <v>2011</v>
      </c>
      <c r="S25" s="2">
        <f t="shared" si="24"/>
        <v>51879.822407562606</v>
      </c>
      <c r="T25" s="2"/>
      <c r="U25" s="2"/>
      <c r="V25" s="2"/>
      <c r="W25" s="2"/>
      <c r="X25" s="2"/>
      <c r="Y25" s="2">
        <f t="shared" si="25"/>
        <v>36594.888155411973</v>
      </c>
      <c r="Z25" s="2">
        <f t="shared" si="11"/>
        <v>88474.710562974578</v>
      </c>
      <c r="AA25" s="2">
        <f t="shared" si="26"/>
        <v>-1343.7099962187203</v>
      </c>
      <c r="AB25" s="6">
        <f t="shared" si="27"/>
        <v>-1.4960294200822326E-2</v>
      </c>
      <c r="AC25" s="7">
        <f t="shared" si="12"/>
        <v>0.98503970579917766</v>
      </c>
      <c r="AD25" s="2">
        <f t="shared" si="13"/>
        <v>0</v>
      </c>
      <c r="AE25" s="2"/>
      <c r="AG25">
        <f t="shared" si="14"/>
        <v>2011</v>
      </c>
      <c r="AH25" s="6">
        <f t="shared" si="7"/>
        <v>0.58638024445002912</v>
      </c>
      <c r="AI25" s="6"/>
      <c r="AJ25" s="6">
        <f t="shared" si="7"/>
        <v>0</v>
      </c>
      <c r="AK25" s="6">
        <f t="shared" si="7"/>
        <v>0</v>
      </c>
      <c r="AL25" s="7"/>
      <c r="AM25" s="6">
        <f t="shared" si="7"/>
        <v>0</v>
      </c>
      <c r="AN25" s="6">
        <f t="shared" si="7"/>
        <v>0.41361975554997088</v>
      </c>
      <c r="AO25" s="20">
        <f t="shared" si="28"/>
        <v>1</v>
      </c>
      <c r="AP25" s="22"/>
      <c r="AQ25">
        <f t="shared" si="15"/>
        <v>2011</v>
      </c>
      <c r="AR25" s="1" t="b">
        <f t="shared" si="29"/>
        <v>1</v>
      </c>
      <c r="AS25" s="1"/>
      <c r="AT25" s="1"/>
      <c r="AU25" s="1"/>
      <c r="AV25" s="1"/>
      <c r="AW25" s="1"/>
      <c r="AX25" s="1" t="b">
        <f t="shared" si="30"/>
        <v>1</v>
      </c>
      <c r="AY25" s="1" t="b">
        <f t="shared" si="16"/>
        <v>1</v>
      </c>
      <c r="BA25">
        <f t="shared" si="17"/>
        <v>2011</v>
      </c>
      <c r="BB25" s="36">
        <f t="shared" si="31"/>
        <v>53084.826337784747</v>
      </c>
      <c r="BC25" s="2"/>
      <c r="BD25" s="58"/>
      <c r="BE25" s="58"/>
      <c r="BF25" s="58"/>
      <c r="BG25" s="58"/>
      <c r="BH25" s="36">
        <f t="shared" si="32"/>
        <v>35389.884225189831</v>
      </c>
      <c r="BI25" s="2">
        <f t="shared" si="18"/>
        <v>88474.710562974578</v>
      </c>
      <c r="BJ25" s="2">
        <f t="shared" si="19"/>
        <v>0</v>
      </c>
      <c r="BK25" s="2"/>
    </row>
    <row r="26" spans="1:63" x14ac:dyDescent="0.25">
      <c r="A26">
        <f t="shared" si="8"/>
        <v>2012</v>
      </c>
      <c r="B26" s="2">
        <f t="shared" si="20"/>
        <v>61482.845864422292</v>
      </c>
      <c r="C26" s="2"/>
      <c r="D26" s="2">
        <f t="shared" si="20"/>
        <v>0</v>
      </c>
      <c r="E26" s="2">
        <f t="shared" si="20"/>
        <v>0</v>
      </c>
      <c r="F26" s="2"/>
      <c r="G26" s="2">
        <f t="shared" si="20"/>
        <v>0</v>
      </c>
      <c r="H26" s="2">
        <f t="shared" si="20"/>
        <v>36823.17453631002</v>
      </c>
      <c r="I26" s="2">
        <f t="shared" si="6"/>
        <v>98306.020400732319</v>
      </c>
      <c r="J26" s="2">
        <f t="shared" si="21"/>
        <v>4709.8370728193404</v>
      </c>
      <c r="K26" s="6">
        <f t="shared" si="22"/>
        <v>5.0320824048118384E-2</v>
      </c>
      <c r="L26" s="7">
        <f t="shared" si="9"/>
        <v>1.0503208240481183</v>
      </c>
      <c r="N26">
        <f t="shared" si="10"/>
        <v>2012</v>
      </c>
      <c r="O26" s="2">
        <f t="shared" si="23"/>
        <v>5213.6592747072918</v>
      </c>
      <c r="P26" s="2"/>
      <c r="Q26" s="2"/>
      <c r="R26">
        <f t="shared" si="5"/>
        <v>2012</v>
      </c>
      <c r="S26" s="2">
        <f t="shared" si="24"/>
        <v>58354.650299597917</v>
      </c>
      <c r="T26" s="2"/>
      <c r="U26" s="2"/>
      <c r="V26" s="2"/>
      <c r="W26" s="2"/>
      <c r="X26" s="2"/>
      <c r="Y26" s="2">
        <f t="shared" si="25"/>
        <v>34737.710826427101</v>
      </c>
      <c r="Z26" s="2">
        <f t="shared" si="11"/>
        <v>93092.361126025018</v>
      </c>
      <c r="AA26" s="2">
        <f t="shared" si="26"/>
        <v>4617.6505630504398</v>
      </c>
      <c r="AB26" s="6">
        <f t="shared" si="27"/>
        <v>5.2191756646253008E-2</v>
      </c>
      <c r="AC26" s="7">
        <f t="shared" si="12"/>
        <v>1.0521917566462531</v>
      </c>
      <c r="AD26" s="2">
        <f t="shared" si="13"/>
        <v>0</v>
      </c>
      <c r="AE26" s="2"/>
      <c r="AG26">
        <f t="shared" si="14"/>
        <v>2012</v>
      </c>
      <c r="AH26" s="6">
        <f t="shared" si="7"/>
        <v>0.62684681743757187</v>
      </c>
      <c r="AI26" s="6"/>
      <c r="AJ26" s="6">
        <f t="shared" si="7"/>
        <v>0</v>
      </c>
      <c r="AK26" s="6">
        <f t="shared" si="7"/>
        <v>0</v>
      </c>
      <c r="AL26" s="7"/>
      <c r="AM26" s="6">
        <f t="shared" si="7"/>
        <v>0</v>
      </c>
      <c r="AN26" s="6">
        <f t="shared" si="7"/>
        <v>0.37315318256242813</v>
      </c>
      <c r="AO26" s="20">
        <f t="shared" ref="AO26:AO31" si="33">SUM(AH26:AN26)</f>
        <v>1</v>
      </c>
      <c r="AP26" s="22"/>
      <c r="AQ26">
        <f t="shared" si="15"/>
        <v>2012</v>
      </c>
      <c r="AR26" s="1" t="b">
        <f t="shared" si="29"/>
        <v>1</v>
      </c>
      <c r="AS26" s="1"/>
      <c r="AT26" s="1"/>
      <c r="AU26" s="1"/>
      <c r="AV26" s="1"/>
      <c r="AW26" s="1"/>
      <c r="AX26" s="1" t="b">
        <f t="shared" si="30"/>
        <v>1</v>
      </c>
      <c r="AY26" s="1" t="b">
        <f t="shared" si="16"/>
        <v>1</v>
      </c>
      <c r="BA26">
        <f t="shared" si="17"/>
        <v>2012</v>
      </c>
      <c r="BB26" s="36">
        <f t="shared" si="31"/>
        <v>55855.416675615008</v>
      </c>
      <c r="BC26" s="2"/>
      <c r="BD26" s="58"/>
      <c r="BE26" s="58"/>
      <c r="BF26" s="58"/>
      <c r="BG26" s="58"/>
      <c r="BH26" s="36">
        <f t="shared" si="32"/>
        <v>37236.94445041001</v>
      </c>
      <c r="BI26" s="2">
        <f t="shared" si="18"/>
        <v>93092.361126025018</v>
      </c>
      <c r="BJ26" s="2">
        <f t="shared" si="19"/>
        <v>0</v>
      </c>
      <c r="BK26" s="2"/>
    </row>
    <row r="27" spans="1:63" x14ac:dyDescent="0.25">
      <c r="A27">
        <f t="shared" si="8"/>
        <v>2013</v>
      </c>
      <c r="B27" s="2">
        <f t="shared" si="20"/>
        <v>73829.689761827918</v>
      </c>
      <c r="C27" s="2"/>
      <c r="D27" s="2">
        <f t="shared" si="20"/>
        <v>0</v>
      </c>
      <c r="E27" s="2">
        <f t="shared" si="20"/>
        <v>0</v>
      </c>
      <c r="F27" s="2"/>
      <c r="G27" s="2">
        <f t="shared" si="20"/>
        <v>0</v>
      </c>
      <c r="H27" s="2">
        <f t="shared" si="20"/>
        <v>36395.389505830746</v>
      </c>
      <c r="I27" s="2">
        <f t="shared" ref="I27:I28" si="34">SUM(B27:H27)</f>
        <v>110225.07926765867</v>
      </c>
      <c r="J27" s="2">
        <f t="shared" si="21"/>
        <v>11919.058866926352</v>
      </c>
      <c r="K27" s="6">
        <f t="shared" si="22"/>
        <v>0.12124444482992786</v>
      </c>
      <c r="L27" s="7">
        <f t="shared" si="9"/>
        <v>1.1212444448299279</v>
      </c>
      <c r="N27">
        <f t="shared" si="10"/>
        <v>2013</v>
      </c>
      <c r="O27" s="2">
        <f t="shared" si="23"/>
        <v>5273.907888831136</v>
      </c>
      <c r="P27" s="2"/>
      <c r="Q27" s="2"/>
      <c r="R27">
        <f t="shared" si="5"/>
        <v>2013</v>
      </c>
      <c r="S27" s="2">
        <f t="shared" si="24"/>
        <v>70665.345028529235</v>
      </c>
      <c r="T27" s="2"/>
      <c r="U27" s="2"/>
      <c r="V27" s="2"/>
      <c r="W27" s="2"/>
      <c r="X27" s="2"/>
      <c r="Y27" s="2">
        <f t="shared" si="25"/>
        <v>34285.826350298288</v>
      </c>
      <c r="Z27" s="2">
        <f t="shared" si="11"/>
        <v>104951.17137882752</v>
      </c>
      <c r="AA27" s="2">
        <f t="shared" si="26"/>
        <v>11858.810252802505</v>
      </c>
      <c r="AB27" s="6">
        <f t="shared" si="27"/>
        <v>0.12738757626684841</v>
      </c>
      <c r="AC27" s="7">
        <f t="shared" si="12"/>
        <v>1.1273875762668484</v>
      </c>
      <c r="AD27" s="2">
        <f t="shared" si="13"/>
        <v>0</v>
      </c>
      <c r="AE27" s="2"/>
      <c r="AG27">
        <f t="shared" si="14"/>
        <v>2013</v>
      </c>
      <c r="AH27" s="6">
        <f t="shared" si="7"/>
        <v>0.67331640133351589</v>
      </c>
      <c r="AI27" s="6"/>
      <c r="AJ27" s="6">
        <f t="shared" si="7"/>
        <v>0</v>
      </c>
      <c r="AK27" s="6">
        <f t="shared" si="7"/>
        <v>0</v>
      </c>
      <c r="AL27" s="7"/>
      <c r="AM27" s="6">
        <f t="shared" si="7"/>
        <v>0</v>
      </c>
      <c r="AN27" s="6">
        <f t="shared" si="7"/>
        <v>0.32668359866648417</v>
      </c>
      <c r="AO27" s="20">
        <f t="shared" si="33"/>
        <v>1</v>
      </c>
      <c r="AP27" s="22"/>
      <c r="AQ27">
        <f t="shared" si="15"/>
        <v>2013</v>
      </c>
      <c r="AR27" s="1" t="b">
        <f t="shared" si="29"/>
        <v>0</v>
      </c>
      <c r="AS27" s="1"/>
      <c r="AT27" s="1"/>
      <c r="AU27" s="1"/>
      <c r="AV27" s="1"/>
      <c r="AW27" s="1"/>
      <c r="AX27" s="1" t="b">
        <f t="shared" si="30"/>
        <v>0</v>
      </c>
      <c r="AY27" s="1" t="b">
        <f t="shared" si="16"/>
        <v>1</v>
      </c>
      <c r="BA27">
        <f t="shared" si="17"/>
        <v>2013</v>
      </c>
      <c r="BB27" s="36">
        <f t="shared" si="31"/>
        <v>62970.702827296511</v>
      </c>
      <c r="BC27" s="2"/>
      <c r="BD27" s="58"/>
      <c r="BE27" s="58"/>
      <c r="BF27" s="58"/>
      <c r="BG27" s="58"/>
      <c r="BH27" s="36">
        <f t="shared" si="32"/>
        <v>41980.468551531012</v>
      </c>
      <c r="BI27" s="2">
        <f t="shared" si="18"/>
        <v>104951.17137882752</v>
      </c>
      <c r="BJ27" s="2">
        <f t="shared" si="19"/>
        <v>0</v>
      </c>
      <c r="BK27" s="2"/>
    </row>
    <row r="28" spans="1:63" x14ac:dyDescent="0.25">
      <c r="A28">
        <f t="shared" si="8"/>
        <v>2014</v>
      </c>
      <c r="B28" s="2">
        <f t="shared" si="20"/>
        <v>71478.044779264266</v>
      </c>
      <c r="C28" s="2"/>
      <c r="D28" s="2">
        <f t="shared" si="20"/>
        <v>0</v>
      </c>
      <c r="E28" s="2">
        <f t="shared" si="20"/>
        <v>0</v>
      </c>
      <c r="F28" s="2"/>
      <c r="G28" s="2">
        <f t="shared" si="20"/>
        <v>0</v>
      </c>
      <c r="H28" s="2">
        <f t="shared" si="20"/>
        <v>44398.543540099199</v>
      </c>
      <c r="I28" s="2">
        <f t="shared" si="34"/>
        <v>115876.58831936347</v>
      </c>
      <c r="J28" s="2">
        <f t="shared" si="21"/>
        <v>5651.5090517047938</v>
      </c>
      <c r="K28" s="6">
        <f t="shared" si="22"/>
        <v>5.1272442616995359E-2</v>
      </c>
      <c r="L28" s="7">
        <f t="shared" si="9"/>
        <v>1.0512724426169953</v>
      </c>
      <c r="N28">
        <f t="shared" si="10"/>
        <v>2014</v>
      </c>
      <c r="O28" s="2">
        <f t="shared" si="23"/>
        <v>5341.9413005970573</v>
      </c>
      <c r="P28" s="2"/>
      <c r="Q28" s="2"/>
      <c r="R28">
        <f t="shared" si="5"/>
        <v>2014</v>
      </c>
      <c r="S28" s="2">
        <f t="shared" si="24"/>
        <v>68272.879998906035</v>
      </c>
      <c r="T28" s="2"/>
      <c r="U28" s="2"/>
      <c r="V28" s="2"/>
      <c r="W28" s="2"/>
      <c r="X28" s="2"/>
      <c r="Y28" s="2">
        <f t="shared" si="25"/>
        <v>42261.767019860374</v>
      </c>
      <c r="Z28" s="2">
        <f t="shared" si="11"/>
        <v>110534.64701876641</v>
      </c>
      <c r="AA28" s="2">
        <f t="shared" si="26"/>
        <v>5583.4756399388862</v>
      </c>
      <c r="AB28" s="6">
        <f t="shared" si="27"/>
        <v>5.3200698635225301E-2</v>
      </c>
      <c r="AC28" s="7">
        <f t="shared" si="12"/>
        <v>1.0532006986352254</v>
      </c>
      <c r="AD28" s="2">
        <f t="shared" si="13"/>
        <v>0</v>
      </c>
      <c r="AE28" s="2"/>
      <c r="AG28">
        <f t="shared" si="14"/>
        <v>2014</v>
      </c>
      <c r="AH28" s="6">
        <f t="shared" si="7"/>
        <v>0.6176604516348142</v>
      </c>
      <c r="AI28" s="6"/>
      <c r="AJ28" s="6">
        <f t="shared" si="7"/>
        <v>0</v>
      </c>
      <c r="AK28" s="6">
        <f t="shared" si="7"/>
        <v>0</v>
      </c>
      <c r="AL28" s="7"/>
      <c r="AM28" s="6">
        <f t="shared" si="7"/>
        <v>0</v>
      </c>
      <c r="AN28" s="6">
        <f t="shared" si="7"/>
        <v>0.38233954836518574</v>
      </c>
      <c r="AO28" s="20">
        <f t="shared" si="33"/>
        <v>1</v>
      </c>
      <c r="AP28" s="22"/>
      <c r="AQ28">
        <f t="shared" si="15"/>
        <v>2014</v>
      </c>
      <c r="AR28" s="1" t="b">
        <f t="shared" si="29"/>
        <v>1</v>
      </c>
      <c r="AS28" s="1"/>
      <c r="AT28" s="1"/>
      <c r="AU28" s="1"/>
      <c r="AV28" s="1"/>
      <c r="AW28" s="1"/>
      <c r="AX28" s="1" t="b">
        <f t="shared" si="30"/>
        <v>1</v>
      </c>
      <c r="AY28" s="1" t="b">
        <f t="shared" si="16"/>
        <v>1</v>
      </c>
      <c r="BA28">
        <f t="shared" si="17"/>
        <v>2014</v>
      </c>
      <c r="BB28" s="36">
        <f t="shared" si="31"/>
        <v>66320.788211259845</v>
      </c>
      <c r="BC28" s="2"/>
      <c r="BD28" s="58"/>
      <c r="BE28" s="58"/>
      <c r="BF28" s="58"/>
      <c r="BG28" s="58"/>
      <c r="BH28" s="36">
        <f t="shared" si="32"/>
        <v>44213.858807506564</v>
      </c>
      <c r="BI28" s="2">
        <f t="shared" si="18"/>
        <v>110534.64701876641</v>
      </c>
      <c r="BJ28" s="2">
        <f t="shared" si="19"/>
        <v>0</v>
      </c>
      <c r="BK28" s="2"/>
    </row>
    <row r="29" spans="1:63" x14ac:dyDescent="0.25">
      <c r="A29">
        <f t="shared" si="8"/>
        <v>2015</v>
      </c>
      <c r="B29" s="2">
        <f t="shared" si="20"/>
        <v>67149.798063900584</v>
      </c>
      <c r="C29" s="2"/>
      <c r="D29" s="2">
        <f t="shared" si="20"/>
        <v>0</v>
      </c>
      <c r="E29" s="2">
        <f t="shared" si="20"/>
        <v>0</v>
      </c>
      <c r="F29" s="2"/>
      <c r="G29" s="2">
        <f t="shared" si="20"/>
        <v>0</v>
      </c>
      <c r="H29" s="2">
        <f t="shared" si="20"/>
        <v>44346.50038392908</v>
      </c>
      <c r="I29" s="2">
        <f t="shared" ref="I29:I31" si="35">SUM(B29:H29)</f>
        <v>111496.29844782967</v>
      </c>
      <c r="J29" s="2">
        <f t="shared" si="21"/>
        <v>-4380.2898715337942</v>
      </c>
      <c r="K29" s="6">
        <f t="shared" si="22"/>
        <v>-3.7801336189338168E-2</v>
      </c>
      <c r="L29" s="7">
        <f t="shared" si="9"/>
        <v>0.96219866381066188</v>
      </c>
      <c r="N29">
        <f t="shared" si="10"/>
        <v>2015</v>
      </c>
      <c r="O29" s="2">
        <f t="shared" si="23"/>
        <v>5365.4458423196838</v>
      </c>
      <c r="P29" s="2"/>
      <c r="Q29" s="2"/>
      <c r="R29">
        <f t="shared" si="5"/>
        <v>2015</v>
      </c>
      <c r="S29" s="2">
        <f t="shared" si="24"/>
        <v>63930.530558508777</v>
      </c>
      <c r="T29" s="2"/>
      <c r="U29" s="2"/>
      <c r="V29" s="2"/>
      <c r="W29" s="2"/>
      <c r="X29" s="2"/>
      <c r="Y29" s="2">
        <f t="shared" si="25"/>
        <v>42200.322047001209</v>
      </c>
      <c r="Z29" s="2">
        <f t="shared" si="11"/>
        <v>106130.85260550998</v>
      </c>
      <c r="AA29" s="2">
        <f t="shared" si="26"/>
        <v>-4403.7944132564298</v>
      </c>
      <c r="AB29" s="6">
        <f t="shared" si="27"/>
        <v>-3.984085109991585E-2</v>
      </c>
      <c r="AC29" s="7">
        <f t="shared" si="12"/>
        <v>0.96015914890008414</v>
      </c>
      <c r="AD29" s="2">
        <f t="shared" si="13"/>
        <v>0</v>
      </c>
      <c r="AE29" s="2"/>
      <c r="AG29">
        <f t="shared" si="14"/>
        <v>2015</v>
      </c>
      <c r="AH29" s="6">
        <f t="shared" si="7"/>
        <v>0.60237460633751383</v>
      </c>
      <c r="AI29" s="6"/>
      <c r="AJ29" s="6">
        <f t="shared" si="7"/>
        <v>0</v>
      </c>
      <c r="AK29" s="6">
        <f t="shared" si="7"/>
        <v>0</v>
      </c>
      <c r="AL29" s="7"/>
      <c r="AM29" s="6">
        <f t="shared" si="7"/>
        <v>0</v>
      </c>
      <c r="AN29" s="6">
        <f t="shared" si="7"/>
        <v>0.39762539366248623</v>
      </c>
      <c r="AO29" s="20">
        <f t="shared" si="33"/>
        <v>1</v>
      </c>
      <c r="AP29" s="22"/>
      <c r="AQ29">
        <f t="shared" si="15"/>
        <v>2015</v>
      </c>
      <c r="AR29" s="1" t="b">
        <f t="shared" si="29"/>
        <v>1</v>
      </c>
      <c r="AS29" s="1"/>
      <c r="AT29" s="1"/>
      <c r="AU29" s="1"/>
      <c r="AV29" s="1"/>
      <c r="AW29" s="1"/>
      <c r="AX29" s="1" t="b">
        <f t="shared" si="30"/>
        <v>1</v>
      </c>
      <c r="AY29" s="1" t="b">
        <f t="shared" si="16"/>
        <v>1</v>
      </c>
      <c r="BA29">
        <f t="shared" si="17"/>
        <v>2015</v>
      </c>
      <c r="BB29" s="36">
        <f t="shared" si="31"/>
        <v>63678.511563305983</v>
      </c>
      <c r="BC29" s="2"/>
      <c r="BD29" s="58"/>
      <c r="BE29" s="58"/>
      <c r="BF29" s="58"/>
      <c r="BG29" s="58"/>
      <c r="BH29" s="36">
        <f t="shared" si="32"/>
        <v>42452.341042203996</v>
      </c>
      <c r="BI29" s="2">
        <f t="shared" si="18"/>
        <v>106130.85260550998</v>
      </c>
      <c r="BJ29" s="2">
        <f t="shared" si="19"/>
        <v>0</v>
      </c>
      <c r="BK29" s="2"/>
    </row>
    <row r="30" spans="1:63" x14ac:dyDescent="0.25">
      <c r="A30">
        <f t="shared" si="8"/>
        <v>2016</v>
      </c>
      <c r="B30" s="2">
        <f t="shared" si="20"/>
        <v>71205.311630088749</v>
      </c>
      <c r="C30" s="2"/>
      <c r="D30" s="2">
        <f t="shared" si="20"/>
        <v>0</v>
      </c>
      <c r="E30" s="2">
        <f t="shared" si="20"/>
        <v>0</v>
      </c>
      <c r="F30" s="2"/>
      <c r="G30" s="2">
        <f t="shared" si="20"/>
        <v>0</v>
      </c>
      <c r="H30" s="2">
        <f t="shared" si="20"/>
        <v>43513.64956825909</v>
      </c>
      <c r="I30" s="2">
        <f t="shared" si="35"/>
        <v>114718.96119834784</v>
      </c>
      <c r="J30" s="2">
        <f t="shared" si="21"/>
        <v>3222.6627505181677</v>
      </c>
      <c r="K30" s="6">
        <f t="shared" si="22"/>
        <v>2.8903764478119303E-2</v>
      </c>
      <c r="L30" s="7">
        <f t="shared" si="9"/>
        <v>1.0289037644781194</v>
      </c>
      <c r="N30">
        <f t="shared" si="10"/>
        <v>2016</v>
      </c>
      <c r="O30" s="2">
        <f t="shared" si="23"/>
        <v>5456.6584216391184</v>
      </c>
      <c r="P30" s="2"/>
      <c r="Q30" s="2"/>
      <c r="R30">
        <f t="shared" si="5"/>
        <v>2016</v>
      </c>
      <c r="S30" s="2">
        <f t="shared" si="24"/>
        <v>67931.316577105274</v>
      </c>
      <c r="T30" s="2"/>
      <c r="U30" s="2"/>
      <c r="V30" s="2"/>
      <c r="W30" s="2"/>
      <c r="X30" s="2"/>
      <c r="Y30" s="2">
        <f t="shared" si="25"/>
        <v>41330.986199603445</v>
      </c>
      <c r="Z30" s="2">
        <f t="shared" si="11"/>
        <v>109262.30277670872</v>
      </c>
      <c r="AA30" s="2">
        <f t="shared" si="26"/>
        <v>3131.4501711987396</v>
      </c>
      <c r="AB30" s="6">
        <f t="shared" si="27"/>
        <v>2.9505559357356603E-2</v>
      </c>
      <c r="AC30" s="7">
        <f t="shared" si="12"/>
        <v>1.0295055593573565</v>
      </c>
      <c r="AD30" s="2">
        <f t="shared" si="13"/>
        <v>0</v>
      </c>
      <c r="AE30" s="2"/>
      <c r="AG30">
        <f t="shared" si="14"/>
        <v>2016</v>
      </c>
      <c r="AH30" s="6">
        <f t="shared" si="7"/>
        <v>0.6217269346403167</v>
      </c>
      <c r="AI30" s="6"/>
      <c r="AJ30" s="6">
        <f t="shared" si="7"/>
        <v>0</v>
      </c>
      <c r="AK30" s="6">
        <f t="shared" si="7"/>
        <v>0</v>
      </c>
      <c r="AL30" s="7"/>
      <c r="AM30" s="6">
        <f t="shared" si="7"/>
        <v>0</v>
      </c>
      <c r="AN30" s="6">
        <f t="shared" si="7"/>
        <v>0.3782730653596833</v>
      </c>
      <c r="AO30" s="20">
        <f t="shared" si="33"/>
        <v>1</v>
      </c>
      <c r="AP30" s="22"/>
      <c r="AQ30">
        <f t="shared" si="15"/>
        <v>2016</v>
      </c>
      <c r="AR30" s="1" t="b">
        <f t="shared" si="29"/>
        <v>1</v>
      </c>
      <c r="AS30" s="1"/>
      <c r="AT30" s="1"/>
      <c r="AU30" s="1"/>
      <c r="AV30" s="1"/>
      <c r="AW30" s="1"/>
      <c r="AX30" s="1" t="b">
        <f t="shared" si="30"/>
        <v>1</v>
      </c>
      <c r="AY30" s="1" t="b">
        <f t="shared" si="16"/>
        <v>1</v>
      </c>
      <c r="BA30">
        <f t="shared" si="17"/>
        <v>2016</v>
      </c>
      <c r="BB30" s="36">
        <f t="shared" si="31"/>
        <v>65557.381666025234</v>
      </c>
      <c r="BC30" s="2"/>
      <c r="BD30" s="58"/>
      <c r="BE30" s="58"/>
      <c r="BF30" s="58"/>
      <c r="BG30" s="58"/>
      <c r="BH30" s="36">
        <f t="shared" si="32"/>
        <v>43704.921110683492</v>
      </c>
      <c r="BI30" s="2">
        <f t="shared" si="18"/>
        <v>109262.30277670872</v>
      </c>
      <c r="BJ30" s="2">
        <f t="shared" si="19"/>
        <v>0</v>
      </c>
      <c r="BK30" s="2"/>
    </row>
    <row r="31" spans="1:63" x14ac:dyDescent="0.25">
      <c r="A31">
        <f t="shared" si="8"/>
        <v>2017</v>
      </c>
      <c r="B31" s="2">
        <f t="shared" si="20"/>
        <v>79763.666273052891</v>
      </c>
      <c r="C31" s="2"/>
      <c r="D31" s="2">
        <f t="shared" si="20"/>
        <v>0</v>
      </c>
      <c r="E31" s="2">
        <f t="shared" si="20"/>
        <v>0</v>
      </c>
      <c r="F31" s="2"/>
      <c r="G31" s="2">
        <f t="shared" si="20"/>
        <v>0</v>
      </c>
      <c r="H31" s="2">
        <f t="shared" si="20"/>
        <v>45217.111381113136</v>
      </c>
      <c r="I31" s="2">
        <f t="shared" si="35"/>
        <v>124980.77765416603</v>
      </c>
      <c r="J31" s="2">
        <f t="shared" si="21"/>
        <v>10261.816455818189</v>
      </c>
      <c r="K31" s="6">
        <f t="shared" si="22"/>
        <v>8.9451790258766553E-2</v>
      </c>
      <c r="L31" s="7">
        <f t="shared" si="9"/>
        <v>1.0894517902587666</v>
      </c>
      <c r="N31">
        <f t="shared" si="10"/>
        <v>2017</v>
      </c>
      <c r="O31" s="2">
        <f t="shared" si="23"/>
        <v>5578.3419044416705</v>
      </c>
      <c r="P31" s="2"/>
      <c r="Q31" s="2"/>
      <c r="R31">
        <f t="shared" si="5"/>
        <v>2017</v>
      </c>
      <c r="S31" s="2">
        <f t="shared" si="24"/>
        <v>76416.661130387889</v>
      </c>
      <c r="T31" s="2"/>
      <c r="U31" s="2"/>
      <c r="V31" s="2"/>
      <c r="W31" s="2"/>
      <c r="X31" s="2"/>
      <c r="Y31" s="2">
        <f t="shared" si="25"/>
        <v>42985.774619336466</v>
      </c>
      <c r="Z31" s="2">
        <f t="shared" si="11"/>
        <v>119402.43574972436</v>
      </c>
      <c r="AA31" s="2">
        <f t="shared" si="26"/>
        <v>10140.132973015643</v>
      </c>
      <c r="AB31" s="6">
        <f t="shared" si="27"/>
        <v>9.2805411521833678E-2</v>
      </c>
      <c r="AC31" s="7">
        <f t="shared" si="12"/>
        <v>1.0928054115218337</v>
      </c>
      <c r="AD31" s="2">
        <f t="shared" si="13"/>
        <v>0</v>
      </c>
      <c r="AE31" s="2"/>
      <c r="AG31">
        <f t="shared" si="14"/>
        <v>2017</v>
      </c>
      <c r="AH31" s="6">
        <f t="shared" si="7"/>
        <v>0.63999248131388553</v>
      </c>
      <c r="AI31" s="6"/>
      <c r="AJ31" s="6">
        <f t="shared" si="7"/>
        <v>0</v>
      </c>
      <c r="AK31" s="6">
        <f t="shared" si="7"/>
        <v>0</v>
      </c>
      <c r="AL31" s="7"/>
      <c r="AM31" s="6">
        <f t="shared" si="7"/>
        <v>0</v>
      </c>
      <c r="AN31" s="6">
        <f t="shared" si="7"/>
        <v>0.36000751868611436</v>
      </c>
      <c r="AO31" s="20">
        <f t="shared" si="33"/>
        <v>0.99999999999999989</v>
      </c>
      <c r="AP31" s="22"/>
      <c r="AQ31">
        <f t="shared" si="15"/>
        <v>2017</v>
      </c>
      <c r="AR31" s="1" t="b">
        <f t="shared" si="29"/>
        <v>1</v>
      </c>
      <c r="AS31" s="1"/>
      <c r="AT31" s="1"/>
      <c r="AU31" s="1"/>
      <c r="AV31" s="1"/>
      <c r="AW31" s="1"/>
      <c r="AX31" s="1" t="b">
        <f t="shared" si="30"/>
        <v>1</v>
      </c>
      <c r="AY31" s="1" t="b">
        <f t="shared" si="16"/>
        <v>1</v>
      </c>
      <c r="BA31">
        <f t="shared" si="17"/>
        <v>2017</v>
      </c>
      <c r="BB31" s="36">
        <f t="shared" si="31"/>
        <v>71641.46144983462</v>
      </c>
      <c r="BC31" s="2"/>
      <c r="BD31" s="58"/>
      <c r="BE31" s="58"/>
      <c r="BF31" s="58"/>
      <c r="BG31" s="58"/>
      <c r="BH31" s="36">
        <f t="shared" si="32"/>
        <v>47760.974299889749</v>
      </c>
      <c r="BI31" s="2">
        <f t="shared" si="18"/>
        <v>119402.43574972436</v>
      </c>
      <c r="BJ31" s="2">
        <f t="shared" si="19"/>
        <v>0</v>
      </c>
      <c r="BK31" s="2"/>
    </row>
    <row r="32" spans="1:63" x14ac:dyDescent="0.25">
      <c r="A32" s="9" t="s">
        <v>46</v>
      </c>
      <c r="B32" s="10">
        <f>BB31</f>
        <v>71641.46144983462</v>
      </c>
      <c r="C32" s="10"/>
      <c r="D32" s="10">
        <f>BD31</f>
        <v>0</v>
      </c>
      <c r="E32" s="10">
        <f>BE31</f>
        <v>0</v>
      </c>
      <c r="F32" s="10"/>
      <c r="G32" s="10">
        <f>BG31</f>
        <v>0</v>
      </c>
      <c r="H32" s="10">
        <f>BH31</f>
        <v>47760.974299889749</v>
      </c>
      <c r="I32" s="10">
        <f t="shared" si="6"/>
        <v>119402.43574972436</v>
      </c>
      <c r="J32" s="10"/>
      <c r="K32" s="10"/>
      <c r="N32" t="s">
        <v>77</v>
      </c>
      <c r="O32" s="2">
        <f>O28</f>
        <v>5341.9413005970573</v>
      </c>
      <c r="P32" s="2"/>
      <c r="R32" s="9" t="s">
        <v>46</v>
      </c>
      <c r="S32" s="10">
        <f>S31</f>
        <v>76416.661130387889</v>
      </c>
      <c r="T32" s="10"/>
      <c r="U32" s="10"/>
      <c r="V32" s="10"/>
      <c r="W32" s="10"/>
      <c r="X32" s="10"/>
      <c r="Y32" s="10">
        <f>Y31</f>
        <v>42985.774619336466</v>
      </c>
      <c r="Z32" s="10">
        <f>Z31</f>
        <v>119402.43574972436</v>
      </c>
      <c r="AA32" s="10"/>
      <c r="AB32" s="10"/>
      <c r="AD32" s="40"/>
      <c r="AE32" s="40"/>
      <c r="AK32" s="7"/>
    </row>
    <row r="33" spans="1:28" x14ac:dyDescent="0.25">
      <c r="A33" s="11" t="s">
        <v>92</v>
      </c>
      <c r="I33" s="6">
        <f>(Z32-Z20)/Z20</f>
        <v>0.19402435749724362</v>
      </c>
      <c r="K33" s="6"/>
      <c r="N33" t="s">
        <v>38</v>
      </c>
      <c r="O33" s="2">
        <f>SUM(O21:O31)</f>
        <v>56767.563572754363</v>
      </c>
      <c r="P33" s="2"/>
      <c r="AB33" s="6"/>
    </row>
    <row r="34" spans="1:28" x14ac:dyDescent="0.25">
      <c r="A34" s="1" t="s">
        <v>93</v>
      </c>
      <c r="I34" s="12">
        <f>STDEV(AC21:AC31)</f>
        <v>0.10356319219497963</v>
      </c>
    </row>
    <row r="35" spans="1:28" x14ac:dyDescent="0.25">
      <c r="A35" s="1" t="s">
        <v>94</v>
      </c>
      <c r="I35" s="13">
        <f>((1+I33)^(1/I42))-1</f>
        <v>1.6251497953378324E-2</v>
      </c>
    </row>
    <row r="36" spans="1:28" x14ac:dyDescent="0.25">
      <c r="A36" s="1" t="s">
        <v>50</v>
      </c>
      <c r="I36" s="27">
        <f>AA22</f>
        <v>-25210.837267200011</v>
      </c>
      <c r="O36" s="2"/>
      <c r="P36" s="2"/>
    </row>
    <row r="37" spans="1:28" x14ac:dyDescent="0.25">
      <c r="A37" s="1" t="s">
        <v>51</v>
      </c>
      <c r="I37" s="28">
        <f>AB22</f>
        <v>-0.24904041884816763</v>
      </c>
    </row>
    <row r="38" spans="1:28" x14ac:dyDescent="0.25">
      <c r="A38" s="1" t="s">
        <v>79</v>
      </c>
      <c r="I38" s="2">
        <f>O33</f>
        <v>56767.563572754363</v>
      </c>
    </row>
    <row r="39" spans="1:28" x14ac:dyDescent="0.25">
      <c r="A39" s="3" t="s">
        <v>52</v>
      </c>
      <c r="I39" s="29">
        <f>I32-Z31</f>
        <v>0</v>
      </c>
    </row>
    <row r="40" spans="1:28" x14ac:dyDescent="0.25">
      <c r="A40" s="3" t="s">
        <v>141</v>
      </c>
      <c r="I40" s="29">
        <f>((SUM(AA21:AA31)))-(I32-I20)</f>
        <v>0</v>
      </c>
    </row>
    <row r="41" spans="1:28" x14ac:dyDescent="0.25">
      <c r="A41" s="3" t="s">
        <v>142</v>
      </c>
      <c r="I41" s="29">
        <f>(SUM(O21:O31))-I38</f>
        <v>0</v>
      </c>
    </row>
    <row r="42" spans="1:28" x14ac:dyDescent="0.25">
      <c r="A42" s="3" t="s">
        <v>146</v>
      </c>
      <c r="I42" s="3">
        <f>COUNTA(I21:I31)</f>
        <v>11</v>
      </c>
    </row>
    <row r="44" spans="1:28" x14ac:dyDescent="0.25">
      <c r="B44" s="2"/>
      <c r="D44" s="2"/>
      <c r="E44" s="2"/>
      <c r="G44" s="2"/>
      <c r="H44" s="2"/>
      <c r="I44" s="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C04E2-B13E-4D93-A2A3-EE83A625A78C}">
  <dimension ref="A1:BK44"/>
  <sheetViews>
    <sheetView zoomScaleNormal="100" workbookViewId="0">
      <selection activeCell="V27" sqref="V27"/>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4" max="54" width="10.85546875" bestFit="1" customWidth="1"/>
    <col min="61" max="61" width="9.28515625" bestFit="1" customWidth="1"/>
  </cols>
  <sheetData>
    <row r="1" spans="1:16" x14ac:dyDescent="0.25">
      <c r="A1" s="18" t="s">
        <v>19</v>
      </c>
      <c r="N1" s="18" t="s">
        <v>138</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7" spans="1:63" x14ac:dyDescent="0.25">
      <c r="A17" s="18" t="s">
        <v>110</v>
      </c>
      <c r="N17" s="18" t="s">
        <v>66</v>
      </c>
      <c r="R17" s="18" t="s">
        <v>111</v>
      </c>
      <c r="AG17" s="18" t="s">
        <v>112</v>
      </c>
      <c r="AQ17" s="18" t="s">
        <v>67</v>
      </c>
      <c r="BA17" s="18" t="s">
        <v>113</v>
      </c>
    </row>
    <row r="18" spans="1:63" x14ac:dyDescent="0.25">
      <c r="B18" s="4" t="str">
        <f t="shared" ref="B18:H19" si="0">B2</f>
        <v>LC Stocks</v>
      </c>
      <c r="C18" s="4" t="str">
        <f t="shared" si="0"/>
        <v>Ext Mkt</v>
      </c>
      <c r="D18" s="4" t="str">
        <f t="shared" si="0"/>
        <v>Mcap Stk</v>
      </c>
      <c r="E18" s="4" t="str">
        <f t="shared" si="0"/>
        <v>Small Cap</v>
      </c>
      <c r="F18" s="4" t="str">
        <f t="shared" si="0"/>
        <v>Intl Val</v>
      </c>
      <c r="G18" s="4" t="str">
        <f t="shared" si="0"/>
        <v>Tot Int Stk</v>
      </c>
      <c r="H18" s="4" t="str">
        <f t="shared" si="0"/>
        <v>Bonds</v>
      </c>
      <c r="I18" s="5"/>
      <c r="J18" s="5" t="s">
        <v>44</v>
      </c>
      <c r="K18" s="5" t="s">
        <v>41</v>
      </c>
      <c r="L18" s="5" t="s">
        <v>42</v>
      </c>
      <c r="O18" s="66">
        <v>4.4999999999999998E-2</v>
      </c>
      <c r="S18" s="4" t="str">
        <f t="shared" ref="S18:Z20" si="1">B18</f>
        <v>LC Stocks</v>
      </c>
      <c r="T18" s="4" t="str">
        <f t="shared" si="1"/>
        <v>Ext Mkt</v>
      </c>
      <c r="U18" s="4" t="str">
        <f t="shared" si="1"/>
        <v>Mcap Stk</v>
      </c>
      <c r="V18" s="4" t="str">
        <f t="shared" si="1"/>
        <v>Small Cap</v>
      </c>
      <c r="W18" s="4" t="str">
        <f t="shared" si="1"/>
        <v>Intl Val</v>
      </c>
      <c r="X18" s="4" t="str">
        <f t="shared" si="1"/>
        <v>Tot Int Stk</v>
      </c>
      <c r="Y18" s="4" t="str">
        <f t="shared" si="1"/>
        <v>Bonds</v>
      </c>
      <c r="Z18" s="5"/>
      <c r="AA18" s="5" t="s">
        <v>44</v>
      </c>
      <c r="AB18" s="5" t="s">
        <v>41</v>
      </c>
      <c r="AC18" s="5" t="s">
        <v>42</v>
      </c>
      <c r="AD18" s="5" t="s">
        <v>56</v>
      </c>
      <c r="AE18" s="5"/>
      <c r="AH18" s="4" t="str">
        <f t="shared" ref="AH18:AN19" si="2">B18</f>
        <v>LC Stocks</v>
      </c>
      <c r="AI18" s="4" t="str">
        <f t="shared" si="2"/>
        <v>Ext Mkt</v>
      </c>
      <c r="AJ18" s="4" t="str">
        <f t="shared" si="2"/>
        <v>Mcap Stk</v>
      </c>
      <c r="AK18" s="4" t="str">
        <f t="shared" si="2"/>
        <v>Small Cap</v>
      </c>
      <c r="AL18" s="4" t="str">
        <f t="shared" si="2"/>
        <v>Intl Val</v>
      </c>
      <c r="AM18" s="4" t="str">
        <f t="shared" si="2"/>
        <v>Tot Int Stk</v>
      </c>
      <c r="AN18" s="4" t="str">
        <f t="shared" si="2"/>
        <v>Bonds</v>
      </c>
      <c r="AO18" s="5"/>
      <c r="AR18" s="4" t="str">
        <f>AH18</f>
        <v>LC Stocks</v>
      </c>
      <c r="AS18" s="4" t="str">
        <f t="shared" ref="AS18:AY20" si="3">AI18</f>
        <v>Ext Mkt</v>
      </c>
      <c r="AT18" s="4" t="str">
        <f t="shared" si="3"/>
        <v>Mcap Stk</v>
      </c>
      <c r="AU18" s="4" t="str">
        <f t="shared" si="3"/>
        <v>Small Cap</v>
      </c>
      <c r="AV18" s="4" t="str">
        <f t="shared" si="3"/>
        <v>Intl Val</v>
      </c>
      <c r="AW18" s="4" t="str">
        <f t="shared" si="3"/>
        <v>Tot Int Stk</v>
      </c>
      <c r="AX18" s="4" t="str">
        <f t="shared" si="3"/>
        <v>Bonds</v>
      </c>
      <c r="AY18" s="5"/>
      <c r="BB18" s="4" t="str">
        <f>AR18</f>
        <v>LC Stocks</v>
      </c>
      <c r="BC18" s="4" t="str">
        <f t="shared" ref="BC18:BI20" si="4">AS18</f>
        <v>Ext Mkt</v>
      </c>
      <c r="BD18" s="4" t="str">
        <f t="shared" si="4"/>
        <v>Mcap Stk</v>
      </c>
      <c r="BE18" s="4" t="str">
        <f t="shared" si="4"/>
        <v>Small Cap</v>
      </c>
      <c r="BF18" s="4" t="str">
        <f t="shared" si="4"/>
        <v>Intl Val</v>
      </c>
      <c r="BG18" s="4" t="str">
        <f t="shared" si="4"/>
        <v>Tot Int Stk</v>
      </c>
      <c r="BH18" s="4" t="str">
        <f t="shared" si="4"/>
        <v>Bonds</v>
      </c>
      <c r="BI18" s="4"/>
      <c r="BJ18" t="s">
        <v>56</v>
      </c>
    </row>
    <row r="19" spans="1:63" x14ac:dyDescent="0.25">
      <c r="A19" t="s">
        <v>40</v>
      </c>
      <c r="B19" s="4" t="str">
        <f t="shared" si="0"/>
        <v>VFINX</v>
      </c>
      <c r="C19" s="4" t="str">
        <f t="shared" si="0"/>
        <v>VEXMX</v>
      </c>
      <c r="D19" s="4" t="str">
        <f t="shared" si="0"/>
        <v>VIMSX</v>
      </c>
      <c r="E19" s="4" t="str">
        <f t="shared" si="0"/>
        <v>NAESX</v>
      </c>
      <c r="F19" s="4" t="str">
        <f t="shared" si="0"/>
        <v>VTRIX</v>
      </c>
      <c r="G19" s="4" t="str">
        <f t="shared" si="0"/>
        <v>VGTSX</v>
      </c>
      <c r="H19" s="4" t="str">
        <f t="shared" si="0"/>
        <v>VBMFX</v>
      </c>
      <c r="I19" s="5" t="s">
        <v>38</v>
      </c>
      <c r="J19" s="5" t="s">
        <v>45</v>
      </c>
      <c r="K19" s="5" t="s">
        <v>43</v>
      </c>
      <c r="L19" s="5" t="s">
        <v>43</v>
      </c>
      <c r="R19" t="str">
        <f t="shared" ref="R19:R31" si="5">A19</f>
        <v>Fund</v>
      </c>
      <c r="S19" s="4" t="str">
        <f t="shared" si="1"/>
        <v>VFINX</v>
      </c>
      <c r="T19" s="4" t="str">
        <f t="shared" si="1"/>
        <v>VEXMX</v>
      </c>
      <c r="U19" s="4" t="str">
        <f t="shared" si="1"/>
        <v>VIMSX</v>
      </c>
      <c r="V19" s="4" t="str">
        <f t="shared" si="1"/>
        <v>NAESX</v>
      </c>
      <c r="W19" s="4" t="str">
        <f t="shared" si="1"/>
        <v>VTRIX</v>
      </c>
      <c r="X19" s="4" t="str">
        <f t="shared" si="1"/>
        <v>VGTSX</v>
      </c>
      <c r="Y19" s="4" t="str">
        <f t="shared" si="1"/>
        <v>VBMFX</v>
      </c>
      <c r="Z19" s="5" t="str">
        <f t="shared" si="1"/>
        <v>Total</v>
      </c>
      <c r="AA19" s="5" t="s">
        <v>45</v>
      </c>
      <c r="AB19" s="5" t="s">
        <v>43</v>
      </c>
      <c r="AC19" s="5" t="s">
        <v>43</v>
      </c>
      <c r="AD19" s="5" t="s">
        <v>55</v>
      </c>
      <c r="AE19" s="5"/>
      <c r="AG19" t="s">
        <v>40</v>
      </c>
      <c r="AH19" s="4" t="str">
        <f t="shared" si="2"/>
        <v>VFINX</v>
      </c>
      <c r="AI19" s="4" t="str">
        <f t="shared" si="2"/>
        <v>VEXMX</v>
      </c>
      <c r="AJ19" s="4" t="str">
        <f t="shared" si="2"/>
        <v>VIMSX</v>
      </c>
      <c r="AK19" s="4" t="str">
        <f t="shared" si="2"/>
        <v>NAESX</v>
      </c>
      <c r="AL19" s="4" t="str">
        <f t="shared" si="2"/>
        <v>VTRIX</v>
      </c>
      <c r="AM19" s="4" t="str">
        <f t="shared" si="2"/>
        <v>VGTSX</v>
      </c>
      <c r="AN19" s="4" t="str">
        <f t="shared" si="2"/>
        <v>VBMFX</v>
      </c>
      <c r="AO19" s="5" t="s">
        <v>38</v>
      </c>
      <c r="AQ19" t="str">
        <f>AG19</f>
        <v>Fund</v>
      </c>
      <c r="AR19" s="4" t="str">
        <f>AH19</f>
        <v>VFINX</v>
      </c>
      <c r="AS19" s="4" t="str">
        <f t="shared" si="3"/>
        <v>VEXMX</v>
      </c>
      <c r="AT19" s="4" t="str">
        <f t="shared" si="3"/>
        <v>VIMSX</v>
      </c>
      <c r="AU19" s="4" t="str">
        <f t="shared" si="3"/>
        <v>NAESX</v>
      </c>
      <c r="AV19" s="4" t="str">
        <f t="shared" si="3"/>
        <v>VTRIX</v>
      </c>
      <c r="AW19" s="4" t="str">
        <f t="shared" si="3"/>
        <v>VGTSX</v>
      </c>
      <c r="AX19" s="4" t="str">
        <f t="shared" si="3"/>
        <v>VBMFX</v>
      </c>
      <c r="AY19" s="4" t="str">
        <f t="shared" si="3"/>
        <v>Total</v>
      </c>
      <c r="BA19" t="s">
        <v>40</v>
      </c>
      <c r="BB19" s="4" t="str">
        <f>AR19</f>
        <v>VFINX</v>
      </c>
      <c r="BC19" s="4" t="str">
        <f t="shared" si="4"/>
        <v>VEXMX</v>
      </c>
      <c r="BD19" s="4" t="str">
        <f t="shared" si="4"/>
        <v>VIMSX</v>
      </c>
      <c r="BE19" s="4" t="str">
        <f t="shared" si="4"/>
        <v>NAESX</v>
      </c>
      <c r="BF19" s="4" t="str">
        <f t="shared" si="4"/>
        <v>VTRIX</v>
      </c>
      <c r="BG19" s="4" t="str">
        <f t="shared" si="4"/>
        <v>VGTSX</v>
      </c>
      <c r="BH19" s="4" t="str">
        <f t="shared" si="4"/>
        <v>VBMFX</v>
      </c>
      <c r="BI19" s="4" t="str">
        <f t="shared" si="4"/>
        <v>Total</v>
      </c>
      <c r="BJ19" t="s">
        <v>55</v>
      </c>
    </row>
    <row r="20" spans="1:63" x14ac:dyDescent="0.25">
      <c r="A20" t="s">
        <v>39</v>
      </c>
      <c r="B20" s="2">
        <f>'Non-Rebalanced Strategy'!B20</f>
        <v>20000</v>
      </c>
      <c r="C20" s="2"/>
      <c r="D20" s="2">
        <f>'Non-Rebalanced Strategy'!D20</f>
        <v>20000</v>
      </c>
      <c r="E20" s="2">
        <f>'Non-Rebalanced Strategy'!E20</f>
        <v>10000</v>
      </c>
      <c r="F20" s="2"/>
      <c r="G20" s="2">
        <f>'Non-Rebalanced Strategy'!G20</f>
        <v>20000</v>
      </c>
      <c r="H20" s="2">
        <f>'Non-Rebalanced Strategy'!H20</f>
        <v>30000</v>
      </c>
      <c r="I20" s="2">
        <f t="shared" ref="I20:I32" si="6">SUM(B20:H20)</f>
        <v>100000</v>
      </c>
      <c r="N20" s="19"/>
      <c r="R20" t="str">
        <f t="shared" si="5"/>
        <v>Stating Balance</v>
      </c>
      <c r="S20" s="2">
        <f t="shared" si="1"/>
        <v>20000</v>
      </c>
      <c r="T20" s="2">
        <f t="shared" si="1"/>
        <v>0</v>
      </c>
      <c r="U20" s="2">
        <f t="shared" si="1"/>
        <v>20000</v>
      </c>
      <c r="V20" s="2">
        <f t="shared" si="1"/>
        <v>10000</v>
      </c>
      <c r="W20" s="2">
        <f t="shared" si="1"/>
        <v>0</v>
      </c>
      <c r="X20" s="2">
        <f t="shared" si="1"/>
        <v>20000</v>
      </c>
      <c r="Y20" s="2">
        <f t="shared" si="1"/>
        <v>30000</v>
      </c>
      <c r="Z20" s="2">
        <f t="shared" si="1"/>
        <v>100000</v>
      </c>
      <c r="AD20" s="2"/>
      <c r="AE20" s="2"/>
      <c r="AG20" s="19" t="s">
        <v>54</v>
      </c>
      <c r="AH20" s="6">
        <f t="shared" ref="AH20:AN31" si="7">S20/$Z20</f>
        <v>0.2</v>
      </c>
      <c r="AI20" s="6"/>
      <c r="AJ20" s="6">
        <f t="shared" si="7"/>
        <v>0.2</v>
      </c>
      <c r="AK20" s="6">
        <f t="shared" si="7"/>
        <v>0.1</v>
      </c>
      <c r="AL20" s="6"/>
      <c r="AM20" s="6">
        <f t="shared" si="7"/>
        <v>0.2</v>
      </c>
      <c r="AN20" s="6">
        <f>Y20/$Z20</f>
        <v>0.3</v>
      </c>
      <c r="AO20" s="6">
        <f>Z20/$Z20</f>
        <v>1</v>
      </c>
      <c r="AP20" s="22"/>
      <c r="AQ20" s="19" t="str">
        <f>AG20</f>
        <v>Target Allocation</v>
      </c>
      <c r="AR20" s="22">
        <f>AH20</f>
        <v>0.2</v>
      </c>
      <c r="AS20" s="22">
        <f t="shared" si="3"/>
        <v>0</v>
      </c>
      <c r="AT20" s="22">
        <f>AJ20</f>
        <v>0.2</v>
      </c>
      <c r="AU20" s="22">
        <f>AK20</f>
        <v>0.1</v>
      </c>
      <c r="AV20" s="22"/>
      <c r="AW20" s="22">
        <f>AM20</f>
        <v>0.2</v>
      </c>
      <c r="AX20" s="22">
        <f>AN20</f>
        <v>0.3</v>
      </c>
      <c r="AY20" s="22">
        <f t="shared" si="3"/>
        <v>1</v>
      </c>
      <c r="BA20" s="19" t="str">
        <f>AQ20</f>
        <v>Target Allocation</v>
      </c>
      <c r="BB20" s="22">
        <f>AR20</f>
        <v>0.2</v>
      </c>
      <c r="BC20" s="22"/>
      <c r="BD20" s="22">
        <f>AT20</f>
        <v>0.2</v>
      </c>
      <c r="BE20" s="22">
        <f>AU20</f>
        <v>0.1</v>
      </c>
      <c r="BF20" s="22"/>
      <c r="BG20" s="22">
        <f>AW20</f>
        <v>0.2</v>
      </c>
      <c r="BH20" s="22">
        <f t="shared" si="4"/>
        <v>0.3</v>
      </c>
      <c r="BI20" s="22">
        <f t="shared" si="4"/>
        <v>1</v>
      </c>
      <c r="BJ20" s="2"/>
    </row>
    <row r="21" spans="1:63" x14ac:dyDescent="0.25">
      <c r="A21">
        <f t="shared" ref="A21:A29" si="8">A4</f>
        <v>2007</v>
      </c>
      <c r="B21" s="2">
        <f>B20*(1+(B4/100))</f>
        <v>21078</v>
      </c>
      <c r="C21" s="2"/>
      <c r="D21" s="2">
        <f>D20*(1+(D4/100))</f>
        <v>21204.2</v>
      </c>
      <c r="E21" s="2">
        <f>E20*(1+(E4/100))</f>
        <v>10115.6</v>
      </c>
      <c r="F21" s="2"/>
      <c r="G21" s="2">
        <f>G20*(1+(G4/100))</f>
        <v>23104.399999999998</v>
      </c>
      <c r="H21" s="2">
        <f>H20*(1+(H4/100))</f>
        <v>32075.999999999996</v>
      </c>
      <c r="I21" s="2">
        <f t="shared" si="6"/>
        <v>107578.2</v>
      </c>
      <c r="J21" s="2">
        <f>I21-I20</f>
        <v>7578.1999999999971</v>
      </c>
      <c r="K21" s="6" t="e">
        <f>(J21/#REF!)</f>
        <v>#REF!</v>
      </c>
      <c r="L21" s="7" t="e">
        <f t="shared" ref="L21:L31" si="9">K21+1</f>
        <v>#REF!</v>
      </c>
      <c r="N21">
        <f t="shared" ref="N21:N31" si="10">A21</f>
        <v>2007</v>
      </c>
      <c r="O21" s="2">
        <f>I21*O18</f>
        <v>4841.0189999999993</v>
      </c>
      <c r="P21" s="2"/>
      <c r="Q21" s="2"/>
      <c r="R21">
        <f t="shared" si="5"/>
        <v>2007</v>
      </c>
      <c r="S21" s="2">
        <f t="shared" ref="S21:S31" si="11">B21-($O21/5)</f>
        <v>20109.796200000001</v>
      </c>
      <c r="T21" s="2"/>
      <c r="U21" s="2">
        <f t="shared" ref="U21:V31" si="12">D21-($O21/5)</f>
        <v>20235.996200000001</v>
      </c>
      <c r="V21" s="2">
        <f t="shared" si="12"/>
        <v>9147.396200000001</v>
      </c>
      <c r="W21" s="2"/>
      <c r="X21" s="2">
        <f t="shared" ref="X21:Y31" si="13">G21-($O21/5)</f>
        <v>22136.196199999998</v>
      </c>
      <c r="Y21" s="2">
        <f t="shared" si="13"/>
        <v>31107.796199999997</v>
      </c>
      <c r="Z21" s="2">
        <f t="shared" ref="Z21:Z31" si="14">SUM(S21:Y21)</f>
        <v>102737.181</v>
      </c>
      <c r="AA21" s="2">
        <f>Z21-Z20</f>
        <v>2737.1809999999969</v>
      </c>
      <c r="AB21" s="6">
        <f>(AA21/Z20)</f>
        <v>2.7371809999999969E-2</v>
      </c>
      <c r="AC21" s="7">
        <f t="shared" ref="AC21:AC31" si="15">AB21+1</f>
        <v>1.02737181</v>
      </c>
      <c r="AD21" s="2">
        <f t="shared" ref="AD21:AD31" si="16">Z21-(I21-O21)</f>
        <v>0</v>
      </c>
      <c r="AE21" s="2"/>
      <c r="AG21">
        <f t="shared" ref="AG21:AG31" si="17">A21</f>
        <v>2007</v>
      </c>
      <c r="AH21" s="6">
        <f t="shared" si="7"/>
        <v>0.19574019847790064</v>
      </c>
      <c r="AI21" s="6"/>
      <c r="AJ21" s="6">
        <f t="shared" si="7"/>
        <v>0.19696857557343336</v>
      </c>
      <c r="AK21" s="6">
        <f t="shared" si="7"/>
        <v>8.9036861932195718E-2</v>
      </c>
      <c r="AL21" s="6"/>
      <c r="AM21" s="6">
        <f t="shared" si="7"/>
        <v>0.21546431374246097</v>
      </c>
      <c r="AN21" s="6">
        <f t="shared" si="7"/>
        <v>0.30279005027400935</v>
      </c>
      <c r="AO21" s="20">
        <f>SUM(AH21:AN21)</f>
        <v>1</v>
      </c>
      <c r="AP21" s="22"/>
      <c r="AQ21">
        <f t="shared" ref="AQ21:AQ31" si="18">AG21</f>
        <v>2007</v>
      </c>
      <c r="AR21" s="1" t="b">
        <f t="shared" ref="AR21:AR31" si="19">AND((S21/$Z21)&gt;0.15,(S21/$Z21)&lt;0.25)</f>
        <v>1</v>
      </c>
      <c r="AS21" s="1"/>
      <c r="AT21" s="1" t="b">
        <f t="shared" ref="AT21:AT31" si="20">AND((U21/$Z21)&gt;0.15,(U21/$Z21)&lt;0.25)</f>
        <v>1</v>
      </c>
      <c r="AU21" s="1" t="b">
        <f t="shared" ref="AU21:AU31" si="21">AND((V21/$Z21)&gt;0.05,(V21/$Z21)&lt;0.15)</f>
        <v>1</v>
      </c>
      <c r="AV21" s="1"/>
      <c r="AW21" s="1" t="b">
        <f t="shared" ref="AW21:AW31" si="22">AND((X21/$Z21)&gt;0.15,(X21/$Z21)&lt;0.25)</f>
        <v>1</v>
      </c>
      <c r="AX21" s="1" t="b">
        <f t="shared" ref="AX21:AX31" si="23">AND((Y21/$Z21)&gt;0.25,(Y21/$Z21)&lt;0.35)</f>
        <v>1</v>
      </c>
      <c r="AY21" s="1" t="b">
        <f t="shared" ref="AY21:AY31" si="24">AND((Z21/$Z21)&gt;0.999,(Z21/$Z21)&lt;1.01)</f>
        <v>1</v>
      </c>
      <c r="BA21">
        <f t="shared" ref="BA21:BA31" si="25">AQ21</f>
        <v>2007</v>
      </c>
      <c r="BB21" s="2">
        <f t="shared" ref="BB21" si="26">S21</f>
        <v>20109.796200000001</v>
      </c>
      <c r="BC21" s="2"/>
      <c r="BD21" s="2">
        <f t="shared" ref="BD21:BE21" si="27">U21</f>
        <v>20235.996200000001</v>
      </c>
      <c r="BE21" s="2">
        <f t="shared" si="27"/>
        <v>9147.396200000001</v>
      </c>
      <c r="BF21" s="2"/>
      <c r="BG21" s="2">
        <f t="shared" ref="BG21:BI31" si="28">X21</f>
        <v>22136.196199999998</v>
      </c>
      <c r="BH21" s="2">
        <f t="shared" si="28"/>
        <v>31107.796199999997</v>
      </c>
      <c r="BI21" s="2">
        <f t="shared" si="28"/>
        <v>102737.181</v>
      </c>
      <c r="BJ21" s="2">
        <f t="shared" ref="BJ21:BJ31" si="29">SUM(BB21:BH21)-Z21</f>
        <v>0</v>
      </c>
      <c r="BK21" s="2"/>
    </row>
    <row r="22" spans="1:63" x14ac:dyDescent="0.25">
      <c r="A22">
        <f t="shared" si="8"/>
        <v>2008</v>
      </c>
      <c r="B22" s="2">
        <f t="shared" ref="B22:H22" si="30">BB21*(1+(B5/100))</f>
        <v>12665.149646759999</v>
      </c>
      <c r="C22" s="2"/>
      <c r="D22" s="2">
        <f t="shared" si="30"/>
        <v>11772.493149312002</v>
      </c>
      <c r="E22" s="2">
        <f t="shared" si="30"/>
        <v>5847.9303906600007</v>
      </c>
      <c r="F22" s="2"/>
      <c r="G22" s="2">
        <f t="shared" si="30"/>
        <v>12373.912313837998</v>
      </c>
      <c r="H22" s="2">
        <f t="shared" si="30"/>
        <v>32678.739908099997</v>
      </c>
      <c r="I22" s="2">
        <f t="shared" si="6"/>
        <v>75338.225408669998</v>
      </c>
      <c r="J22" s="2">
        <f t="shared" ref="J22:J31" si="31">I22-I21</f>
        <v>-32239.974591329999</v>
      </c>
      <c r="K22" s="6">
        <f t="shared" ref="K22:K31" si="32">(J22/I21)</f>
        <v>-0.2996887342540589</v>
      </c>
      <c r="L22" s="7">
        <f t="shared" si="9"/>
        <v>0.70031126574594116</v>
      </c>
      <c r="N22">
        <f t="shared" si="10"/>
        <v>2008</v>
      </c>
      <c r="O22" s="2">
        <f t="shared" ref="O22:O29" si="33">O21*(1+O5)</f>
        <v>4841.0189999999993</v>
      </c>
      <c r="P22" s="2"/>
      <c r="Q22" s="2"/>
      <c r="R22">
        <f t="shared" si="5"/>
        <v>2008</v>
      </c>
      <c r="S22" s="2">
        <f t="shared" si="11"/>
        <v>11696.94584676</v>
      </c>
      <c r="T22" s="2"/>
      <c r="U22" s="2">
        <f t="shared" si="12"/>
        <v>10804.289349312003</v>
      </c>
      <c r="V22" s="2">
        <f t="shared" si="12"/>
        <v>4879.7265906600005</v>
      </c>
      <c r="W22" s="2"/>
      <c r="X22" s="2">
        <f t="shared" si="13"/>
        <v>11405.708513837999</v>
      </c>
      <c r="Y22" s="2">
        <f t="shared" si="13"/>
        <v>31710.536108099997</v>
      </c>
      <c r="Z22" s="2">
        <f t="shared" si="14"/>
        <v>70497.206408669997</v>
      </c>
      <c r="AA22" s="2">
        <f t="shared" ref="AA22:AA31" si="34">Z22-Z21</f>
        <v>-32239.974591329999</v>
      </c>
      <c r="AB22" s="6">
        <f t="shared" ref="AB22:AB31" si="35">(AA22/Z21)</f>
        <v>-0.31381019293618734</v>
      </c>
      <c r="AC22" s="7">
        <f t="shared" si="15"/>
        <v>0.68618980706381261</v>
      </c>
      <c r="AD22" s="2">
        <f t="shared" si="16"/>
        <v>0</v>
      </c>
      <c r="AE22" s="2"/>
      <c r="AG22">
        <f t="shared" si="17"/>
        <v>2008</v>
      </c>
      <c r="AH22" s="6">
        <f t="shared" si="7"/>
        <v>0.16592070016155233</v>
      </c>
      <c r="AI22" s="6"/>
      <c r="AJ22" s="6">
        <f t="shared" si="7"/>
        <v>0.15325840412285122</v>
      </c>
      <c r="AK22" s="6">
        <f t="shared" si="7"/>
        <v>6.9218722829559876E-2</v>
      </c>
      <c r="AL22" s="6"/>
      <c r="AM22" s="6">
        <f t="shared" si="7"/>
        <v>0.16178951046257747</v>
      </c>
      <c r="AN22" s="6">
        <f t="shared" si="7"/>
        <v>0.44981266242345913</v>
      </c>
      <c r="AO22" s="20">
        <f t="shared" ref="AO22:AO25" si="36">SUM(AH22:AN22)</f>
        <v>1</v>
      </c>
      <c r="AP22" s="22"/>
      <c r="AQ22">
        <f t="shared" si="18"/>
        <v>2008</v>
      </c>
      <c r="AR22" s="1" t="b">
        <f t="shared" si="19"/>
        <v>1</v>
      </c>
      <c r="AS22" s="1"/>
      <c r="AT22" s="1" t="b">
        <f t="shared" si="20"/>
        <v>1</v>
      </c>
      <c r="AU22" s="1" t="b">
        <f t="shared" si="21"/>
        <v>1</v>
      </c>
      <c r="AV22" s="1"/>
      <c r="AW22" s="1" t="b">
        <f t="shared" si="22"/>
        <v>1</v>
      </c>
      <c r="AX22" s="35" t="b">
        <f t="shared" si="23"/>
        <v>0</v>
      </c>
      <c r="AY22" s="1" t="b">
        <f t="shared" si="24"/>
        <v>1</v>
      </c>
      <c r="BA22">
        <f t="shared" si="25"/>
        <v>2008</v>
      </c>
      <c r="BB22" s="36">
        <f>BB$20*$Z22</f>
        <v>14099.441281734</v>
      </c>
      <c r="BC22" s="2"/>
      <c r="BD22" s="36">
        <f>BD$20*$Z22</f>
        <v>14099.441281734</v>
      </c>
      <c r="BE22" s="36">
        <f>BE$20*$Z22</f>
        <v>7049.7206408669999</v>
      </c>
      <c r="BF22" s="2"/>
      <c r="BG22" s="36">
        <f>BG$20*$Z22</f>
        <v>14099.441281734</v>
      </c>
      <c r="BH22" s="36">
        <f>BH$20*$Z22</f>
        <v>21149.161922600997</v>
      </c>
      <c r="BI22" s="2">
        <f t="shared" si="28"/>
        <v>70497.206408669997</v>
      </c>
      <c r="BJ22" s="2">
        <f t="shared" si="29"/>
        <v>0</v>
      </c>
      <c r="BK22" s="2"/>
    </row>
    <row r="23" spans="1:63" x14ac:dyDescent="0.25">
      <c r="A23">
        <f t="shared" si="8"/>
        <v>2009</v>
      </c>
      <c r="B23" s="2">
        <f t="shared" ref="B23:B29" si="37">BB22*(1+(B6/100))</f>
        <v>17834.383277265337</v>
      </c>
      <c r="C23" s="2"/>
      <c r="D23" s="2">
        <f t="shared" ref="D23:E28" si="38">BD22*(1+(D6/100))</f>
        <v>19769.95457642178</v>
      </c>
      <c r="E23" s="2">
        <f t="shared" si="38"/>
        <v>9595.9387419353425</v>
      </c>
      <c r="F23" s="2"/>
      <c r="G23" s="2">
        <f t="shared" ref="G23:H28" si="39">BG22*(1+(G6/100))</f>
        <v>19277.743081276447</v>
      </c>
      <c r="H23" s="2">
        <f t="shared" si="39"/>
        <v>22403.307224611235</v>
      </c>
      <c r="I23" s="2">
        <f t="shared" si="6"/>
        <v>88881.326901510154</v>
      </c>
      <c r="J23" s="2">
        <f t="shared" si="31"/>
        <v>13543.101492840156</v>
      </c>
      <c r="K23" s="6">
        <f t="shared" si="32"/>
        <v>0.1797640098286892</v>
      </c>
      <c r="L23" s="7">
        <f t="shared" si="9"/>
        <v>1.1797640098286892</v>
      </c>
      <c r="N23">
        <f t="shared" si="10"/>
        <v>2009</v>
      </c>
      <c r="O23" s="2">
        <f t="shared" si="33"/>
        <v>4976.5675319999991</v>
      </c>
      <c r="P23" s="2"/>
      <c r="Q23" s="2"/>
      <c r="R23">
        <f t="shared" si="5"/>
        <v>2009</v>
      </c>
      <c r="S23" s="2">
        <f t="shared" si="11"/>
        <v>16839.069770865339</v>
      </c>
      <c r="T23" s="2"/>
      <c r="U23" s="2">
        <f t="shared" si="12"/>
        <v>18774.641070021782</v>
      </c>
      <c r="V23" s="2">
        <f t="shared" si="12"/>
        <v>8600.6252355353427</v>
      </c>
      <c r="W23" s="2"/>
      <c r="X23" s="2">
        <f t="shared" si="13"/>
        <v>18282.429574876449</v>
      </c>
      <c r="Y23" s="2">
        <f t="shared" si="13"/>
        <v>21407.993718211233</v>
      </c>
      <c r="Z23" s="2">
        <f t="shared" si="14"/>
        <v>83904.759369510139</v>
      </c>
      <c r="AA23" s="2">
        <f t="shared" si="34"/>
        <v>13407.552960840141</v>
      </c>
      <c r="AB23" s="6">
        <f t="shared" si="35"/>
        <v>0.19018559236400087</v>
      </c>
      <c r="AC23" s="7">
        <f t="shared" si="15"/>
        <v>1.1901855923640008</v>
      </c>
      <c r="AD23" s="2">
        <f t="shared" si="16"/>
        <v>0</v>
      </c>
      <c r="AE23" s="2"/>
      <c r="AG23">
        <f t="shared" si="17"/>
        <v>2009</v>
      </c>
      <c r="AH23" s="6">
        <f t="shared" si="7"/>
        <v>0.20069266508121864</v>
      </c>
      <c r="AI23" s="6"/>
      <c r="AJ23" s="6">
        <f t="shared" si="7"/>
        <v>0.2237613361995319</v>
      </c>
      <c r="AK23" s="6">
        <f t="shared" si="7"/>
        <v>0.1025046171416671</v>
      </c>
      <c r="AL23" s="6"/>
      <c r="AM23" s="6">
        <f t="shared" si="7"/>
        <v>0.21789502421861467</v>
      </c>
      <c r="AN23" s="6">
        <f t="shared" si="7"/>
        <v>0.25514635735896779</v>
      </c>
      <c r="AO23" s="20">
        <f t="shared" si="36"/>
        <v>1.0000000000000002</v>
      </c>
      <c r="AP23" s="22"/>
      <c r="AQ23">
        <f t="shared" si="18"/>
        <v>2009</v>
      </c>
      <c r="AR23" s="1" t="b">
        <f t="shared" si="19"/>
        <v>1</v>
      </c>
      <c r="AS23" s="1"/>
      <c r="AT23" s="1" t="b">
        <f t="shared" si="20"/>
        <v>1</v>
      </c>
      <c r="AU23" s="1" t="b">
        <f t="shared" si="21"/>
        <v>1</v>
      </c>
      <c r="AV23" s="1"/>
      <c r="AW23" s="1" t="b">
        <f t="shared" si="22"/>
        <v>1</v>
      </c>
      <c r="AX23" s="1" t="b">
        <f t="shared" si="23"/>
        <v>1</v>
      </c>
      <c r="AY23" s="1" t="b">
        <f t="shared" si="24"/>
        <v>1</v>
      </c>
      <c r="BA23">
        <f t="shared" si="25"/>
        <v>2009</v>
      </c>
      <c r="BB23" s="2">
        <f t="shared" ref="BB23" si="40">S23</f>
        <v>16839.069770865339</v>
      </c>
      <c r="BC23" s="2"/>
      <c r="BD23" s="2">
        <f t="shared" ref="BD23:BE23" si="41">U23</f>
        <v>18774.641070021782</v>
      </c>
      <c r="BE23" s="2">
        <f t="shared" si="41"/>
        <v>8600.6252355353427</v>
      </c>
      <c r="BF23" s="2"/>
      <c r="BG23" s="2">
        <f t="shared" ref="BG23:BH23" si="42">X23</f>
        <v>18282.429574876449</v>
      </c>
      <c r="BH23" s="2">
        <f t="shared" si="42"/>
        <v>21407.993718211233</v>
      </c>
      <c r="BI23" s="2">
        <f t="shared" si="28"/>
        <v>83904.759369510139</v>
      </c>
      <c r="BJ23" s="2">
        <f t="shared" si="29"/>
        <v>0</v>
      </c>
      <c r="BK23" s="2"/>
    </row>
    <row r="24" spans="1:63" x14ac:dyDescent="0.25">
      <c r="A24">
        <f t="shared" si="8"/>
        <v>2010</v>
      </c>
      <c r="B24" s="2">
        <f t="shared" si="37"/>
        <v>19349.775073701359</v>
      </c>
      <c r="C24" s="2"/>
      <c r="D24" s="2">
        <f t="shared" si="38"/>
        <v>23554.664686449327</v>
      </c>
      <c r="E24" s="2">
        <f t="shared" si="38"/>
        <v>10984.718550825741</v>
      </c>
      <c r="F24" s="2"/>
      <c r="G24" s="2">
        <f t="shared" si="39"/>
        <v>20315.435743602709</v>
      </c>
      <c r="H24" s="2">
        <f t="shared" si="39"/>
        <v>22782.386914920397</v>
      </c>
      <c r="I24" s="2">
        <f t="shared" si="6"/>
        <v>96986.980969499535</v>
      </c>
      <c r="J24" s="2">
        <f t="shared" si="31"/>
        <v>8105.6540679893806</v>
      </c>
      <c r="K24" s="6">
        <f t="shared" si="32"/>
        <v>9.1196366554825367E-2</v>
      </c>
      <c r="L24" s="7">
        <f t="shared" si="9"/>
        <v>1.0911963665548254</v>
      </c>
      <c r="N24">
        <f t="shared" si="10"/>
        <v>2010</v>
      </c>
      <c r="O24" s="2">
        <f t="shared" si="33"/>
        <v>5046.239477447999</v>
      </c>
      <c r="P24" s="2"/>
      <c r="Q24" s="2"/>
      <c r="R24">
        <f t="shared" si="5"/>
        <v>2010</v>
      </c>
      <c r="S24" s="2">
        <f t="shared" si="11"/>
        <v>18340.52717821176</v>
      </c>
      <c r="T24" s="2"/>
      <c r="U24" s="2">
        <f t="shared" si="12"/>
        <v>22545.416790959727</v>
      </c>
      <c r="V24" s="2">
        <f t="shared" si="12"/>
        <v>9975.4706553361411</v>
      </c>
      <c r="W24" s="2"/>
      <c r="X24" s="2">
        <f t="shared" si="13"/>
        <v>19306.18784811311</v>
      </c>
      <c r="Y24" s="2">
        <f t="shared" si="13"/>
        <v>21773.139019430797</v>
      </c>
      <c r="Z24" s="2">
        <f t="shared" si="14"/>
        <v>91940.741492051544</v>
      </c>
      <c r="AA24" s="2">
        <f t="shared" si="34"/>
        <v>8035.9821225414053</v>
      </c>
      <c r="AB24" s="6">
        <f t="shared" si="35"/>
        <v>9.5775045217060401E-2</v>
      </c>
      <c r="AC24" s="7">
        <f t="shared" si="15"/>
        <v>1.0957750452170605</v>
      </c>
      <c r="AD24" s="2">
        <f t="shared" si="16"/>
        <v>0</v>
      </c>
      <c r="AE24" s="2"/>
      <c r="AG24">
        <f t="shared" si="17"/>
        <v>2010</v>
      </c>
      <c r="AH24" s="6">
        <f t="shared" si="7"/>
        <v>0.19948204550642365</v>
      </c>
      <c r="AI24" s="6"/>
      <c r="AJ24" s="6">
        <f t="shared" si="7"/>
        <v>0.24521682580631377</v>
      </c>
      <c r="AK24" s="6">
        <f t="shared" si="7"/>
        <v>0.10849891455572544</v>
      </c>
      <c r="AL24" s="6"/>
      <c r="AM24" s="6">
        <f t="shared" si="7"/>
        <v>0.20998512231688024</v>
      </c>
      <c r="AN24" s="6">
        <f t="shared" si="7"/>
        <v>0.23681709181465679</v>
      </c>
      <c r="AO24" s="20">
        <f t="shared" si="36"/>
        <v>1</v>
      </c>
      <c r="AP24" s="22"/>
      <c r="AQ24">
        <f t="shared" si="18"/>
        <v>2010</v>
      </c>
      <c r="AR24" s="1" t="b">
        <f t="shared" si="19"/>
        <v>1</v>
      </c>
      <c r="AS24" s="1"/>
      <c r="AT24" s="1" t="b">
        <f t="shared" si="20"/>
        <v>1</v>
      </c>
      <c r="AU24" s="1" t="b">
        <f t="shared" si="21"/>
        <v>1</v>
      </c>
      <c r="AV24" s="1"/>
      <c r="AW24" s="1" t="b">
        <f t="shared" si="22"/>
        <v>1</v>
      </c>
      <c r="AX24" s="35" t="b">
        <f t="shared" si="23"/>
        <v>0</v>
      </c>
      <c r="AY24" s="1" t="b">
        <f t="shared" si="24"/>
        <v>1</v>
      </c>
      <c r="BA24">
        <f t="shared" si="25"/>
        <v>2010</v>
      </c>
      <c r="BB24" s="36">
        <f>BB$20*$Z24</f>
        <v>18388.14829841031</v>
      </c>
      <c r="BC24" s="2"/>
      <c r="BD24" s="36">
        <f>BD$20*$Z24</f>
        <v>18388.14829841031</v>
      </c>
      <c r="BE24" s="36">
        <f>BE$20*$Z24</f>
        <v>9194.0741492051548</v>
      </c>
      <c r="BF24" s="2"/>
      <c r="BG24" s="36">
        <f>BG$20*$Z24</f>
        <v>18388.14829841031</v>
      </c>
      <c r="BH24" s="36">
        <f>BH$20*$Z24</f>
        <v>27582.222447615462</v>
      </c>
      <c r="BI24" s="2">
        <f t="shared" si="28"/>
        <v>91940.741492051544</v>
      </c>
      <c r="BJ24" s="2">
        <f t="shared" si="29"/>
        <v>0</v>
      </c>
      <c r="BK24" s="2"/>
    </row>
    <row r="25" spans="1:63" x14ac:dyDescent="0.25">
      <c r="A25">
        <f t="shared" si="8"/>
        <v>2011</v>
      </c>
      <c r="B25" s="2">
        <f t="shared" si="37"/>
        <v>18750.394819888992</v>
      </c>
      <c r="C25" s="2"/>
      <c r="D25" s="2">
        <f t="shared" si="38"/>
        <v>18000.158369313853</v>
      </c>
      <c r="E25" s="2">
        <f t="shared" si="38"/>
        <v>8936.6400730274108</v>
      </c>
      <c r="F25" s="2"/>
      <c r="G25" s="2">
        <f t="shared" si="39"/>
        <v>15710.83390616177</v>
      </c>
      <c r="H25" s="2">
        <f t="shared" si="39"/>
        <v>29667.438464655195</v>
      </c>
      <c r="I25" s="2">
        <f t="shared" si="6"/>
        <v>91065.465633047221</v>
      </c>
      <c r="J25" s="2">
        <f t="shared" si="31"/>
        <v>-5921.5153364523139</v>
      </c>
      <c r="K25" s="6">
        <f t="shared" si="32"/>
        <v>-6.1054744433322573E-2</v>
      </c>
      <c r="L25" s="7">
        <f t="shared" si="9"/>
        <v>0.93894525556667741</v>
      </c>
      <c r="N25">
        <f t="shared" si="10"/>
        <v>2011</v>
      </c>
      <c r="O25" s="2">
        <f t="shared" si="33"/>
        <v>5197.6266617714391</v>
      </c>
      <c r="P25" s="2"/>
      <c r="Q25" s="2"/>
      <c r="R25">
        <f t="shared" si="5"/>
        <v>2011</v>
      </c>
      <c r="S25" s="2">
        <f t="shared" si="11"/>
        <v>17710.869487534703</v>
      </c>
      <c r="T25" s="2"/>
      <c r="U25" s="2">
        <f t="shared" si="12"/>
        <v>16960.633036959563</v>
      </c>
      <c r="V25" s="2">
        <f t="shared" si="12"/>
        <v>7897.1147406731234</v>
      </c>
      <c r="W25" s="2"/>
      <c r="X25" s="2">
        <f t="shared" si="13"/>
        <v>14671.308573807482</v>
      </c>
      <c r="Y25" s="2">
        <f t="shared" si="13"/>
        <v>28627.913132300906</v>
      </c>
      <c r="Z25" s="2">
        <f t="shared" si="14"/>
        <v>85867.838971275778</v>
      </c>
      <c r="AA25" s="2">
        <f t="shared" si="34"/>
        <v>-6072.9025207757659</v>
      </c>
      <c r="AB25" s="6">
        <f t="shared" si="35"/>
        <v>-6.6052355269516513E-2</v>
      </c>
      <c r="AC25" s="7">
        <f t="shared" si="15"/>
        <v>0.93394764473048353</v>
      </c>
      <c r="AD25" s="2">
        <f t="shared" si="16"/>
        <v>0</v>
      </c>
      <c r="AE25" s="2"/>
      <c r="AG25">
        <f t="shared" si="17"/>
        <v>2011</v>
      </c>
      <c r="AH25" s="6">
        <f t="shared" si="7"/>
        <v>0.2062573100676178</v>
      </c>
      <c r="AI25" s="6"/>
      <c r="AJ25" s="6">
        <f t="shared" si="7"/>
        <v>0.1975202036076997</v>
      </c>
      <c r="AK25" s="6">
        <f t="shared" si="7"/>
        <v>9.1968248360306815E-2</v>
      </c>
      <c r="AL25" s="7"/>
      <c r="AM25" s="6">
        <f t="shared" si="7"/>
        <v>0.17085918021897906</v>
      </c>
      <c r="AN25" s="6">
        <f t="shared" si="7"/>
        <v>0.33339505774539663</v>
      </c>
      <c r="AO25" s="20">
        <f t="shared" si="36"/>
        <v>1</v>
      </c>
      <c r="AP25" s="22"/>
      <c r="AQ25">
        <f t="shared" si="18"/>
        <v>2011</v>
      </c>
      <c r="AR25" s="1" t="b">
        <f t="shared" si="19"/>
        <v>1</v>
      </c>
      <c r="AS25" s="1"/>
      <c r="AT25" s="1" t="b">
        <f t="shared" si="20"/>
        <v>1</v>
      </c>
      <c r="AU25" s="1" t="b">
        <f t="shared" si="21"/>
        <v>1</v>
      </c>
      <c r="AV25" s="1"/>
      <c r="AW25" s="1" t="b">
        <f t="shared" si="22"/>
        <v>1</v>
      </c>
      <c r="AX25" s="1" t="b">
        <f t="shared" si="23"/>
        <v>1</v>
      </c>
      <c r="AY25" s="1" t="b">
        <f t="shared" si="24"/>
        <v>1</v>
      </c>
      <c r="BA25">
        <f t="shared" si="25"/>
        <v>2011</v>
      </c>
      <c r="BB25" s="2">
        <f t="shared" ref="BB25:BB27" si="43">S25</f>
        <v>17710.869487534703</v>
      </c>
      <c r="BC25" s="2"/>
      <c r="BD25" s="2">
        <f t="shared" ref="BD25:BE27" si="44">U25</f>
        <v>16960.633036959563</v>
      </c>
      <c r="BE25" s="2">
        <f t="shared" si="44"/>
        <v>7897.1147406731234</v>
      </c>
      <c r="BF25" s="2"/>
      <c r="BG25" s="2">
        <f t="shared" ref="BG25:BH27" si="45">X25</f>
        <v>14671.308573807482</v>
      </c>
      <c r="BH25" s="2">
        <f t="shared" si="45"/>
        <v>28627.913132300906</v>
      </c>
      <c r="BI25" s="2">
        <f t="shared" si="28"/>
        <v>85867.838971275778</v>
      </c>
      <c r="BJ25" s="2">
        <f t="shared" si="29"/>
        <v>0</v>
      </c>
      <c r="BK25" s="2"/>
    </row>
    <row r="26" spans="1:63" x14ac:dyDescent="0.25">
      <c r="A26">
        <f t="shared" si="8"/>
        <v>2012</v>
      </c>
      <c r="B26" s="2">
        <f t="shared" si="37"/>
        <v>20512.729040462691</v>
      </c>
      <c r="C26" s="2"/>
      <c r="D26" s="2">
        <f t="shared" si="38"/>
        <v>19640.413056799174</v>
      </c>
      <c r="E26" s="2">
        <f t="shared" si="38"/>
        <v>9321.7542398905553</v>
      </c>
      <c r="F26" s="2"/>
      <c r="G26" s="2">
        <f t="shared" si="39"/>
        <v>17332.683949096161</v>
      </c>
      <c r="H26" s="2">
        <f t="shared" si="39"/>
        <v>29787.343614159094</v>
      </c>
      <c r="I26" s="2">
        <f t="shared" si="6"/>
        <v>96594.923900407681</v>
      </c>
      <c r="J26" s="2">
        <f t="shared" si="31"/>
        <v>5529.45826736046</v>
      </c>
      <c r="K26" s="6">
        <f t="shared" si="32"/>
        <v>6.0719595830560892E-2</v>
      </c>
      <c r="L26" s="7">
        <f t="shared" si="9"/>
        <v>1.0607195958305609</v>
      </c>
      <c r="N26">
        <f t="shared" si="10"/>
        <v>2012</v>
      </c>
      <c r="O26" s="2">
        <f t="shared" si="33"/>
        <v>5291.1839416833254</v>
      </c>
      <c r="P26" s="2"/>
      <c r="Q26" s="2"/>
      <c r="R26">
        <f t="shared" si="5"/>
        <v>2012</v>
      </c>
      <c r="S26" s="2">
        <f t="shared" si="11"/>
        <v>19454.492252126027</v>
      </c>
      <c r="T26" s="2"/>
      <c r="U26" s="2">
        <f t="shared" si="12"/>
        <v>18582.17626846251</v>
      </c>
      <c r="V26" s="2">
        <f t="shared" si="12"/>
        <v>8263.5174515538893</v>
      </c>
      <c r="W26" s="2"/>
      <c r="X26" s="2">
        <f t="shared" si="13"/>
        <v>16274.447160759497</v>
      </c>
      <c r="Y26" s="2">
        <f t="shared" si="13"/>
        <v>28729.10682582243</v>
      </c>
      <c r="Z26" s="2">
        <f t="shared" si="14"/>
        <v>91303.739958724356</v>
      </c>
      <c r="AA26" s="2">
        <f t="shared" si="34"/>
        <v>5435.9009874485782</v>
      </c>
      <c r="AB26" s="6">
        <f t="shared" si="35"/>
        <v>6.3305436034869558E-2</v>
      </c>
      <c r="AC26" s="7">
        <f t="shared" si="15"/>
        <v>1.0633054360348695</v>
      </c>
      <c r="AD26" s="2">
        <f t="shared" si="16"/>
        <v>0</v>
      </c>
      <c r="AE26" s="2"/>
      <c r="AG26">
        <f t="shared" si="17"/>
        <v>2012</v>
      </c>
      <c r="AH26" s="6">
        <f t="shared" si="7"/>
        <v>0.21307442894366443</v>
      </c>
      <c r="AI26" s="6"/>
      <c r="AJ26" s="6">
        <f t="shared" si="7"/>
        <v>0.20352042837306497</v>
      </c>
      <c r="AK26" s="6">
        <f t="shared" si="7"/>
        <v>9.050579368697903E-2</v>
      </c>
      <c r="AL26" s="7"/>
      <c r="AM26" s="6">
        <f t="shared" si="7"/>
        <v>0.17824513177791709</v>
      </c>
      <c r="AN26" s="6">
        <f t="shared" si="7"/>
        <v>0.31465421721837444</v>
      </c>
      <c r="AO26" s="20">
        <f t="shared" ref="AO26:AO31" si="46">SUM(AH26:AN26)</f>
        <v>1</v>
      </c>
      <c r="AP26" s="22"/>
      <c r="AQ26">
        <f t="shared" si="18"/>
        <v>2012</v>
      </c>
      <c r="AR26" s="1" t="b">
        <f t="shared" si="19"/>
        <v>1</v>
      </c>
      <c r="AS26" s="1"/>
      <c r="AT26" s="1" t="b">
        <f t="shared" si="20"/>
        <v>1</v>
      </c>
      <c r="AU26" s="1" t="b">
        <f t="shared" si="21"/>
        <v>1</v>
      </c>
      <c r="AV26" s="1"/>
      <c r="AW26" s="1" t="b">
        <f t="shared" si="22"/>
        <v>1</v>
      </c>
      <c r="AX26" s="1" t="b">
        <f t="shared" si="23"/>
        <v>1</v>
      </c>
      <c r="AY26" s="1" t="b">
        <f t="shared" si="24"/>
        <v>1</v>
      </c>
      <c r="BA26">
        <f t="shared" si="25"/>
        <v>2012</v>
      </c>
      <c r="BB26" s="2">
        <f t="shared" si="43"/>
        <v>19454.492252126027</v>
      </c>
      <c r="BC26" s="2"/>
      <c r="BD26" s="2">
        <f t="shared" si="44"/>
        <v>18582.17626846251</v>
      </c>
      <c r="BE26" s="2">
        <f t="shared" si="44"/>
        <v>8263.5174515538893</v>
      </c>
      <c r="BF26" s="2"/>
      <c r="BG26" s="2">
        <f t="shared" si="45"/>
        <v>16274.447160759497</v>
      </c>
      <c r="BH26" s="2">
        <f t="shared" si="45"/>
        <v>28729.10682582243</v>
      </c>
      <c r="BI26" s="2">
        <f t="shared" si="28"/>
        <v>91303.739958724356</v>
      </c>
      <c r="BJ26" s="2">
        <f t="shared" si="29"/>
        <v>0</v>
      </c>
      <c r="BK26" s="2"/>
    </row>
    <row r="27" spans="1:63" x14ac:dyDescent="0.25">
      <c r="A27">
        <f t="shared" si="8"/>
        <v>2013</v>
      </c>
      <c r="B27" s="2">
        <f t="shared" si="37"/>
        <v>25714.947858860185</v>
      </c>
      <c r="C27" s="2"/>
      <c r="D27" s="2">
        <f t="shared" si="38"/>
        <v>25085.937962424392</v>
      </c>
      <c r="E27" s="2">
        <f t="shared" si="38"/>
        <v>11372.252716828461</v>
      </c>
      <c r="F27" s="2"/>
      <c r="G27" s="2">
        <f t="shared" si="39"/>
        <v>18722.124013737724</v>
      </c>
      <c r="H27" s="2">
        <f t="shared" si="39"/>
        <v>28079.829011558842</v>
      </c>
      <c r="I27" s="2">
        <f t="shared" ref="I27:I28" si="47">SUM(B27:H27)</f>
        <v>108975.0915634096</v>
      </c>
      <c r="J27" s="2">
        <f t="shared" si="31"/>
        <v>12380.167663001921</v>
      </c>
      <c r="K27" s="6">
        <f t="shared" si="32"/>
        <v>0.12816582034648377</v>
      </c>
      <c r="L27" s="7">
        <f t="shared" si="9"/>
        <v>1.1281658203464837</v>
      </c>
      <c r="N27">
        <f t="shared" si="10"/>
        <v>2013</v>
      </c>
      <c r="O27" s="2">
        <f t="shared" si="33"/>
        <v>5352.3284244283468</v>
      </c>
      <c r="P27" s="2"/>
      <c r="Q27" s="2"/>
      <c r="R27">
        <f t="shared" si="5"/>
        <v>2013</v>
      </c>
      <c r="S27" s="2">
        <f t="shared" si="11"/>
        <v>24644.482173974517</v>
      </c>
      <c r="T27" s="2"/>
      <c r="U27" s="2">
        <f t="shared" si="12"/>
        <v>24015.472277538724</v>
      </c>
      <c r="V27" s="2">
        <f t="shared" si="12"/>
        <v>10301.787031942793</v>
      </c>
      <c r="W27" s="2"/>
      <c r="X27" s="2">
        <f t="shared" si="13"/>
        <v>17651.658328852056</v>
      </c>
      <c r="Y27" s="2">
        <f t="shared" si="13"/>
        <v>27009.363326673174</v>
      </c>
      <c r="Z27" s="2">
        <f t="shared" si="14"/>
        <v>103622.76313898126</v>
      </c>
      <c r="AA27" s="2">
        <f t="shared" si="34"/>
        <v>12319.023180256903</v>
      </c>
      <c r="AB27" s="6">
        <f t="shared" si="35"/>
        <v>0.13492353309761418</v>
      </c>
      <c r="AC27" s="7">
        <f t="shared" si="15"/>
        <v>1.1349235330976142</v>
      </c>
      <c r="AD27" s="2">
        <f t="shared" si="16"/>
        <v>0</v>
      </c>
      <c r="AE27" s="2"/>
      <c r="AG27">
        <f t="shared" si="17"/>
        <v>2013</v>
      </c>
      <c r="AH27" s="6">
        <f t="shared" si="7"/>
        <v>0.23782884597393686</v>
      </c>
      <c r="AI27" s="6"/>
      <c r="AJ27" s="6">
        <f t="shared" si="7"/>
        <v>0.23175865562790113</v>
      </c>
      <c r="AK27" s="6">
        <f t="shared" si="7"/>
        <v>9.941625488335798E-2</v>
      </c>
      <c r="AL27" s="7"/>
      <c r="AM27" s="6">
        <f t="shared" si="7"/>
        <v>0.17034537387482362</v>
      </c>
      <c r="AN27" s="6">
        <f t="shared" si="7"/>
        <v>0.26065086963998041</v>
      </c>
      <c r="AO27" s="20">
        <f t="shared" si="46"/>
        <v>1</v>
      </c>
      <c r="AP27" s="22"/>
      <c r="AQ27">
        <f t="shared" si="18"/>
        <v>2013</v>
      </c>
      <c r="AR27" s="1" t="b">
        <f t="shared" si="19"/>
        <v>1</v>
      </c>
      <c r="AS27" s="1"/>
      <c r="AT27" s="1" t="b">
        <f t="shared" si="20"/>
        <v>1</v>
      </c>
      <c r="AU27" s="1" t="b">
        <f t="shared" si="21"/>
        <v>1</v>
      </c>
      <c r="AV27" s="1"/>
      <c r="AW27" s="1" t="b">
        <f t="shared" si="22"/>
        <v>1</v>
      </c>
      <c r="AX27" s="1" t="b">
        <f t="shared" si="23"/>
        <v>1</v>
      </c>
      <c r="AY27" s="1" t="b">
        <f t="shared" si="24"/>
        <v>1</v>
      </c>
      <c r="BA27">
        <f t="shared" si="25"/>
        <v>2013</v>
      </c>
      <c r="BB27" s="2">
        <f t="shared" si="43"/>
        <v>24644.482173974517</v>
      </c>
      <c r="BC27" s="2"/>
      <c r="BD27" s="2">
        <f t="shared" si="44"/>
        <v>24015.472277538724</v>
      </c>
      <c r="BE27" s="2">
        <f t="shared" si="44"/>
        <v>10301.787031942793</v>
      </c>
      <c r="BF27" s="2"/>
      <c r="BG27" s="2">
        <f t="shared" si="45"/>
        <v>17651.658328852056</v>
      </c>
      <c r="BH27" s="2">
        <f t="shared" si="45"/>
        <v>27009.363326673174</v>
      </c>
      <c r="BI27" s="2">
        <f t="shared" si="28"/>
        <v>103622.76313898126</v>
      </c>
      <c r="BJ27" s="2">
        <f t="shared" si="29"/>
        <v>0</v>
      </c>
      <c r="BK27" s="2"/>
    </row>
    <row r="28" spans="1:63" x14ac:dyDescent="0.25">
      <c r="A28">
        <f t="shared" si="8"/>
        <v>2014</v>
      </c>
      <c r="B28" s="2">
        <f t="shared" si="37"/>
        <v>27973.951715678475</v>
      </c>
      <c r="C28" s="2"/>
      <c r="D28" s="2">
        <f t="shared" si="38"/>
        <v>27281.576507283993</v>
      </c>
      <c r="E28" s="2">
        <f t="shared" si="38"/>
        <v>11061.028736196979</v>
      </c>
      <c r="F28" s="2"/>
      <c r="G28" s="2">
        <f t="shared" si="39"/>
        <v>16903.22801570873</v>
      </c>
      <c r="H28" s="2">
        <f t="shared" si="39"/>
        <v>28565.102654289552</v>
      </c>
      <c r="I28" s="2">
        <f t="shared" si="47"/>
        <v>111784.88762915773</v>
      </c>
      <c r="J28" s="2">
        <f t="shared" si="31"/>
        <v>2809.7960657481308</v>
      </c>
      <c r="K28" s="6">
        <f t="shared" si="32"/>
        <v>2.5783837622317462E-2</v>
      </c>
      <c r="L28" s="7">
        <f t="shared" si="9"/>
        <v>1.0257838376223174</v>
      </c>
      <c r="N28">
        <f t="shared" si="10"/>
        <v>2014</v>
      </c>
      <c r="O28" s="2">
        <f t="shared" si="33"/>
        <v>5421.3734611034724</v>
      </c>
      <c r="P28" s="2"/>
      <c r="Q28" s="2"/>
      <c r="R28">
        <f t="shared" si="5"/>
        <v>2014</v>
      </c>
      <c r="S28" s="2">
        <f t="shared" si="11"/>
        <v>26889.677023457782</v>
      </c>
      <c r="T28" s="2"/>
      <c r="U28" s="2">
        <f t="shared" si="12"/>
        <v>26197.3018150633</v>
      </c>
      <c r="V28" s="2">
        <f t="shared" si="12"/>
        <v>9976.7540439762834</v>
      </c>
      <c r="W28" s="2"/>
      <c r="X28" s="2">
        <f t="shared" si="13"/>
        <v>15818.953323488035</v>
      </c>
      <c r="Y28" s="2">
        <f t="shared" si="13"/>
        <v>27480.827962068859</v>
      </c>
      <c r="Z28" s="2">
        <f t="shared" si="14"/>
        <v>106363.51416805426</v>
      </c>
      <c r="AA28" s="2">
        <f t="shared" si="34"/>
        <v>2740.7510290729988</v>
      </c>
      <c r="AB28" s="6">
        <f t="shared" si="35"/>
        <v>2.644931428239411E-2</v>
      </c>
      <c r="AC28" s="7">
        <f t="shared" si="15"/>
        <v>1.0264493142823941</v>
      </c>
      <c r="AD28" s="2">
        <f t="shared" si="16"/>
        <v>0</v>
      </c>
      <c r="AE28" s="2"/>
      <c r="AG28">
        <f t="shared" si="17"/>
        <v>2014</v>
      </c>
      <c r="AH28" s="6">
        <f t="shared" si="7"/>
        <v>0.25280921971957521</v>
      </c>
      <c r="AI28" s="6"/>
      <c r="AJ28" s="6">
        <f t="shared" si="7"/>
        <v>0.24629970173485982</v>
      </c>
      <c r="AK28" s="6">
        <f t="shared" si="7"/>
        <v>9.3798650054124952E-2</v>
      </c>
      <c r="AL28" s="7"/>
      <c r="AM28" s="6">
        <f t="shared" si="7"/>
        <v>0.14872537304939082</v>
      </c>
      <c r="AN28" s="6">
        <f t="shared" si="7"/>
        <v>0.25836705544204919</v>
      </c>
      <c r="AO28" s="20">
        <f t="shared" si="46"/>
        <v>1</v>
      </c>
      <c r="AP28" s="22"/>
      <c r="AQ28">
        <f t="shared" si="18"/>
        <v>2014</v>
      </c>
      <c r="AR28" s="65" t="b">
        <f t="shared" si="19"/>
        <v>0</v>
      </c>
      <c r="AS28" s="1"/>
      <c r="AT28" s="1" t="b">
        <f t="shared" si="20"/>
        <v>1</v>
      </c>
      <c r="AU28" s="1" t="b">
        <f t="shared" si="21"/>
        <v>1</v>
      </c>
      <c r="AV28" s="1"/>
      <c r="AW28" s="65" t="b">
        <f t="shared" si="22"/>
        <v>0</v>
      </c>
      <c r="AX28" s="1" t="b">
        <f t="shared" si="23"/>
        <v>1</v>
      </c>
      <c r="AY28" s="1" t="b">
        <f t="shared" si="24"/>
        <v>1</v>
      </c>
      <c r="BA28">
        <f t="shared" si="25"/>
        <v>2014</v>
      </c>
      <c r="BB28" s="36">
        <f>BB$20*$Z28</f>
        <v>21272.702833610852</v>
      </c>
      <c r="BC28" s="2"/>
      <c r="BD28" s="36">
        <f>BD$20*$Z28</f>
        <v>21272.702833610852</v>
      </c>
      <c r="BE28" s="36">
        <f>BE$20*$Z28</f>
        <v>10636.351416805426</v>
      </c>
      <c r="BF28" s="2"/>
      <c r="BG28" s="36">
        <f>BG$20*$Z28</f>
        <v>21272.702833610852</v>
      </c>
      <c r="BH28" s="36">
        <f>BH$20*$Z28</f>
        <v>31909.054250416277</v>
      </c>
      <c r="BI28" s="2">
        <f t="shared" si="28"/>
        <v>106363.51416805426</v>
      </c>
      <c r="BJ28" s="2">
        <f t="shared" si="29"/>
        <v>0</v>
      </c>
      <c r="BK28" s="2"/>
    </row>
    <row r="29" spans="1:63" x14ac:dyDescent="0.25">
      <c r="A29">
        <f t="shared" si="8"/>
        <v>2015</v>
      </c>
      <c r="B29" s="2">
        <f t="shared" si="37"/>
        <v>21538.611619030988</v>
      </c>
      <c r="C29" s="2"/>
      <c r="D29" s="2">
        <f t="shared" ref="D29:E31" si="48">BD28*(1+(D12/100))</f>
        <v>20962.121372240133</v>
      </c>
      <c r="E29" s="2">
        <f t="shared" si="48"/>
        <v>10234.297333250181</v>
      </c>
      <c r="F29" s="2"/>
      <c r="G29" s="2">
        <f t="shared" ref="G29:H31" si="49">BG28*(1+(G12/100))</f>
        <v>20343.085719782059</v>
      </c>
      <c r="H29" s="2">
        <f t="shared" si="49"/>
        <v>32004.781413167522</v>
      </c>
      <c r="I29" s="2">
        <f t="shared" ref="I29:I31" si="50">SUM(B29:H29)</f>
        <v>105082.89745747088</v>
      </c>
      <c r="J29" s="2">
        <f t="shared" si="31"/>
        <v>-6701.990171686848</v>
      </c>
      <c r="K29" s="6">
        <f t="shared" si="32"/>
        <v>-5.9954349052265946E-2</v>
      </c>
      <c r="L29" s="7">
        <f t="shared" si="9"/>
        <v>0.94004565094773407</v>
      </c>
      <c r="N29">
        <f t="shared" si="10"/>
        <v>2015</v>
      </c>
      <c r="O29" s="2">
        <f t="shared" si="33"/>
        <v>5445.227504332327</v>
      </c>
      <c r="P29" s="2"/>
      <c r="Q29" s="2"/>
      <c r="R29">
        <f t="shared" si="5"/>
        <v>2015</v>
      </c>
      <c r="S29" s="2">
        <f t="shared" si="11"/>
        <v>20449.566118164523</v>
      </c>
      <c r="T29" s="2"/>
      <c r="U29" s="2">
        <f t="shared" si="12"/>
        <v>19873.075871373669</v>
      </c>
      <c r="V29" s="2">
        <f t="shared" si="12"/>
        <v>9145.2518323837157</v>
      </c>
      <c r="W29" s="2"/>
      <c r="X29" s="2">
        <f t="shared" si="13"/>
        <v>19254.040218915594</v>
      </c>
      <c r="Y29" s="2">
        <f t="shared" si="13"/>
        <v>30915.735912301057</v>
      </c>
      <c r="Z29" s="2">
        <f t="shared" si="14"/>
        <v>99637.669953138553</v>
      </c>
      <c r="AA29" s="2">
        <f t="shared" si="34"/>
        <v>-6725.8442149157054</v>
      </c>
      <c r="AB29" s="6">
        <f t="shared" si="35"/>
        <v>-6.3234505436599975E-2</v>
      </c>
      <c r="AC29" s="7">
        <f t="shared" si="15"/>
        <v>0.93676549456340008</v>
      </c>
      <c r="AD29" s="2">
        <f t="shared" si="16"/>
        <v>0</v>
      </c>
      <c r="AE29" s="2"/>
      <c r="AG29">
        <f t="shared" si="17"/>
        <v>2015</v>
      </c>
      <c r="AH29" s="6">
        <f t="shared" si="7"/>
        <v>0.20523930485109029</v>
      </c>
      <c r="AI29" s="6"/>
      <c r="AJ29" s="6">
        <f t="shared" si="7"/>
        <v>0.19945343845074204</v>
      </c>
      <c r="AK29" s="6">
        <f t="shared" si="7"/>
        <v>9.1785083259021391E-2</v>
      </c>
      <c r="AL29" s="7"/>
      <c r="AM29" s="6">
        <f t="shared" si="7"/>
        <v>0.19324057084003596</v>
      </c>
      <c r="AN29" s="6">
        <f t="shared" si="7"/>
        <v>0.31028160259911036</v>
      </c>
      <c r="AO29" s="20">
        <f t="shared" si="46"/>
        <v>1</v>
      </c>
      <c r="AP29" s="22"/>
      <c r="AQ29">
        <f t="shared" si="18"/>
        <v>2015</v>
      </c>
      <c r="AR29" s="1" t="b">
        <f t="shared" si="19"/>
        <v>1</v>
      </c>
      <c r="AS29" s="1"/>
      <c r="AT29" s="1" t="b">
        <f t="shared" si="20"/>
        <v>1</v>
      </c>
      <c r="AU29" s="1" t="b">
        <f t="shared" si="21"/>
        <v>1</v>
      </c>
      <c r="AV29" s="1"/>
      <c r="AW29" s="1" t="b">
        <f t="shared" si="22"/>
        <v>1</v>
      </c>
      <c r="AX29" s="1" t="b">
        <f t="shared" si="23"/>
        <v>1</v>
      </c>
      <c r="AY29" s="1" t="b">
        <f t="shared" si="24"/>
        <v>1</v>
      </c>
      <c r="BA29">
        <f t="shared" si="25"/>
        <v>2015</v>
      </c>
      <c r="BB29" s="2">
        <f t="shared" ref="BB29:BB31" si="51">S29</f>
        <v>20449.566118164523</v>
      </c>
      <c r="BC29" s="2"/>
      <c r="BD29" s="2">
        <f t="shared" ref="BD29:BE31" si="52">U29</f>
        <v>19873.075871373669</v>
      </c>
      <c r="BE29" s="2">
        <f t="shared" si="52"/>
        <v>9145.2518323837157</v>
      </c>
      <c r="BF29" s="2"/>
      <c r="BG29" s="2">
        <f t="shared" ref="BG29:BH31" si="53">X29</f>
        <v>19254.040218915594</v>
      </c>
      <c r="BH29" s="2">
        <f t="shared" si="53"/>
        <v>30915.735912301057</v>
      </c>
      <c r="BI29" s="2">
        <f t="shared" si="28"/>
        <v>99637.669953138553</v>
      </c>
      <c r="BJ29" s="2">
        <f t="shared" si="29"/>
        <v>0</v>
      </c>
      <c r="BK29" s="2"/>
    </row>
    <row r="30" spans="1:63" x14ac:dyDescent="0.25">
      <c r="A30">
        <f t="shared" ref="A30:A31" si="54">A13</f>
        <v>2016</v>
      </c>
      <c r="B30" s="2">
        <f t="shared" ref="B30:B31" si="55">BB29*(1+(B13/100))</f>
        <v>22866.704833331572</v>
      </c>
      <c r="C30" s="2"/>
      <c r="D30" s="2">
        <f t="shared" si="48"/>
        <v>22073.025370334733</v>
      </c>
      <c r="E30" s="2">
        <f t="shared" si="48"/>
        <v>10806.944090327837</v>
      </c>
      <c r="F30" s="2"/>
      <c r="G30" s="2">
        <f t="shared" si="49"/>
        <v>20149.35308909517</v>
      </c>
      <c r="H30" s="2">
        <f t="shared" si="49"/>
        <v>31688.629310108579</v>
      </c>
      <c r="I30" s="2">
        <f t="shared" si="50"/>
        <v>107584.65669319789</v>
      </c>
      <c r="J30" s="2">
        <f t="shared" si="31"/>
        <v>2501.7592357270041</v>
      </c>
      <c r="K30" s="6">
        <f t="shared" si="32"/>
        <v>2.3807482437753633E-2</v>
      </c>
      <c r="L30" s="7">
        <f t="shared" si="9"/>
        <v>1.0238074824377537</v>
      </c>
      <c r="N30">
        <f t="shared" si="10"/>
        <v>2016</v>
      </c>
      <c r="O30" s="2">
        <f t="shared" ref="O30:O31" si="56">O29*(1+O13)</f>
        <v>5537.7963719059762</v>
      </c>
      <c r="P30" s="2"/>
      <c r="Q30" s="2"/>
      <c r="R30">
        <f t="shared" si="5"/>
        <v>2016</v>
      </c>
      <c r="S30" s="2">
        <f t="shared" si="11"/>
        <v>21759.145558950378</v>
      </c>
      <c r="T30" s="2"/>
      <c r="U30" s="2">
        <f t="shared" si="12"/>
        <v>20965.466095953539</v>
      </c>
      <c r="V30" s="2">
        <f t="shared" si="12"/>
        <v>9699.3848159466415</v>
      </c>
      <c r="W30" s="2"/>
      <c r="X30" s="2">
        <f t="shared" si="13"/>
        <v>19041.793814713976</v>
      </c>
      <c r="Y30" s="2">
        <f t="shared" si="13"/>
        <v>30581.070035727385</v>
      </c>
      <c r="Z30" s="2">
        <f t="shared" si="14"/>
        <v>102046.86032129193</v>
      </c>
      <c r="AA30" s="2">
        <f t="shared" si="34"/>
        <v>2409.1903681533731</v>
      </c>
      <c r="AB30" s="6">
        <f t="shared" si="35"/>
        <v>2.4179513323489599E-2</v>
      </c>
      <c r="AC30" s="7">
        <f t="shared" si="15"/>
        <v>1.0241795133234897</v>
      </c>
      <c r="AD30" s="2">
        <f t="shared" si="16"/>
        <v>0</v>
      </c>
      <c r="AE30" s="2"/>
      <c r="AG30">
        <f t="shared" si="17"/>
        <v>2016</v>
      </c>
      <c r="AH30" s="6">
        <f t="shared" si="7"/>
        <v>0.21322699679776788</v>
      </c>
      <c r="AI30" s="6"/>
      <c r="AJ30" s="6">
        <f t="shared" si="7"/>
        <v>0.20544939873646584</v>
      </c>
      <c r="AK30" s="6">
        <f t="shared" si="7"/>
        <v>9.5048341373839204E-2</v>
      </c>
      <c r="AL30" s="7"/>
      <c r="AM30" s="6">
        <f t="shared" si="7"/>
        <v>0.18659852693910794</v>
      </c>
      <c r="AN30" s="6">
        <f t="shared" si="7"/>
        <v>0.29967673615281909</v>
      </c>
      <c r="AO30" s="20">
        <f t="shared" si="46"/>
        <v>1</v>
      </c>
      <c r="AP30" s="22"/>
      <c r="AQ30">
        <f t="shared" si="18"/>
        <v>2016</v>
      </c>
      <c r="AR30" s="1" t="b">
        <f t="shared" si="19"/>
        <v>1</v>
      </c>
      <c r="AS30" s="1"/>
      <c r="AT30" s="1" t="b">
        <f t="shared" si="20"/>
        <v>1</v>
      </c>
      <c r="AU30" s="1" t="b">
        <f t="shared" si="21"/>
        <v>1</v>
      </c>
      <c r="AV30" s="1"/>
      <c r="AW30" s="1" t="b">
        <f t="shared" si="22"/>
        <v>1</v>
      </c>
      <c r="AX30" s="1" t="b">
        <f t="shared" si="23"/>
        <v>1</v>
      </c>
      <c r="AY30" s="1" t="b">
        <f t="shared" si="24"/>
        <v>1</v>
      </c>
      <c r="BA30">
        <f t="shared" si="25"/>
        <v>2016</v>
      </c>
      <c r="BB30" s="2">
        <f t="shared" si="51"/>
        <v>21759.145558950378</v>
      </c>
      <c r="BC30" s="2"/>
      <c r="BD30" s="2">
        <f t="shared" si="52"/>
        <v>20965.466095953539</v>
      </c>
      <c r="BE30" s="2">
        <f t="shared" si="52"/>
        <v>9699.3848159466415</v>
      </c>
      <c r="BF30" s="2"/>
      <c r="BG30" s="2">
        <f t="shared" si="53"/>
        <v>19041.793814713976</v>
      </c>
      <c r="BH30" s="2">
        <f t="shared" si="53"/>
        <v>30581.070035727385</v>
      </c>
      <c r="BI30" s="2">
        <f t="shared" si="28"/>
        <v>102046.86032129193</v>
      </c>
      <c r="BJ30" s="2">
        <f t="shared" si="29"/>
        <v>0</v>
      </c>
      <c r="BK30" s="2"/>
    </row>
    <row r="31" spans="1:63" x14ac:dyDescent="0.25">
      <c r="A31">
        <f t="shared" si="54"/>
        <v>2017</v>
      </c>
      <c r="B31" s="2">
        <f t="shared" si="55"/>
        <v>26474.352401574924</v>
      </c>
      <c r="C31" s="2"/>
      <c r="D31" s="2">
        <f t="shared" si="48"/>
        <v>25074.697450760432</v>
      </c>
      <c r="E31" s="2">
        <f t="shared" si="48"/>
        <v>11260.985771314052</v>
      </c>
      <c r="F31" s="2"/>
      <c r="G31" s="2">
        <f t="shared" si="49"/>
        <v>24259.245319945607</v>
      </c>
      <c r="H31" s="2">
        <f t="shared" si="49"/>
        <v>31639.175058963552</v>
      </c>
      <c r="I31" s="2">
        <f t="shared" si="50"/>
        <v>118708.45600255857</v>
      </c>
      <c r="J31" s="2">
        <f t="shared" si="31"/>
        <v>11123.799309360678</v>
      </c>
      <c r="K31" s="6">
        <f t="shared" si="32"/>
        <v>0.1033957782761042</v>
      </c>
      <c r="L31" s="7">
        <f t="shared" si="9"/>
        <v>1.1033957782761041</v>
      </c>
      <c r="N31">
        <f t="shared" si="10"/>
        <v>2017</v>
      </c>
      <c r="O31" s="2">
        <f t="shared" si="56"/>
        <v>5661.2892309994795</v>
      </c>
      <c r="P31" s="2"/>
      <c r="Q31" s="2"/>
      <c r="R31">
        <f t="shared" si="5"/>
        <v>2017</v>
      </c>
      <c r="S31" s="2">
        <f t="shared" si="11"/>
        <v>25342.094555375028</v>
      </c>
      <c r="T31" s="2"/>
      <c r="U31" s="2">
        <f t="shared" si="12"/>
        <v>23942.439604560535</v>
      </c>
      <c r="V31" s="2">
        <f t="shared" si="12"/>
        <v>10128.727925114155</v>
      </c>
      <c r="W31" s="2"/>
      <c r="X31" s="2">
        <f t="shared" si="13"/>
        <v>23126.98747374571</v>
      </c>
      <c r="Y31" s="2">
        <f t="shared" si="13"/>
        <v>30506.917212763656</v>
      </c>
      <c r="Z31" s="2">
        <f t="shared" si="14"/>
        <v>113047.16677155909</v>
      </c>
      <c r="AA31" s="2">
        <f t="shared" si="34"/>
        <v>11000.306450267162</v>
      </c>
      <c r="AB31" s="6">
        <f t="shared" si="35"/>
        <v>0.10779661829509482</v>
      </c>
      <c r="AC31" s="7">
        <f t="shared" si="15"/>
        <v>1.1077966182950949</v>
      </c>
      <c r="AD31" s="2">
        <f t="shared" si="16"/>
        <v>0</v>
      </c>
      <c r="AE31" s="2"/>
      <c r="AG31">
        <f t="shared" si="17"/>
        <v>2017</v>
      </c>
      <c r="AH31" s="6">
        <f t="shared" si="7"/>
        <v>0.22417275265805869</v>
      </c>
      <c r="AI31" s="6"/>
      <c r="AJ31" s="6">
        <f t="shared" si="7"/>
        <v>0.21179159361810809</v>
      </c>
      <c r="AK31" s="6">
        <f t="shared" si="7"/>
        <v>8.9597362007151043E-2</v>
      </c>
      <c r="AL31" s="7"/>
      <c r="AM31" s="6">
        <f t="shared" si="7"/>
        <v>0.2045782139810699</v>
      </c>
      <c r="AN31" s="6">
        <f t="shared" si="7"/>
        <v>0.26986007773561221</v>
      </c>
      <c r="AO31" s="20">
        <f t="shared" si="46"/>
        <v>1</v>
      </c>
      <c r="AP31" s="22"/>
      <c r="AQ31">
        <f t="shared" si="18"/>
        <v>2017</v>
      </c>
      <c r="AR31" s="1" t="b">
        <f t="shared" si="19"/>
        <v>1</v>
      </c>
      <c r="AS31" s="1"/>
      <c r="AT31" s="1" t="b">
        <f t="shared" si="20"/>
        <v>1</v>
      </c>
      <c r="AU31" s="1" t="b">
        <f t="shared" si="21"/>
        <v>1</v>
      </c>
      <c r="AV31" s="1"/>
      <c r="AW31" s="1" t="b">
        <f t="shared" si="22"/>
        <v>1</v>
      </c>
      <c r="AX31" s="1" t="b">
        <f t="shared" si="23"/>
        <v>1</v>
      </c>
      <c r="AY31" s="1" t="b">
        <f t="shared" si="24"/>
        <v>1</v>
      </c>
      <c r="BA31">
        <f t="shared" si="25"/>
        <v>2017</v>
      </c>
      <c r="BB31" s="2">
        <f t="shared" si="51"/>
        <v>25342.094555375028</v>
      </c>
      <c r="BC31" s="2"/>
      <c r="BD31" s="2">
        <f t="shared" si="52"/>
        <v>23942.439604560535</v>
      </c>
      <c r="BE31" s="2">
        <f t="shared" si="52"/>
        <v>10128.727925114155</v>
      </c>
      <c r="BF31" s="2"/>
      <c r="BG31" s="2">
        <f t="shared" si="53"/>
        <v>23126.98747374571</v>
      </c>
      <c r="BH31" s="2">
        <f t="shared" si="53"/>
        <v>30506.917212763656</v>
      </c>
      <c r="BI31" s="2">
        <f t="shared" si="28"/>
        <v>113047.16677155909</v>
      </c>
      <c r="BJ31" s="2">
        <f t="shared" si="29"/>
        <v>0</v>
      </c>
      <c r="BK31" s="2"/>
    </row>
    <row r="32" spans="1:63" x14ac:dyDescent="0.25">
      <c r="A32" s="9" t="s">
        <v>46</v>
      </c>
      <c r="B32" s="10">
        <f>BB31</f>
        <v>25342.094555375028</v>
      </c>
      <c r="C32" s="10"/>
      <c r="D32" s="10">
        <f>BD31</f>
        <v>23942.439604560535</v>
      </c>
      <c r="E32" s="10">
        <f>BE31</f>
        <v>10128.727925114155</v>
      </c>
      <c r="F32" s="10"/>
      <c r="G32" s="10">
        <f>BG31</f>
        <v>23126.98747374571</v>
      </c>
      <c r="H32" s="10">
        <f>BH31</f>
        <v>30506.917212763656</v>
      </c>
      <c r="I32" s="10">
        <f t="shared" si="6"/>
        <v>113047.16677155909</v>
      </c>
      <c r="J32" s="10"/>
      <c r="K32" s="10"/>
      <c r="N32" t="s">
        <v>77</v>
      </c>
      <c r="O32" s="2">
        <f>O28</f>
        <v>5421.3734611034724</v>
      </c>
      <c r="P32" s="2"/>
      <c r="R32" s="9" t="s">
        <v>46</v>
      </c>
      <c r="S32" s="10">
        <f>S31</f>
        <v>25342.094555375028</v>
      </c>
      <c r="T32" s="10"/>
      <c r="U32" s="10">
        <f>U31</f>
        <v>23942.439604560535</v>
      </c>
      <c r="V32" s="10">
        <f>V31</f>
        <v>10128.727925114155</v>
      </c>
      <c r="W32" s="10"/>
      <c r="X32" s="10">
        <f>X31</f>
        <v>23126.98747374571</v>
      </c>
      <c r="Y32" s="10">
        <f>Y31</f>
        <v>30506.917212763656</v>
      </c>
      <c r="Z32" s="10">
        <f>Z31</f>
        <v>113047.16677155909</v>
      </c>
      <c r="AA32" s="10"/>
      <c r="AB32" s="10"/>
      <c r="AD32" s="40"/>
      <c r="AE32" s="40"/>
      <c r="AK32" s="7"/>
    </row>
    <row r="33" spans="1:28" x14ac:dyDescent="0.25">
      <c r="A33" s="11" t="s">
        <v>92</v>
      </c>
      <c r="I33" s="6">
        <f>(Z32-Z20)/Z20</f>
        <v>0.13047166771559088</v>
      </c>
      <c r="K33" s="6"/>
      <c r="N33" t="s">
        <v>38</v>
      </c>
      <c r="O33" s="2">
        <f>SUM(O21:O31)</f>
        <v>57611.670605672363</v>
      </c>
      <c r="P33" s="2"/>
      <c r="AB33" s="6"/>
    </row>
    <row r="34" spans="1:28" x14ac:dyDescent="0.25">
      <c r="A34" s="1" t="s">
        <v>93</v>
      </c>
      <c r="I34" s="12">
        <f>STDEV(AC21:AC31)</f>
        <v>0.13541319897759535</v>
      </c>
    </row>
    <row r="35" spans="1:28" x14ac:dyDescent="0.25">
      <c r="A35" s="1" t="s">
        <v>94</v>
      </c>
      <c r="I35" s="13">
        <f>((1+I33)^(1/I42))-1</f>
        <v>1.1211009470333932E-2</v>
      </c>
    </row>
    <row r="36" spans="1:28" x14ac:dyDescent="0.25">
      <c r="A36" s="1" t="s">
        <v>50</v>
      </c>
      <c r="I36" s="27">
        <f>AA22</f>
        <v>-32239.974591329999</v>
      </c>
      <c r="O36" s="2"/>
      <c r="P36" s="2"/>
    </row>
    <row r="37" spans="1:28" x14ac:dyDescent="0.25">
      <c r="A37" s="1" t="s">
        <v>51</v>
      </c>
      <c r="I37" s="28">
        <f>AB22</f>
        <v>-0.31381019293618734</v>
      </c>
    </row>
    <row r="38" spans="1:28" x14ac:dyDescent="0.25">
      <c r="A38" s="1" t="s">
        <v>79</v>
      </c>
      <c r="I38" s="2">
        <f>O33</f>
        <v>57611.670605672363</v>
      </c>
    </row>
    <row r="39" spans="1:28" x14ac:dyDescent="0.25">
      <c r="A39" s="3" t="s">
        <v>52</v>
      </c>
      <c r="I39" s="29">
        <f>I32-Z31</f>
        <v>0</v>
      </c>
    </row>
    <row r="40" spans="1:28" x14ac:dyDescent="0.25">
      <c r="A40" s="3" t="s">
        <v>141</v>
      </c>
      <c r="I40" s="29">
        <f>((SUM(AA21:AA31)))-(I32-I20)</f>
        <v>0</v>
      </c>
    </row>
    <row r="41" spans="1:28" x14ac:dyDescent="0.25">
      <c r="A41" s="3" t="s">
        <v>142</v>
      </c>
      <c r="I41" s="29">
        <f>(SUM(O21:O31))-I38</f>
        <v>0</v>
      </c>
    </row>
    <row r="42" spans="1:28" x14ac:dyDescent="0.25">
      <c r="A42" s="3" t="s">
        <v>146</v>
      </c>
      <c r="I42" s="3">
        <f>COUNTA(I21:I31)</f>
        <v>11</v>
      </c>
    </row>
    <row r="44" spans="1:28" x14ac:dyDescent="0.25">
      <c r="B44" s="2"/>
      <c r="D44" s="2"/>
      <c r="E44" s="2"/>
      <c r="G44" s="2"/>
      <c r="H44" s="2"/>
      <c r="I44" s="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15AB-A6D3-424C-A578-5538226A6CAB}">
  <dimension ref="A1:BX42"/>
  <sheetViews>
    <sheetView topLeftCell="A7" zoomScaleNormal="100" workbookViewId="0">
      <selection activeCell="V27" sqref="V27"/>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5" max="26" width="10.85546875" bestFit="1" customWidth="1"/>
    <col min="27" max="31" width="10.85546875" customWidth="1"/>
    <col min="44" max="44" width="10.85546875" bestFit="1" customWidth="1"/>
    <col min="51" max="51" width="9.28515625" bestFit="1" customWidth="1"/>
  </cols>
  <sheetData>
    <row r="1" spans="1:16" x14ac:dyDescent="0.25">
      <c r="A1" s="18" t="s">
        <v>19</v>
      </c>
      <c r="N1" s="18" t="s">
        <v>138</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6"/>
      <c r="O2" s="47"/>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6"/>
      <c r="O3" s="47"/>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7" spans="1:76" x14ac:dyDescent="0.25">
      <c r="A17" s="18" t="s">
        <v>106</v>
      </c>
      <c r="N17" s="18" t="s">
        <v>66</v>
      </c>
      <c r="R17" s="18" t="s">
        <v>108</v>
      </c>
      <c r="AG17" s="18" t="s">
        <v>109</v>
      </c>
      <c r="AQ17" s="18" t="s">
        <v>90</v>
      </c>
      <c r="BB17" s="18"/>
    </row>
    <row r="18" spans="1:76" x14ac:dyDescent="0.25">
      <c r="B18" s="4" t="str">
        <f t="shared" ref="B18:H19" si="0">B2</f>
        <v>LC Stocks</v>
      </c>
      <c r="C18" s="4" t="str">
        <f t="shared" si="0"/>
        <v>Ext Mkt</v>
      </c>
      <c r="D18" s="4" t="str">
        <f t="shared" si="0"/>
        <v>Mcap Stk</v>
      </c>
      <c r="E18" s="4" t="str">
        <f t="shared" si="0"/>
        <v>Small Cap</v>
      </c>
      <c r="F18" s="4" t="str">
        <f t="shared" si="0"/>
        <v>Intl Val</v>
      </c>
      <c r="G18" s="4" t="str">
        <f t="shared" si="0"/>
        <v>Tot Int Stk</v>
      </c>
      <c r="H18" s="4" t="str">
        <f t="shared" si="0"/>
        <v>Bonds</v>
      </c>
      <c r="I18" s="5"/>
      <c r="J18" s="5" t="s">
        <v>44</v>
      </c>
      <c r="K18" s="5" t="s">
        <v>41</v>
      </c>
      <c r="L18" s="5" t="s">
        <v>42</v>
      </c>
      <c r="O18" s="66">
        <v>4.4999999999999998E-2</v>
      </c>
      <c r="S18" s="4" t="str">
        <f t="shared" ref="S18:Z20" si="1">B18</f>
        <v>LC Stocks</v>
      </c>
      <c r="T18" s="4" t="str">
        <f t="shared" si="1"/>
        <v>Ext Mkt</v>
      </c>
      <c r="U18" s="4" t="str">
        <f t="shared" si="1"/>
        <v>Mcap Stk</v>
      </c>
      <c r="V18" s="4" t="str">
        <f t="shared" si="1"/>
        <v>Small Cap</v>
      </c>
      <c r="W18" s="4" t="str">
        <f t="shared" si="1"/>
        <v>Intl Val</v>
      </c>
      <c r="X18" s="4" t="str">
        <f t="shared" si="1"/>
        <v>Tot Int Stk</v>
      </c>
      <c r="Y18" s="4" t="str">
        <f t="shared" si="1"/>
        <v>Bonds</v>
      </c>
      <c r="Z18" s="5"/>
      <c r="AA18" s="5" t="s">
        <v>44</v>
      </c>
      <c r="AB18" s="5" t="s">
        <v>41</v>
      </c>
      <c r="AC18" s="5" t="s">
        <v>42</v>
      </c>
      <c r="AD18" s="5" t="s">
        <v>56</v>
      </c>
      <c r="AE18" s="5"/>
      <c r="AH18" s="4" t="str">
        <f t="shared" ref="AH18:AN19" si="2">B18</f>
        <v>LC Stocks</v>
      </c>
      <c r="AI18" s="4" t="str">
        <f t="shared" si="2"/>
        <v>Ext Mkt</v>
      </c>
      <c r="AJ18" s="4" t="str">
        <f t="shared" si="2"/>
        <v>Mcap Stk</v>
      </c>
      <c r="AK18" s="4" t="str">
        <f t="shared" si="2"/>
        <v>Small Cap</v>
      </c>
      <c r="AL18" s="4" t="str">
        <f t="shared" si="2"/>
        <v>Intl Val</v>
      </c>
      <c r="AM18" s="4" t="str">
        <f t="shared" si="2"/>
        <v>Tot Int Stk</v>
      </c>
      <c r="AN18" s="4" t="str">
        <f t="shared" si="2"/>
        <v>Bonds</v>
      </c>
      <c r="AO18" s="5"/>
      <c r="AR18" s="4" t="str">
        <f>AH18</f>
        <v>LC Stocks</v>
      </c>
      <c r="AS18" s="4" t="str">
        <f t="shared" ref="AS18:AY19" si="3">AI18</f>
        <v>Ext Mkt</v>
      </c>
      <c r="AT18" s="4" t="str">
        <f t="shared" si="3"/>
        <v>Mcap Stk</v>
      </c>
      <c r="AU18" s="4" t="str">
        <f t="shared" si="3"/>
        <v>Small Cap</v>
      </c>
      <c r="AV18" s="4" t="str">
        <f t="shared" si="3"/>
        <v>Intl Val</v>
      </c>
      <c r="AW18" s="4" t="str">
        <f t="shared" si="3"/>
        <v>Tot Int Stk</v>
      </c>
      <c r="AX18" s="4" t="str">
        <f t="shared" si="3"/>
        <v>Bonds</v>
      </c>
      <c r="AY18" s="4"/>
      <c r="AZ18" t="s">
        <v>56</v>
      </c>
    </row>
    <row r="19" spans="1:76" x14ac:dyDescent="0.25">
      <c r="A19" t="s">
        <v>40</v>
      </c>
      <c r="B19" s="4" t="str">
        <f t="shared" si="0"/>
        <v>VFINX</v>
      </c>
      <c r="C19" s="4" t="str">
        <f t="shared" si="0"/>
        <v>VEXMX</v>
      </c>
      <c r="D19" s="4" t="str">
        <f t="shared" si="0"/>
        <v>VIMSX</v>
      </c>
      <c r="E19" s="4" t="str">
        <f t="shared" si="0"/>
        <v>NAESX</v>
      </c>
      <c r="F19" s="4" t="str">
        <f t="shared" si="0"/>
        <v>VTRIX</v>
      </c>
      <c r="G19" s="4" t="str">
        <f t="shared" si="0"/>
        <v>VGTSX</v>
      </c>
      <c r="H19" s="4" t="str">
        <f t="shared" si="0"/>
        <v>VBMFX</v>
      </c>
      <c r="I19" s="5" t="s">
        <v>38</v>
      </c>
      <c r="J19" s="5" t="s">
        <v>45</v>
      </c>
      <c r="K19" s="5" t="s">
        <v>43</v>
      </c>
      <c r="L19" s="5" t="s">
        <v>43</v>
      </c>
      <c r="R19" t="str">
        <f>A19</f>
        <v>Fund</v>
      </c>
      <c r="S19" s="4" t="str">
        <f t="shared" si="1"/>
        <v>VFINX</v>
      </c>
      <c r="T19" s="4" t="str">
        <f t="shared" si="1"/>
        <v>VEXMX</v>
      </c>
      <c r="U19" s="4" t="str">
        <f t="shared" si="1"/>
        <v>VIMSX</v>
      </c>
      <c r="V19" s="4" t="str">
        <f t="shared" si="1"/>
        <v>NAESX</v>
      </c>
      <c r="W19" s="4" t="str">
        <f t="shared" si="1"/>
        <v>VTRIX</v>
      </c>
      <c r="X19" s="4" t="str">
        <f t="shared" si="1"/>
        <v>VGTSX</v>
      </c>
      <c r="Y19" s="4" t="str">
        <f t="shared" si="1"/>
        <v>VBMFX</v>
      </c>
      <c r="Z19" s="5" t="str">
        <f t="shared" si="1"/>
        <v>Total</v>
      </c>
      <c r="AA19" s="5" t="s">
        <v>45</v>
      </c>
      <c r="AB19" s="5" t="s">
        <v>43</v>
      </c>
      <c r="AC19" s="5" t="s">
        <v>43</v>
      </c>
      <c r="AD19" s="5" t="s">
        <v>55</v>
      </c>
      <c r="AE19" s="5"/>
      <c r="AG19" t="s">
        <v>40</v>
      </c>
      <c r="AH19" s="4" t="str">
        <f t="shared" si="2"/>
        <v>VFINX</v>
      </c>
      <c r="AI19" s="4" t="str">
        <f t="shared" si="2"/>
        <v>VEXMX</v>
      </c>
      <c r="AJ19" s="4" t="str">
        <f t="shared" si="2"/>
        <v>VIMSX</v>
      </c>
      <c r="AK19" s="4" t="str">
        <f t="shared" si="2"/>
        <v>NAESX</v>
      </c>
      <c r="AL19" s="4" t="str">
        <f t="shared" si="2"/>
        <v>VTRIX</v>
      </c>
      <c r="AM19" s="4" t="str">
        <f t="shared" si="2"/>
        <v>VGTSX</v>
      </c>
      <c r="AN19" s="4" t="str">
        <f t="shared" si="2"/>
        <v>VBMFX</v>
      </c>
      <c r="AO19" s="5" t="s">
        <v>38</v>
      </c>
      <c r="AQ19" t="s">
        <v>40</v>
      </c>
      <c r="AR19" s="4" t="str">
        <f>AH19</f>
        <v>VFINX</v>
      </c>
      <c r="AS19" s="4" t="str">
        <f t="shared" si="3"/>
        <v>VEXMX</v>
      </c>
      <c r="AT19" s="4" t="str">
        <f t="shared" si="3"/>
        <v>VIMSX</v>
      </c>
      <c r="AU19" s="4" t="str">
        <f t="shared" si="3"/>
        <v>NAESX</v>
      </c>
      <c r="AV19" s="4" t="str">
        <f t="shared" si="3"/>
        <v>VTRIX</v>
      </c>
      <c r="AW19" s="4" t="str">
        <f t="shared" si="3"/>
        <v>VGTSX</v>
      </c>
      <c r="AX19" s="4" t="str">
        <f t="shared" si="3"/>
        <v>VBMFX</v>
      </c>
      <c r="AY19" s="4" t="str">
        <f t="shared" si="3"/>
        <v>Total</v>
      </c>
      <c r="AZ19" t="s">
        <v>55</v>
      </c>
    </row>
    <row r="20" spans="1:76" x14ac:dyDescent="0.25">
      <c r="A20" t="s">
        <v>39</v>
      </c>
      <c r="B20" s="2">
        <f>'Non-Rebalanced Strategy'!B20</f>
        <v>20000</v>
      </c>
      <c r="C20" s="2"/>
      <c r="D20" s="2">
        <f>'Non-Rebalanced Strategy'!D20</f>
        <v>20000</v>
      </c>
      <c r="E20" s="2">
        <f>'Non-Rebalanced Strategy'!E20</f>
        <v>10000</v>
      </c>
      <c r="F20" s="2"/>
      <c r="G20" s="2">
        <f>'Non-Rebalanced Strategy'!G20</f>
        <v>20000</v>
      </c>
      <c r="H20" s="2">
        <f>'Non-Rebalanced Strategy'!H20</f>
        <v>30000</v>
      </c>
      <c r="I20" s="2">
        <f>SUM(B20:H20)</f>
        <v>100000</v>
      </c>
      <c r="N20" s="19"/>
      <c r="R20" t="str">
        <f>A20</f>
        <v>Stating Balance</v>
      </c>
      <c r="S20" s="2">
        <f>B20</f>
        <v>20000</v>
      </c>
      <c r="T20" s="2">
        <f t="shared" si="1"/>
        <v>0</v>
      </c>
      <c r="U20" s="2">
        <f t="shared" si="1"/>
        <v>20000</v>
      </c>
      <c r="V20" s="2">
        <f t="shared" si="1"/>
        <v>10000</v>
      </c>
      <c r="W20" s="2">
        <f t="shared" si="1"/>
        <v>0</v>
      </c>
      <c r="X20" s="2">
        <f t="shared" si="1"/>
        <v>20000</v>
      </c>
      <c r="Y20" s="2">
        <f t="shared" si="1"/>
        <v>30000</v>
      </c>
      <c r="Z20" s="2">
        <f t="shared" si="1"/>
        <v>100000</v>
      </c>
      <c r="AD20" s="2"/>
      <c r="AE20" s="2"/>
      <c r="AG20" s="19" t="s">
        <v>54</v>
      </c>
      <c r="AH20" s="6">
        <f t="shared" ref="AH20:AN31" si="4">S20/$Z20</f>
        <v>0.2</v>
      </c>
      <c r="AI20" s="6"/>
      <c r="AJ20" s="6">
        <f t="shared" si="4"/>
        <v>0.2</v>
      </c>
      <c r="AK20" s="6">
        <f t="shared" si="4"/>
        <v>0.1</v>
      </c>
      <c r="AL20" s="6"/>
      <c r="AM20" s="6">
        <f t="shared" si="4"/>
        <v>0.2</v>
      </c>
      <c r="AN20" s="6">
        <f>Y20/$Z20</f>
        <v>0.3</v>
      </c>
      <c r="AO20" s="55">
        <f>SUM(AH20:AN20)</f>
        <v>1</v>
      </c>
      <c r="AQ20" s="19" t="str">
        <f>AG20</f>
        <v>Target Allocation</v>
      </c>
      <c r="AR20" s="22">
        <f>AH20</f>
        <v>0.2</v>
      </c>
      <c r="AS20" s="22"/>
      <c r="AT20" s="22">
        <f>AJ20</f>
        <v>0.2</v>
      </c>
      <c r="AU20" s="22">
        <f>AK20</f>
        <v>0.1</v>
      </c>
      <c r="AV20" s="22"/>
      <c r="AW20" s="22">
        <f>AM20</f>
        <v>0.2</v>
      </c>
      <c r="AX20" s="22">
        <f>AN20</f>
        <v>0.3</v>
      </c>
      <c r="AY20" s="22">
        <f>SUM(AR20:AX20)</f>
        <v>1</v>
      </c>
      <c r="AZ20" s="2"/>
      <c r="BA20" s="2"/>
      <c r="BB20" s="19"/>
      <c r="BC20" s="22"/>
    </row>
    <row r="21" spans="1:76" x14ac:dyDescent="0.25">
      <c r="A21">
        <f t="shared" ref="A21:A29" si="5">A4</f>
        <v>2007</v>
      </c>
      <c r="B21" s="2">
        <f>B20*(1+(B4/100))</f>
        <v>21078</v>
      </c>
      <c r="C21" s="2"/>
      <c r="D21" s="2">
        <f>D20*(1+(D4/100))</f>
        <v>21204.2</v>
      </c>
      <c r="E21" s="2">
        <f>E20*(1+(E4/100))</f>
        <v>10115.6</v>
      </c>
      <c r="F21" s="2"/>
      <c r="G21" s="2">
        <f>G20*(1+(G4/100))</f>
        <v>23104.399999999998</v>
      </c>
      <c r="H21" s="2">
        <f>H20*(1+(H4/100))</f>
        <v>32075.999999999996</v>
      </c>
      <c r="I21" s="2">
        <f>SUM(B21:H21)</f>
        <v>107578.2</v>
      </c>
      <c r="J21" s="2">
        <f>I21-I20</f>
        <v>7578.1999999999971</v>
      </c>
      <c r="K21" s="6">
        <f>(J21/I20)</f>
        <v>7.5781999999999974E-2</v>
      </c>
      <c r="L21" s="7">
        <f>K21+1</f>
        <v>1.075782</v>
      </c>
      <c r="N21">
        <f t="shared" ref="N21:N31" si="6">A21</f>
        <v>2007</v>
      </c>
      <c r="O21" s="2">
        <f>I21*O18</f>
        <v>4841.0189999999993</v>
      </c>
      <c r="P21" s="2"/>
      <c r="Q21" s="2"/>
      <c r="R21">
        <f t="shared" ref="R21:R31" si="7">A21</f>
        <v>2007</v>
      </c>
      <c r="S21" s="2">
        <f t="shared" ref="S21:S31" si="8">B21-($O21/5)</f>
        <v>20109.796200000001</v>
      </c>
      <c r="T21" s="2"/>
      <c r="U21" s="2">
        <f t="shared" ref="U21:V31" si="9">D21-($O21/5)</f>
        <v>20235.996200000001</v>
      </c>
      <c r="V21" s="2">
        <f t="shared" si="9"/>
        <v>9147.396200000001</v>
      </c>
      <c r="W21" s="2"/>
      <c r="X21" s="2">
        <f t="shared" ref="X21:Y31" si="10">G21-($O21/5)</f>
        <v>22136.196199999998</v>
      </c>
      <c r="Y21" s="2">
        <f t="shared" si="10"/>
        <v>31107.796199999997</v>
      </c>
      <c r="Z21" s="2">
        <f>SUM(S21:Y21)</f>
        <v>102737.181</v>
      </c>
      <c r="AA21" s="2">
        <f>Z21-Z20</f>
        <v>2737.1809999999969</v>
      </c>
      <c r="AB21" s="6">
        <f>(AA21/Z20)</f>
        <v>2.7371809999999969E-2</v>
      </c>
      <c r="AC21" s="7">
        <f>AB21+1</f>
        <v>1.02737181</v>
      </c>
      <c r="AD21" s="2">
        <f>Z21-(I21-O21)</f>
        <v>0</v>
      </c>
      <c r="AE21" s="2"/>
      <c r="AG21">
        <f t="shared" ref="AG21:AG31" si="11">A21</f>
        <v>2007</v>
      </c>
      <c r="AH21" s="6">
        <f t="shared" si="4"/>
        <v>0.19574019847790064</v>
      </c>
      <c r="AI21" s="6"/>
      <c r="AJ21" s="6">
        <f t="shared" si="4"/>
        <v>0.19696857557343336</v>
      </c>
      <c r="AK21" s="6">
        <f t="shared" si="4"/>
        <v>8.9036861932195718E-2</v>
      </c>
      <c r="AL21" s="6"/>
      <c r="AM21" s="6">
        <f t="shared" si="4"/>
        <v>0.21546431374246097</v>
      </c>
      <c r="AN21" s="6">
        <f t="shared" si="4"/>
        <v>0.30279005027400935</v>
      </c>
      <c r="AO21" s="55">
        <f t="shared" ref="AO21:AO31" si="12">SUM(AH21:AN21)</f>
        <v>1</v>
      </c>
      <c r="AQ21">
        <f>AG21</f>
        <v>2007</v>
      </c>
      <c r="AR21" s="2">
        <f t="shared" ref="AR21:AY31" si="13">S21</f>
        <v>20109.796200000001</v>
      </c>
      <c r="AS21" s="2"/>
      <c r="AT21" s="2">
        <f t="shared" si="13"/>
        <v>20235.996200000001</v>
      </c>
      <c r="AU21" s="2">
        <f t="shared" si="13"/>
        <v>9147.396200000001</v>
      </c>
      <c r="AV21" s="2"/>
      <c r="AW21" s="2">
        <f t="shared" si="13"/>
        <v>22136.196199999998</v>
      </c>
      <c r="AX21" s="2">
        <f t="shared" si="13"/>
        <v>31107.796199999997</v>
      </c>
      <c r="AY21" s="2">
        <f t="shared" si="13"/>
        <v>102737.181</v>
      </c>
      <c r="AZ21" s="2">
        <f t="shared" ref="AZ21:AZ32" si="14">SUM(AR21:AX21)-Z21</f>
        <v>0</v>
      </c>
      <c r="BA21" s="2"/>
      <c r="BC21" s="22"/>
      <c r="BX21" s="2"/>
    </row>
    <row r="22" spans="1:76" x14ac:dyDescent="0.25">
      <c r="A22">
        <f t="shared" si="5"/>
        <v>2008</v>
      </c>
      <c r="B22" s="2">
        <f t="shared" ref="B22:B29" si="15">AR21*(1+(B5/100))</f>
        <v>12665.149646759999</v>
      </c>
      <c r="C22" s="2"/>
      <c r="D22" s="2">
        <f t="shared" ref="D22:E28" si="16">AT21*(1+(D5/100))</f>
        <v>11772.493149312002</v>
      </c>
      <c r="E22" s="2">
        <f t="shared" si="16"/>
        <v>5847.9303906600007</v>
      </c>
      <c r="F22" s="2"/>
      <c r="G22" s="2">
        <f t="shared" ref="G22:H28" si="17">AW21*(1+(G5/100))</f>
        <v>12373.912313837998</v>
      </c>
      <c r="H22" s="2">
        <f t="shared" si="17"/>
        <v>32678.739908099997</v>
      </c>
      <c r="I22" s="2">
        <f>SUM(B22:H22)</f>
        <v>75338.225408669998</v>
      </c>
      <c r="J22" s="2">
        <f t="shared" ref="J22:J31" si="18">I22-I21</f>
        <v>-32239.974591329999</v>
      </c>
      <c r="K22" s="6">
        <f t="shared" ref="K22:K31" si="19">(J22/I21)</f>
        <v>-0.2996887342540589</v>
      </c>
      <c r="L22" s="7">
        <f t="shared" ref="L22:L31" si="20">K22+1</f>
        <v>0.70031126574594116</v>
      </c>
      <c r="N22">
        <f t="shared" si="6"/>
        <v>2008</v>
      </c>
      <c r="O22" s="2">
        <f t="shared" ref="O22:O29" si="21">O21*(1+O5)</f>
        <v>4841.0189999999993</v>
      </c>
      <c r="P22" s="2"/>
      <c r="Q22" s="2"/>
      <c r="R22">
        <f t="shared" si="7"/>
        <v>2008</v>
      </c>
      <c r="S22" s="2">
        <f t="shared" si="8"/>
        <v>11696.94584676</v>
      </c>
      <c r="T22" s="2"/>
      <c r="U22" s="2">
        <f t="shared" si="9"/>
        <v>10804.289349312003</v>
      </c>
      <c r="V22" s="2">
        <f t="shared" si="9"/>
        <v>4879.7265906600005</v>
      </c>
      <c r="W22" s="2"/>
      <c r="X22" s="2">
        <f t="shared" si="10"/>
        <v>11405.708513837999</v>
      </c>
      <c r="Y22" s="2">
        <f t="shared" si="10"/>
        <v>31710.536108099997</v>
      </c>
      <c r="Z22" s="2">
        <f>SUM(S22:Y22)</f>
        <v>70497.206408669997</v>
      </c>
      <c r="AA22" s="2">
        <f t="shared" ref="AA22:AA31" si="22">Z22-Z21</f>
        <v>-32239.974591329999</v>
      </c>
      <c r="AB22" s="6">
        <f t="shared" ref="AB22:AB31" si="23">(AA22/Z21)</f>
        <v>-0.31381019293618734</v>
      </c>
      <c r="AC22" s="7">
        <f t="shared" ref="AC22:AC31" si="24">AB22+1</f>
        <v>0.68618980706381261</v>
      </c>
      <c r="AD22" s="2">
        <f>Z22-(I22-O22)</f>
        <v>0</v>
      </c>
      <c r="AE22" s="2"/>
      <c r="AG22">
        <f t="shared" si="11"/>
        <v>2008</v>
      </c>
      <c r="AH22" s="6">
        <f t="shared" si="4"/>
        <v>0.16592070016155233</v>
      </c>
      <c r="AI22" s="6"/>
      <c r="AJ22" s="6">
        <f t="shared" si="4"/>
        <v>0.15325840412285122</v>
      </c>
      <c r="AK22" s="6">
        <f t="shared" si="4"/>
        <v>6.9218722829559876E-2</v>
      </c>
      <c r="AL22" s="6"/>
      <c r="AM22" s="6">
        <f t="shared" si="4"/>
        <v>0.16178951046257747</v>
      </c>
      <c r="AN22" s="6">
        <f t="shared" si="4"/>
        <v>0.44981266242345913</v>
      </c>
      <c r="AO22" s="55">
        <f t="shared" si="12"/>
        <v>1</v>
      </c>
      <c r="AQ22">
        <f t="shared" ref="AQ22:AQ31" si="25">AG22</f>
        <v>2008</v>
      </c>
      <c r="AR22" s="36">
        <v>0</v>
      </c>
      <c r="AS22" s="36"/>
      <c r="AT22" s="36">
        <v>0</v>
      </c>
      <c r="AU22" s="36">
        <v>0</v>
      </c>
      <c r="AV22" s="36"/>
      <c r="AW22" s="36">
        <v>0</v>
      </c>
      <c r="AX22" s="36">
        <f>Z22</f>
        <v>70497.206408669997</v>
      </c>
      <c r="AY22" s="2">
        <f t="shared" si="13"/>
        <v>70497.206408669997</v>
      </c>
      <c r="AZ22" s="2">
        <f t="shared" si="14"/>
        <v>0</v>
      </c>
      <c r="BA22" s="2"/>
      <c r="BC22" s="22"/>
      <c r="BX22" s="2"/>
    </row>
    <row r="23" spans="1:76" x14ac:dyDescent="0.25">
      <c r="A23">
        <f t="shared" si="5"/>
        <v>2009</v>
      </c>
      <c r="B23" s="2">
        <f t="shared" si="15"/>
        <v>0</v>
      </c>
      <c r="C23" s="2"/>
      <c r="D23" s="2">
        <f t="shared" si="16"/>
        <v>0</v>
      </c>
      <c r="E23" s="2">
        <f t="shared" si="16"/>
        <v>0</v>
      </c>
      <c r="F23" s="2"/>
      <c r="G23" s="2">
        <f t="shared" si="17"/>
        <v>0</v>
      </c>
      <c r="H23" s="2">
        <f t="shared" si="17"/>
        <v>74677.690748704117</v>
      </c>
      <c r="I23" s="2">
        <f t="shared" ref="I23:I28" si="26">SUM(B23:H23)</f>
        <v>74677.690748704117</v>
      </c>
      <c r="J23" s="2">
        <f t="shared" si="18"/>
        <v>-660.53465996588056</v>
      </c>
      <c r="K23" s="6">
        <f t="shared" si="19"/>
        <v>-8.7675898441041001E-3</v>
      </c>
      <c r="L23" s="7">
        <f t="shared" si="20"/>
        <v>0.99123241015589592</v>
      </c>
      <c r="N23">
        <f t="shared" si="6"/>
        <v>2009</v>
      </c>
      <c r="O23" s="2">
        <f t="shared" si="21"/>
        <v>4976.5675319999991</v>
      </c>
      <c r="P23" s="2"/>
      <c r="Q23" s="2"/>
      <c r="R23">
        <f t="shared" si="7"/>
        <v>2009</v>
      </c>
      <c r="S23" s="2">
        <v>0</v>
      </c>
      <c r="T23" s="2"/>
      <c r="U23" s="2">
        <v>0</v>
      </c>
      <c r="V23" s="2">
        <v>0</v>
      </c>
      <c r="W23" s="2"/>
      <c r="X23" s="2">
        <v>0</v>
      </c>
      <c r="Y23" s="2">
        <f>H23-($O23)</f>
        <v>69701.123216704116</v>
      </c>
      <c r="Z23" s="2">
        <f t="shared" ref="Z23:Z25" si="27">SUM(S23:Y23)</f>
        <v>69701.123216704116</v>
      </c>
      <c r="AA23" s="2">
        <f t="shared" si="22"/>
        <v>-796.08319196588127</v>
      </c>
      <c r="AB23" s="6">
        <f t="shared" si="23"/>
        <v>-1.1292407635999263E-2</v>
      </c>
      <c r="AC23" s="7">
        <f t="shared" si="24"/>
        <v>0.98870759236400074</v>
      </c>
      <c r="AD23" s="2">
        <f t="shared" ref="AD23:AD31" si="28">Z23-(I23-O23)</f>
        <v>0</v>
      </c>
      <c r="AE23" s="2"/>
      <c r="AG23">
        <f t="shared" si="11"/>
        <v>2009</v>
      </c>
      <c r="AH23" s="6">
        <f t="shared" si="4"/>
        <v>0</v>
      </c>
      <c r="AI23" s="6"/>
      <c r="AJ23" s="6">
        <f t="shared" si="4"/>
        <v>0</v>
      </c>
      <c r="AK23" s="6">
        <f t="shared" si="4"/>
        <v>0</v>
      </c>
      <c r="AL23" s="6"/>
      <c r="AM23" s="6">
        <f t="shared" si="4"/>
        <v>0</v>
      </c>
      <c r="AN23" s="6">
        <f t="shared" si="4"/>
        <v>1</v>
      </c>
      <c r="AO23" s="55">
        <f t="shared" si="12"/>
        <v>1</v>
      </c>
      <c r="AQ23">
        <f t="shared" si="25"/>
        <v>2009</v>
      </c>
      <c r="AR23" s="24">
        <f>$Z23*AR$20</f>
        <v>13940.224643340824</v>
      </c>
      <c r="AS23" s="24"/>
      <c r="AT23" s="24">
        <f>$Z23*AT$20</f>
        <v>13940.224643340824</v>
      </c>
      <c r="AU23" s="24">
        <f>$Z23*AU$20</f>
        <v>6970.1123216704118</v>
      </c>
      <c r="AV23" s="24"/>
      <c r="AW23" s="24">
        <f>$Z23*AW$20</f>
        <v>13940.224643340824</v>
      </c>
      <c r="AX23" s="24">
        <f>$Z23*AX$20</f>
        <v>20910.336965011233</v>
      </c>
      <c r="AY23" s="2">
        <f t="shared" si="13"/>
        <v>69701.123216704116</v>
      </c>
      <c r="AZ23" s="2">
        <f t="shared" si="14"/>
        <v>0</v>
      </c>
      <c r="BA23" s="2"/>
      <c r="BC23" s="22"/>
      <c r="BX23" s="2"/>
    </row>
    <row r="24" spans="1:76" x14ac:dyDescent="0.25">
      <c r="A24">
        <f t="shared" si="5"/>
        <v>2010</v>
      </c>
      <c r="B24" s="2">
        <f t="shared" si="15"/>
        <v>16018.71213766294</v>
      </c>
      <c r="C24" s="2"/>
      <c r="D24" s="2">
        <f t="shared" si="16"/>
        <v>17489.405837535396</v>
      </c>
      <c r="E24" s="2">
        <f t="shared" si="16"/>
        <v>8902.2274572374499</v>
      </c>
      <c r="F24" s="2"/>
      <c r="G24" s="2">
        <f t="shared" si="17"/>
        <v>15490.377623680322</v>
      </c>
      <c r="H24" s="2">
        <f t="shared" si="17"/>
        <v>22252.780598164954</v>
      </c>
      <c r="I24" s="2">
        <f t="shared" si="26"/>
        <v>80153.50365428107</v>
      </c>
      <c r="J24" s="2">
        <f t="shared" si="18"/>
        <v>5475.8129055769532</v>
      </c>
      <c r="K24" s="6">
        <f t="shared" si="19"/>
        <v>7.3325953851511874E-2</v>
      </c>
      <c r="L24" s="7">
        <f t="shared" si="20"/>
        <v>1.0733259538515119</v>
      </c>
      <c r="N24">
        <f t="shared" si="6"/>
        <v>2010</v>
      </c>
      <c r="O24" s="2">
        <f t="shared" si="21"/>
        <v>5046.239477447999</v>
      </c>
      <c r="P24" s="2"/>
      <c r="Q24" s="2"/>
      <c r="R24">
        <f t="shared" si="7"/>
        <v>2010</v>
      </c>
      <c r="S24" s="2">
        <f t="shared" si="8"/>
        <v>15009.464242173341</v>
      </c>
      <c r="T24" s="2"/>
      <c r="U24" s="2">
        <f t="shared" si="9"/>
        <v>16480.157942045797</v>
      </c>
      <c r="V24" s="2">
        <f t="shared" si="9"/>
        <v>7892.9795617478503</v>
      </c>
      <c r="W24" s="2"/>
      <c r="X24" s="2">
        <f t="shared" si="10"/>
        <v>14481.129728190723</v>
      </c>
      <c r="Y24" s="2">
        <f t="shared" si="10"/>
        <v>21243.532702675355</v>
      </c>
      <c r="Z24" s="2">
        <f t="shared" si="27"/>
        <v>75107.264176833065</v>
      </c>
      <c r="AA24" s="2">
        <f t="shared" si="22"/>
        <v>5406.1409601289488</v>
      </c>
      <c r="AB24" s="6">
        <f t="shared" si="23"/>
        <v>7.7561748084331417E-2</v>
      </c>
      <c r="AC24" s="7">
        <f t="shared" si="24"/>
        <v>1.0775617480843314</v>
      </c>
      <c r="AD24" s="2">
        <f t="shared" si="28"/>
        <v>0</v>
      </c>
      <c r="AE24" s="2"/>
      <c r="AG24">
        <f t="shared" si="11"/>
        <v>2010</v>
      </c>
      <c r="AH24" s="6">
        <f t="shared" si="4"/>
        <v>0.19984038037698929</v>
      </c>
      <c r="AI24" s="57"/>
      <c r="AJ24" s="6">
        <f t="shared" si="4"/>
        <v>0.2194216248277237</v>
      </c>
      <c r="AK24" s="6">
        <f t="shared" si="4"/>
        <v>0.10508942974097105</v>
      </c>
      <c r="AL24" s="6"/>
      <c r="AM24" s="6">
        <f t="shared" si="4"/>
        <v>0.19280598071174915</v>
      </c>
      <c r="AN24" s="6">
        <f t="shared" si="4"/>
        <v>0.28284258434256682</v>
      </c>
      <c r="AO24" s="55">
        <f t="shared" si="12"/>
        <v>1</v>
      </c>
      <c r="AQ24">
        <f t="shared" si="25"/>
        <v>2010</v>
      </c>
      <c r="AR24" s="2">
        <f t="shared" ref="AR24:AR31" si="29">S24</f>
        <v>15009.464242173341</v>
      </c>
      <c r="AS24" s="2"/>
      <c r="AT24" s="2">
        <f t="shared" ref="AT24:AU31" si="30">U24</f>
        <v>16480.157942045797</v>
      </c>
      <c r="AU24" s="2">
        <f t="shared" si="30"/>
        <v>7892.9795617478503</v>
      </c>
      <c r="AV24" s="2"/>
      <c r="AW24" s="2">
        <f t="shared" ref="AW24:AX31" si="31">X24</f>
        <v>14481.129728190723</v>
      </c>
      <c r="AX24" s="2">
        <f t="shared" si="31"/>
        <v>21243.532702675355</v>
      </c>
      <c r="AY24" s="2">
        <f t="shared" si="13"/>
        <v>75107.264176833065</v>
      </c>
      <c r="AZ24" s="2">
        <f t="shared" si="14"/>
        <v>0</v>
      </c>
      <c r="BA24" s="2"/>
      <c r="BC24" s="22"/>
      <c r="BX24" s="2"/>
    </row>
    <row r="25" spans="1:76" x14ac:dyDescent="0.25">
      <c r="A25">
        <f t="shared" si="5"/>
        <v>2011</v>
      </c>
      <c r="B25" s="2">
        <f t="shared" si="15"/>
        <v>15305.150687744157</v>
      </c>
      <c r="C25" s="2"/>
      <c r="D25" s="2">
        <f t="shared" si="16"/>
        <v>16132.42660946863</v>
      </c>
      <c r="E25" s="2">
        <f t="shared" si="16"/>
        <v>7671.9761340189107</v>
      </c>
      <c r="F25" s="2"/>
      <c r="G25" s="2">
        <f t="shared" si="17"/>
        <v>12372.677239766153</v>
      </c>
      <c r="H25" s="2">
        <f t="shared" si="17"/>
        <v>22849.543774997615</v>
      </c>
      <c r="I25" s="2">
        <f t="shared" si="26"/>
        <v>74331.77444599547</v>
      </c>
      <c r="J25" s="2">
        <f t="shared" si="18"/>
        <v>-5821.7292082856002</v>
      </c>
      <c r="K25" s="6">
        <f t="shared" si="19"/>
        <v>-7.2632248658722934E-2</v>
      </c>
      <c r="L25" s="7">
        <f t="shared" si="20"/>
        <v>0.92736775134127702</v>
      </c>
      <c r="N25">
        <f t="shared" si="6"/>
        <v>2011</v>
      </c>
      <c r="O25" s="2">
        <f t="shared" si="21"/>
        <v>5197.6266617714391</v>
      </c>
      <c r="P25" s="2"/>
      <c r="Q25" s="2"/>
      <c r="R25">
        <f t="shared" si="7"/>
        <v>2011</v>
      </c>
      <c r="S25" s="2">
        <f t="shared" si="8"/>
        <v>14265.62535538987</v>
      </c>
      <c r="T25" s="2"/>
      <c r="U25" s="2">
        <f t="shared" si="9"/>
        <v>15092.901277114343</v>
      </c>
      <c r="V25" s="2">
        <f t="shared" si="9"/>
        <v>6632.4508016646232</v>
      </c>
      <c r="W25" s="2"/>
      <c r="X25" s="2">
        <f t="shared" si="10"/>
        <v>11333.151907411866</v>
      </c>
      <c r="Y25" s="2">
        <f t="shared" si="10"/>
        <v>21810.018442643326</v>
      </c>
      <c r="Z25" s="2">
        <f t="shared" si="27"/>
        <v>69134.147784224027</v>
      </c>
      <c r="AA25" s="2">
        <f t="shared" si="22"/>
        <v>-5973.1163926090376</v>
      </c>
      <c r="AB25" s="6">
        <f t="shared" si="23"/>
        <v>-7.9527812097454256E-2</v>
      </c>
      <c r="AC25" s="7">
        <f t="shared" si="24"/>
        <v>0.9204721879025457</v>
      </c>
      <c r="AD25" s="2">
        <f t="shared" si="28"/>
        <v>0</v>
      </c>
      <c r="AE25" s="2"/>
      <c r="AG25">
        <f t="shared" si="11"/>
        <v>2011</v>
      </c>
      <c r="AH25" s="6">
        <f t="shared" si="4"/>
        <v>0.20634701970890851</v>
      </c>
      <c r="AI25" s="57"/>
      <c r="AJ25" s="6">
        <f t="shared" si="4"/>
        <v>0.21831326140333859</v>
      </c>
      <c r="AK25" s="6">
        <f t="shared" si="4"/>
        <v>9.5935959496677367E-2</v>
      </c>
      <c r="AL25" s="57"/>
      <c r="AM25" s="6">
        <f t="shared" si="4"/>
        <v>0.16392987070273859</v>
      </c>
      <c r="AN25" s="6">
        <f t="shared" si="4"/>
        <v>0.31547388868833692</v>
      </c>
      <c r="AO25" s="55">
        <f t="shared" si="12"/>
        <v>0.99999999999999989</v>
      </c>
      <c r="AQ25">
        <f t="shared" si="25"/>
        <v>2011</v>
      </c>
      <c r="AR25" s="2">
        <f t="shared" si="29"/>
        <v>14265.62535538987</v>
      </c>
      <c r="AS25" s="2"/>
      <c r="AT25" s="2">
        <f t="shared" si="30"/>
        <v>15092.901277114343</v>
      </c>
      <c r="AU25" s="2">
        <f t="shared" si="30"/>
        <v>6632.4508016646232</v>
      </c>
      <c r="AV25" s="2"/>
      <c r="AW25" s="2">
        <f t="shared" si="31"/>
        <v>11333.151907411866</v>
      </c>
      <c r="AX25" s="2">
        <f t="shared" si="31"/>
        <v>21810.018442643326</v>
      </c>
      <c r="AY25" s="2">
        <f t="shared" si="13"/>
        <v>69134.147784224027</v>
      </c>
      <c r="AZ25" s="2">
        <f t="shared" si="14"/>
        <v>0</v>
      </c>
      <c r="BA25" s="2"/>
      <c r="BC25" s="22"/>
      <c r="BX25" s="2"/>
    </row>
    <row r="26" spans="1:76" x14ac:dyDescent="0.25">
      <c r="A26">
        <f t="shared" si="5"/>
        <v>2012</v>
      </c>
      <c r="B26" s="2">
        <f t="shared" si="15"/>
        <v>16522.447286612547</v>
      </c>
      <c r="C26" s="2"/>
      <c r="D26" s="2">
        <f t="shared" si="16"/>
        <v>17477.579678898408</v>
      </c>
      <c r="E26" s="2">
        <f t="shared" si="16"/>
        <v>7828.9449262849221</v>
      </c>
      <c r="F26" s="2"/>
      <c r="G26" s="2">
        <f t="shared" si="17"/>
        <v>13388.985663416379</v>
      </c>
      <c r="H26" s="2">
        <f t="shared" si="17"/>
        <v>22693.32418957038</v>
      </c>
      <c r="I26" s="2">
        <f t="shared" si="26"/>
        <v>77911.281744782638</v>
      </c>
      <c r="J26" s="2">
        <f t="shared" si="18"/>
        <v>3579.5072987871681</v>
      </c>
      <c r="K26" s="6">
        <f t="shared" si="19"/>
        <v>4.8155816613631365E-2</v>
      </c>
      <c r="L26" s="7">
        <f t="shared" si="20"/>
        <v>1.0481558166136313</v>
      </c>
      <c r="N26">
        <f t="shared" si="6"/>
        <v>2012</v>
      </c>
      <c r="O26" s="2">
        <f t="shared" si="21"/>
        <v>5291.1839416833254</v>
      </c>
      <c r="P26" s="2"/>
      <c r="Q26" s="2"/>
      <c r="R26">
        <f t="shared" si="7"/>
        <v>2012</v>
      </c>
      <c r="S26" s="2">
        <f t="shared" si="8"/>
        <v>15464.210498275883</v>
      </c>
      <c r="T26" s="2"/>
      <c r="U26" s="2">
        <f t="shared" si="9"/>
        <v>16419.342890561744</v>
      </c>
      <c r="V26" s="2">
        <f t="shared" si="9"/>
        <v>6770.708137948257</v>
      </c>
      <c r="W26" s="2"/>
      <c r="X26" s="2">
        <f t="shared" si="10"/>
        <v>12330.748875079713</v>
      </c>
      <c r="Y26" s="2">
        <f t="shared" si="10"/>
        <v>21635.087401233715</v>
      </c>
      <c r="Z26" s="2">
        <f t="shared" ref="Z26:Z31" si="32">SUM(S26:Y26)</f>
        <v>72620.097803099314</v>
      </c>
      <c r="AA26" s="2">
        <f t="shared" si="22"/>
        <v>3485.9500188752863</v>
      </c>
      <c r="AB26" s="6">
        <f t="shared" si="23"/>
        <v>5.0422983874124763E-2</v>
      </c>
      <c r="AC26" s="7">
        <f t="shared" si="24"/>
        <v>1.0504229838741248</v>
      </c>
      <c r="AD26" s="2">
        <f t="shared" si="28"/>
        <v>0</v>
      </c>
      <c r="AE26" s="2"/>
      <c r="AG26">
        <f t="shared" si="11"/>
        <v>2012</v>
      </c>
      <c r="AH26" s="6">
        <f t="shared" si="4"/>
        <v>0.2129467043710852</v>
      </c>
      <c r="AI26" s="57"/>
      <c r="AJ26" s="6">
        <f t="shared" si="4"/>
        <v>0.22609915694524158</v>
      </c>
      <c r="AK26" s="6">
        <f t="shared" si="4"/>
        <v>9.3234632598626077E-2</v>
      </c>
      <c r="AL26" s="57"/>
      <c r="AM26" s="6">
        <f t="shared" si="4"/>
        <v>0.16979802076985712</v>
      </c>
      <c r="AN26" s="6">
        <f t="shared" si="4"/>
        <v>0.29792148531519003</v>
      </c>
      <c r="AO26" s="55">
        <f t="shared" si="12"/>
        <v>0.99999999999999989</v>
      </c>
      <c r="AQ26">
        <f t="shared" si="25"/>
        <v>2012</v>
      </c>
      <c r="AR26" s="2">
        <f t="shared" si="29"/>
        <v>15464.210498275883</v>
      </c>
      <c r="AS26" s="2"/>
      <c r="AT26" s="2">
        <f t="shared" si="30"/>
        <v>16419.342890561744</v>
      </c>
      <c r="AU26" s="2">
        <f t="shared" si="30"/>
        <v>6770.708137948257</v>
      </c>
      <c r="AV26" s="2"/>
      <c r="AW26" s="2">
        <f t="shared" si="31"/>
        <v>12330.748875079713</v>
      </c>
      <c r="AX26" s="2">
        <f t="shared" si="31"/>
        <v>21635.087401233715</v>
      </c>
      <c r="AY26" s="2">
        <f t="shared" si="13"/>
        <v>72620.097803099314</v>
      </c>
      <c r="AZ26" s="2">
        <f t="shared" si="14"/>
        <v>0</v>
      </c>
      <c r="BA26" s="2"/>
      <c r="BC26" s="22"/>
      <c r="BX26" s="2"/>
    </row>
    <row r="27" spans="1:76" x14ac:dyDescent="0.25">
      <c r="A27">
        <f t="shared" si="5"/>
        <v>2013</v>
      </c>
      <c r="B27" s="2">
        <f t="shared" si="15"/>
        <v>20440.593436621064</v>
      </c>
      <c r="C27" s="2"/>
      <c r="D27" s="2">
        <f t="shared" si="16"/>
        <v>22166.112902258355</v>
      </c>
      <c r="E27" s="2">
        <f t="shared" si="16"/>
        <v>9317.8485394443906</v>
      </c>
      <c r="F27" s="2"/>
      <c r="G27" s="2">
        <f t="shared" si="17"/>
        <v>14185.293505891699</v>
      </c>
      <c r="H27" s="2">
        <f t="shared" si="17"/>
        <v>21146.134425965833</v>
      </c>
      <c r="I27" s="2">
        <f t="shared" si="26"/>
        <v>87255.982810181347</v>
      </c>
      <c r="J27" s="2">
        <f t="shared" si="18"/>
        <v>9344.701065398709</v>
      </c>
      <c r="K27" s="6">
        <f t="shared" si="19"/>
        <v>0.11994028151159868</v>
      </c>
      <c r="L27" s="7">
        <f t="shared" si="20"/>
        <v>1.1199402815115986</v>
      </c>
      <c r="N27">
        <f t="shared" si="6"/>
        <v>2013</v>
      </c>
      <c r="O27" s="2">
        <f t="shared" si="21"/>
        <v>5352.3284244283468</v>
      </c>
      <c r="P27" s="2"/>
      <c r="Q27" s="2"/>
      <c r="R27">
        <f t="shared" si="7"/>
        <v>2013</v>
      </c>
      <c r="S27" s="2">
        <f t="shared" si="8"/>
        <v>19370.127751735396</v>
      </c>
      <c r="T27" s="2"/>
      <c r="U27" s="2">
        <f t="shared" si="9"/>
        <v>21095.647217372687</v>
      </c>
      <c r="V27" s="2">
        <f t="shared" si="9"/>
        <v>8247.3828545587203</v>
      </c>
      <c r="W27" s="2"/>
      <c r="X27" s="2">
        <f t="shared" si="10"/>
        <v>13114.827821006031</v>
      </c>
      <c r="Y27" s="2">
        <f t="shared" si="10"/>
        <v>20075.668741080164</v>
      </c>
      <c r="Z27" s="2">
        <f t="shared" si="32"/>
        <v>81903.65438575299</v>
      </c>
      <c r="AA27" s="2">
        <f t="shared" si="22"/>
        <v>9283.5565826536767</v>
      </c>
      <c r="AB27" s="6">
        <f t="shared" si="23"/>
        <v>0.12783729110121728</v>
      </c>
      <c r="AC27" s="7">
        <f t="shared" si="24"/>
        <v>1.1278372911012173</v>
      </c>
      <c r="AD27" s="2">
        <f t="shared" si="28"/>
        <v>0</v>
      </c>
      <c r="AE27" s="2"/>
      <c r="AG27">
        <f t="shared" si="11"/>
        <v>2013</v>
      </c>
      <c r="AH27" s="6">
        <f t="shared" si="4"/>
        <v>0.23649894375292732</v>
      </c>
      <c r="AI27" s="57"/>
      <c r="AJ27" s="6">
        <f t="shared" si="4"/>
        <v>0.25756661745537746</v>
      </c>
      <c r="AK27" s="6">
        <f t="shared" si="4"/>
        <v>0.10069615228296015</v>
      </c>
      <c r="AL27" s="57"/>
      <c r="AM27" s="6">
        <f t="shared" si="4"/>
        <v>0.1601250630312209</v>
      </c>
      <c r="AN27" s="6">
        <f t="shared" si="4"/>
        <v>0.24511322347751427</v>
      </c>
      <c r="AO27" s="55">
        <f t="shared" si="12"/>
        <v>1</v>
      </c>
      <c r="AQ27">
        <f t="shared" si="25"/>
        <v>2013</v>
      </c>
      <c r="AR27" s="2">
        <f t="shared" si="29"/>
        <v>19370.127751735396</v>
      </c>
      <c r="AS27" s="2"/>
      <c r="AT27" s="2">
        <f t="shared" si="30"/>
        <v>21095.647217372687</v>
      </c>
      <c r="AU27" s="2">
        <f t="shared" si="30"/>
        <v>8247.3828545587203</v>
      </c>
      <c r="AV27" s="2"/>
      <c r="AW27" s="2">
        <f t="shared" si="31"/>
        <v>13114.827821006031</v>
      </c>
      <c r="AX27" s="2">
        <f t="shared" si="31"/>
        <v>20075.668741080164</v>
      </c>
      <c r="AY27" s="2">
        <f t="shared" si="13"/>
        <v>81903.65438575299</v>
      </c>
      <c r="AZ27" s="2">
        <f t="shared" si="14"/>
        <v>0</v>
      </c>
      <c r="BA27" s="2"/>
      <c r="BC27" s="22"/>
      <c r="BX27" s="2"/>
    </row>
    <row r="28" spans="1:76" x14ac:dyDescent="0.25">
      <c r="A28">
        <f t="shared" si="5"/>
        <v>2014</v>
      </c>
      <c r="B28" s="2">
        <f t="shared" si="15"/>
        <v>21987.032010994848</v>
      </c>
      <c r="C28" s="2"/>
      <c r="D28" s="2">
        <f t="shared" si="16"/>
        <v>23964.655238935375</v>
      </c>
      <c r="E28" s="2">
        <f t="shared" si="16"/>
        <v>8855.2149709396981</v>
      </c>
      <c r="F28" s="2"/>
      <c r="G28" s="2">
        <f t="shared" si="17"/>
        <v>12558.759121395375</v>
      </c>
      <c r="H28" s="2">
        <f t="shared" si="17"/>
        <v>21232.027260566385</v>
      </c>
      <c r="I28" s="2">
        <f t="shared" si="26"/>
        <v>88597.68860283168</v>
      </c>
      <c r="J28" s="2">
        <f t="shared" si="18"/>
        <v>1341.705792650333</v>
      </c>
      <c r="K28" s="6">
        <f t="shared" si="19"/>
        <v>1.5376662429774132E-2</v>
      </c>
      <c r="L28" s="7">
        <f t="shared" si="20"/>
        <v>1.0153766624297742</v>
      </c>
      <c r="N28">
        <f t="shared" si="6"/>
        <v>2014</v>
      </c>
      <c r="O28" s="2">
        <f t="shared" si="21"/>
        <v>5421.3734611034724</v>
      </c>
      <c r="P28" s="2"/>
      <c r="Q28" s="2"/>
      <c r="R28">
        <f t="shared" si="7"/>
        <v>2014</v>
      </c>
      <c r="S28" s="2">
        <f t="shared" si="8"/>
        <v>20902.757318774155</v>
      </c>
      <c r="T28" s="2"/>
      <c r="U28" s="2">
        <f t="shared" si="9"/>
        <v>22880.380546714681</v>
      </c>
      <c r="V28" s="2">
        <f t="shared" si="9"/>
        <v>7770.9402787190038</v>
      </c>
      <c r="W28" s="2"/>
      <c r="X28" s="2">
        <f t="shared" si="10"/>
        <v>11474.484429174679</v>
      </c>
      <c r="Y28" s="2">
        <f t="shared" si="10"/>
        <v>20147.752568345692</v>
      </c>
      <c r="Z28" s="2">
        <f t="shared" si="32"/>
        <v>83176.315141728206</v>
      </c>
      <c r="AA28" s="2">
        <f t="shared" si="22"/>
        <v>1272.6607559752156</v>
      </c>
      <c r="AB28" s="6">
        <f t="shared" si="23"/>
        <v>1.5538510039871833E-2</v>
      </c>
      <c r="AC28" s="7">
        <f t="shared" si="24"/>
        <v>1.0155385100398719</v>
      </c>
      <c r="AD28" s="2">
        <f t="shared" si="28"/>
        <v>0</v>
      </c>
      <c r="AE28" s="2"/>
      <c r="AG28">
        <f t="shared" si="11"/>
        <v>2014</v>
      </c>
      <c r="AH28" s="6">
        <f t="shared" si="4"/>
        <v>0.25130660432788976</v>
      </c>
      <c r="AI28" s="57"/>
      <c r="AJ28" s="6">
        <f t="shared" si="4"/>
        <v>0.27508288276209014</v>
      </c>
      <c r="AK28" s="6">
        <f t="shared" si="4"/>
        <v>9.3427320812153283E-2</v>
      </c>
      <c r="AL28" s="57"/>
      <c r="AM28" s="6">
        <f t="shared" si="4"/>
        <v>0.13795374812676833</v>
      </c>
      <c r="AN28" s="6">
        <f t="shared" si="4"/>
        <v>0.24222944397109858</v>
      </c>
      <c r="AO28" s="55">
        <f t="shared" si="12"/>
        <v>1</v>
      </c>
      <c r="AQ28">
        <f t="shared" si="25"/>
        <v>2014</v>
      </c>
      <c r="AR28" s="2">
        <f t="shared" si="29"/>
        <v>20902.757318774155</v>
      </c>
      <c r="AS28" s="2"/>
      <c r="AT28" s="2">
        <f t="shared" si="30"/>
        <v>22880.380546714681</v>
      </c>
      <c r="AU28" s="2">
        <f t="shared" si="30"/>
        <v>7770.9402787190038</v>
      </c>
      <c r="AV28" s="2"/>
      <c r="AW28" s="2">
        <f t="shared" si="31"/>
        <v>11474.484429174679</v>
      </c>
      <c r="AX28" s="2">
        <f t="shared" si="31"/>
        <v>20147.752568345692</v>
      </c>
      <c r="AY28" s="2">
        <f t="shared" si="13"/>
        <v>83176.315141728206</v>
      </c>
      <c r="AZ28" s="2">
        <f t="shared" si="14"/>
        <v>0</v>
      </c>
      <c r="BA28" s="2"/>
      <c r="BC28" s="22"/>
      <c r="BX28" s="2"/>
    </row>
    <row r="29" spans="1:76" x14ac:dyDescent="0.25">
      <c r="A29">
        <f t="shared" si="5"/>
        <v>2015</v>
      </c>
      <c r="B29" s="2">
        <f t="shared" si="15"/>
        <v>21164.041785258829</v>
      </c>
      <c r="C29" s="2"/>
      <c r="D29" s="2">
        <f t="shared" ref="D29:E31" si="33">AT28*(1+(D12/100))</f>
        <v>22546.326990732647</v>
      </c>
      <c r="E29" s="2">
        <f t="shared" si="33"/>
        <v>7477.1987361834254</v>
      </c>
      <c r="F29" s="2"/>
      <c r="G29" s="2">
        <f t="shared" ref="G29:H31" si="34">AW28*(1+(G12/100))</f>
        <v>10973.049459619746</v>
      </c>
      <c r="H29" s="2">
        <f t="shared" si="34"/>
        <v>20208.195826050727</v>
      </c>
      <c r="I29" s="2">
        <f t="shared" ref="I29:I31" si="35">SUM(B29:H29)</f>
        <v>82368.81279784537</v>
      </c>
      <c r="J29" s="2">
        <f t="shared" si="18"/>
        <v>-6228.87580498631</v>
      </c>
      <c r="K29" s="6">
        <f t="shared" si="19"/>
        <v>-7.0305172778370076E-2</v>
      </c>
      <c r="L29" s="7">
        <f t="shared" si="20"/>
        <v>0.92969482722162988</v>
      </c>
      <c r="N29">
        <f t="shared" si="6"/>
        <v>2015</v>
      </c>
      <c r="O29" s="2">
        <f t="shared" si="21"/>
        <v>5445.227504332327</v>
      </c>
      <c r="P29" s="2"/>
      <c r="Q29" s="2"/>
      <c r="R29">
        <f t="shared" si="7"/>
        <v>2015</v>
      </c>
      <c r="S29" s="2">
        <f t="shared" si="8"/>
        <v>20074.996284392364</v>
      </c>
      <c r="T29" s="2"/>
      <c r="U29" s="2">
        <f t="shared" si="9"/>
        <v>21457.281489866182</v>
      </c>
      <c r="V29" s="2">
        <f t="shared" si="9"/>
        <v>6388.1532353169605</v>
      </c>
      <c r="W29" s="2"/>
      <c r="X29" s="2">
        <f t="shared" si="10"/>
        <v>9884.003958753281</v>
      </c>
      <c r="Y29" s="2">
        <f t="shared" si="10"/>
        <v>19119.150325184262</v>
      </c>
      <c r="Z29" s="2">
        <f t="shared" si="32"/>
        <v>76923.585293513053</v>
      </c>
      <c r="AA29" s="2">
        <f t="shared" si="22"/>
        <v>-6252.7298482151527</v>
      </c>
      <c r="AB29" s="6">
        <f t="shared" si="23"/>
        <v>-7.5174403164660744E-2</v>
      </c>
      <c r="AC29" s="7">
        <f t="shared" si="24"/>
        <v>0.92482559683533927</v>
      </c>
      <c r="AD29" s="2">
        <f t="shared" si="28"/>
        <v>0</v>
      </c>
      <c r="AE29" s="2"/>
      <c r="AG29">
        <f t="shared" si="11"/>
        <v>2015</v>
      </c>
      <c r="AH29" s="6">
        <f t="shared" si="4"/>
        <v>0.26097322697314895</v>
      </c>
      <c r="AI29" s="57"/>
      <c r="AJ29" s="6">
        <f t="shared" si="4"/>
        <v>0.2789428158866078</v>
      </c>
      <c r="AK29" s="6">
        <f t="shared" si="4"/>
        <v>8.3045443227093993E-2</v>
      </c>
      <c r="AL29" s="57"/>
      <c r="AM29" s="6">
        <f t="shared" si="4"/>
        <v>0.12849120228912156</v>
      </c>
      <c r="AN29" s="6">
        <f t="shared" si="4"/>
        <v>0.24854731162402768</v>
      </c>
      <c r="AO29" s="55">
        <f t="shared" si="12"/>
        <v>0.99999999999999989</v>
      </c>
      <c r="AQ29">
        <f t="shared" si="25"/>
        <v>2015</v>
      </c>
      <c r="AR29" s="2">
        <f t="shared" si="29"/>
        <v>20074.996284392364</v>
      </c>
      <c r="AS29" s="2"/>
      <c r="AT29" s="2">
        <f t="shared" si="30"/>
        <v>21457.281489866182</v>
      </c>
      <c r="AU29" s="2">
        <f t="shared" si="30"/>
        <v>6388.1532353169605</v>
      </c>
      <c r="AV29" s="2"/>
      <c r="AW29" s="2">
        <f t="shared" si="31"/>
        <v>9884.003958753281</v>
      </c>
      <c r="AX29" s="2">
        <f t="shared" si="31"/>
        <v>19119.150325184262</v>
      </c>
      <c r="AY29" s="2">
        <f t="shared" si="13"/>
        <v>76923.585293513053</v>
      </c>
      <c r="AZ29" s="2">
        <f t="shared" si="14"/>
        <v>0</v>
      </c>
      <c r="BA29" s="2"/>
      <c r="BC29" s="22"/>
      <c r="BX29" s="2"/>
    </row>
    <row r="30" spans="1:76" x14ac:dyDescent="0.25">
      <c r="A30">
        <f t="shared" ref="A30:A31" si="36">A13</f>
        <v>2016</v>
      </c>
      <c r="B30" s="2">
        <f t="shared" ref="B30:B31" si="37">AR29*(1+(B13/100))</f>
        <v>22447.860845207542</v>
      </c>
      <c r="C30" s="2"/>
      <c r="D30" s="2">
        <f t="shared" si="33"/>
        <v>23832.602550794367</v>
      </c>
      <c r="E30" s="2">
        <f t="shared" si="33"/>
        <v>7548.8806781740523</v>
      </c>
      <c r="F30" s="2"/>
      <c r="G30" s="2">
        <f t="shared" si="34"/>
        <v>10343.610142835309</v>
      </c>
      <c r="H30" s="2">
        <f t="shared" si="34"/>
        <v>19597.129083313866</v>
      </c>
      <c r="I30" s="2">
        <f t="shared" si="35"/>
        <v>83770.083300325132</v>
      </c>
      <c r="J30" s="2">
        <f t="shared" si="18"/>
        <v>1401.2705024797615</v>
      </c>
      <c r="K30" s="6">
        <f t="shared" si="19"/>
        <v>1.7012148832578736E-2</v>
      </c>
      <c r="L30" s="7">
        <f t="shared" si="20"/>
        <v>1.0170121488325787</v>
      </c>
      <c r="N30">
        <f t="shared" si="6"/>
        <v>2016</v>
      </c>
      <c r="O30" s="2">
        <f t="shared" ref="O30:O31" si="38">O29*(1+O13)</f>
        <v>5537.7963719059762</v>
      </c>
      <c r="P30" s="2"/>
      <c r="Q30" s="2"/>
      <c r="R30">
        <f t="shared" si="7"/>
        <v>2016</v>
      </c>
      <c r="S30" s="2">
        <f t="shared" si="8"/>
        <v>21340.301570826348</v>
      </c>
      <c r="T30" s="2"/>
      <c r="U30" s="2">
        <f t="shared" si="9"/>
        <v>22725.043276413173</v>
      </c>
      <c r="V30" s="2">
        <f t="shared" si="9"/>
        <v>6441.3214037928574</v>
      </c>
      <c r="W30" s="2"/>
      <c r="X30" s="2">
        <f t="shared" si="10"/>
        <v>9236.0508684541128</v>
      </c>
      <c r="Y30" s="2">
        <f t="shared" si="10"/>
        <v>18489.569808932672</v>
      </c>
      <c r="Z30" s="2">
        <f t="shared" si="32"/>
        <v>78232.286928419169</v>
      </c>
      <c r="AA30" s="2">
        <f t="shared" si="22"/>
        <v>1308.7016349061159</v>
      </c>
      <c r="AB30" s="6">
        <f t="shared" si="23"/>
        <v>1.7013008817940243E-2</v>
      </c>
      <c r="AC30" s="7">
        <f t="shared" si="24"/>
        <v>1.0170130088179403</v>
      </c>
      <c r="AD30" s="2">
        <f t="shared" si="28"/>
        <v>0</v>
      </c>
      <c r="AE30" s="2"/>
      <c r="AG30">
        <f t="shared" si="11"/>
        <v>2016</v>
      </c>
      <c r="AH30" s="6">
        <f t="shared" si="4"/>
        <v>0.27278125705761685</v>
      </c>
      <c r="AI30" s="57"/>
      <c r="AJ30" s="6">
        <f t="shared" si="4"/>
        <v>0.29048164343202815</v>
      </c>
      <c r="AK30" s="6">
        <f t="shared" si="4"/>
        <v>8.2335844402535815E-2</v>
      </c>
      <c r="AL30" s="57"/>
      <c r="AM30" s="6">
        <f t="shared" si="4"/>
        <v>0.11805932347222442</v>
      </c>
      <c r="AN30" s="6">
        <f t="shared" si="4"/>
        <v>0.23634193163559469</v>
      </c>
      <c r="AO30" s="55">
        <f t="shared" si="12"/>
        <v>0.99999999999999989</v>
      </c>
      <c r="AQ30">
        <f t="shared" si="25"/>
        <v>2016</v>
      </c>
      <c r="AR30" s="2">
        <f t="shared" si="29"/>
        <v>21340.301570826348</v>
      </c>
      <c r="AS30" s="2"/>
      <c r="AT30" s="2">
        <f t="shared" si="30"/>
        <v>22725.043276413173</v>
      </c>
      <c r="AU30" s="2">
        <f t="shared" si="30"/>
        <v>6441.3214037928574</v>
      </c>
      <c r="AV30" s="2"/>
      <c r="AW30" s="2">
        <f t="shared" si="31"/>
        <v>9236.0508684541128</v>
      </c>
      <c r="AX30" s="2">
        <f t="shared" si="31"/>
        <v>18489.569808932672</v>
      </c>
      <c r="AY30" s="2">
        <f t="shared" si="13"/>
        <v>78232.286928419169</v>
      </c>
      <c r="AZ30" s="2">
        <f t="shared" si="14"/>
        <v>0</v>
      </c>
      <c r="BA30" s="2"/>
      <c r="BC30" s="22"/>
      <c r="BX30" s="2"/>
    </row>
    <row r="31" spans="1:76" x14ac:dyDescent="0.25">
      <c r="A31">
        <f t="shared" si="36"/>
        <v>2017</v>
      </c>
      <c r="B31" s="2">
        <f t="shared" si="37"/>
        <v>25964.744921224417</v>
      </c>
      <c r="C31" s="2"/>
      <c r="D31" s="2">
        <f t="shared" si="33"/>
        <v>27179.151758590153</v>
      </c>
      <c r="E31" s="2">
        <f t="shared" si="33"/>
        <v>7478.3741498035079</v>
      </c>
      <c r="F31" s="2"/>
      <c r="G31" s="2">
        <f t="shared" si="34"/>
        <v>11766.72880641054</v>
      </c>
      <c r="H31" s="2">
        <f t="shared" si="34"/>
        <v>19129.308924321744</v>
      </c>
      <c r="I31" s="2">
        <f t="shared" si="35"/>
        <v>91518.308560350357</v>
      </c>
      <c r="J31" s="2">
        <f t="shared" si="18"/>
        <v>7748.225260025225</v>
      </c>
      <c r="K31" s="6">
        <f t="shared" si="19"/>
        <v>9.2493942404795873E-2</v>
      </c>
      <c r="L31" s="7">
        <f t="shared" si="20"/>
        <v>1.0924939424047959</v>
      </c>
      <c r="N31">
        <f t="shared" si="6"/>
        <v>2017</v>
      </c>
      <c r="O31" s="2">
        <f t="shared" si="38"/>
        <v>5661.2892309994795</v>
      </c>
      <c r="P31" s="2"/>
      <c r="Q31" s="2"/>
      <c r="R31">
        <f t="shared" si="7"/>
        <v>2017</v>
      </c>
      <c r="S31" s="2">
        <f t="shared" si="8"/>
        <v>24832.487075024521</v>
      </c>
      <c r="T31" s="2"/>
      <c r="U31" s="2">
        <f t="shared" si="9"/>
        <v>26046.893912390256</v>
      </c>
      <c r="V31" s="2">
        <f t="shared" si="9"/>
        <v>6346.1163036036123</v>
      </c>
      <c r="W31" s="2"/>
      <c r="X31" s="2">
        <f t="shared" si="10"/>
        <v>10634.470960210643</v>
      </c>
      <c r="Y31" s="2">
        <f t="shared" si="10"/>
        <v>17997.051078121847</v>
      </c>
      <c r="Z31" s="2">
        <f t="shared" si="32"/>
        <v>85857.019329350878</v>
      </c>
      <c r="AA31" s="2">
        <f t="shared" si="22"/>
        <v>7624.732400931709</v>
      </c>
      <c r="AB31" s="6">
        <f t="shared" si="23"/>
        <v>9.7462731824625962E-2</v>
      </c>
      <c r="AC31" s="7">
        <f t="shared" si="24"/>
        <v>1.0974627318246259</v>
      </c>
      <c r="AD31" s="2">
        <f t="shared" si="28"/>
        <v>0</v>
      </c>
      <c r="AE31" s="2"/>
      <c r="AG31">
        <f t="shared" si="11"/>
        <v>2017</v>
      </c>
      <c r="AH31" s="6">
        <f t="shared" si="4"/>
        <v>0.28923071484424739</v>
      </c>
      <c r="AI31" s="57"/>
      <c r="AJ31" s="6">
        <f t="shared" si="4"/>
        <v>0.30337524078809858</v>
      </c>
      <c r="AK31" s="6">
        <f t="shared" si="4"/>
        <v>7.3914938500947283E-2</v>
      </c>
      <c r="AL31" s="57"/>
      <c r="AM31" s="6">
        <f t="shared" si="4"/>
        <v>0.12386256876000315</v>
      </c>
      <c r="AN31" s="6">
        <f t="shared" si="4"/>
        <v>0.20961653710670361</v>
      </c>
      <c r="AO31" s="55">
        <f t="shared" si="12"/>
        <v>1</v>
      </c>
      <c r="AQ31">
        <f t="shared" si="25"/>
        <v>2017</v>
      </c>
      <c r="AR31" s="2">
        <f t="shared" si="29"/>
        <v>24832.487075024521</v>
      </c>
      <c r="AS31" s="2"/>
      <c r="AT31" s="2">
        <f t="shared" si="30"/>
        <v>26046.893912390256</v>
      </c>
      <c r="AU31" s="2">
        <f t="shared" si="30"/>
        <v>6346.1163036036123</v>
      </c>
      <c r="AV31" s="2"/>
      <c r="AW31" s="2">
        <f t="shared" si="31"/>
        <v>10634.470960210643</v>
      </c>
      <c r="AX31" s="2">
        <f t="shared" si="31"/>
        <v>17997.051078121847</v>
      </c>
      <c r="AY31" s="2">
        <f t="shared" si="13"/>
        <v>85857.019329350878</v>
      </c>
      <c r="AZ31" s="2">
        <f t="shared" si="14"/>
        <v>0</v>
      </c>
      <c r="BA31" s="2"/>
      <c r="BC31" s="22"/>
      <c r="BX31" s="2"/>
    </row>
    <row r="32" spans="1:76" x14ac:dyDescent="0.25">
      <c r="A32" s="9" t="s">
        <v>46</v>
      </c>
      <c r="B32" s="10">
        <f>AR32</f>
        <v>24832.487075024521</v>
      </c>
      <c r="C32" s="10"/>
      <c r="D32" s="10">
        <f>AT32</f>
        <v>26046.893912390256</v>
      </c>
      <c r="E32" s="10">
        <f>AU32</f>
        <v>6346.1163036036123</v>
      </c>
      <c r="F32" s="10"/>
      <c r="G32" s="10">
        <f>AW32</f>
        <v>10634.470960210643</v>
      </c>
      <c r="H32" s="10">
        <f>AX32</f>
        <v>17997.051078121847</v>
      </c>
      <c r="I32" s="10">
        <f>SUM(B32:H32)</f>
        <v>85857.019329350878</v>
      </c>
      <c r="J32" s="10"/>
      <c r="K32" s="10"/>
      <c r="N32" t="s">
        <v>77</v>
      </c>
      <c r="O32" s="2">
        <f>O28</f>
        <v>5421.3734611034724</v>
      </c>
      <c r="P32" s="2"/>
      <c r="R32" s="9" t="s">
        <v>46</v>
      </c>
      <c r="S32" s="10">
        <f>S31</f>
        <v>24832.487075024521</v>
      </c>
      <c r="T32" s="10"/>
      <c r="U32" s="10">
        <f>U31</f>
        <v>26046.893912390256</v>
      </c>
      <c r="V32" s="10">
        <f>V31</f>
        <v>6346.1163036036123</v>
      </c>
      <c r="W32" s="10"/>
      <c r="X32" s="10">
        <f>X31</f>
        <v>10634.470960210643</v>
      </c>
      <c r="Y32" s="10">
        <f>Y31</f>
        <v>17997.051078121847</v>
      </c>
      <c r="Z32" s="56">
        <f>SUM(S32:Y32)</f>
        <v>85857.019329350878</v>
      </c>
      <c r="AA32" s="40"/>
      <c r="AB32" s="40"/>
      <c r="AC32" s="40"/>
      <c r="AD32" s="40"/>
      <c r="AE32" s="40"/>
      <c r="AK32" s="7"/>
      <c r="AQ32" s="9" t="s">
        <v>46</v>
      </c>
      <c r="AR32" s="10">
        <f>AR31</f>
        <v>24832.487075024521</v>
      </c>
      <c r="AS32" s="10"/>
      <c r="AT32" s="10">
        <f>AT31</f>
        <v>26046.893912390256</v>
      </c>
      <c r="AU32" s="10">
        <f>AU31</f>
        <v>6346.1163036036123</v>
      </c>
      <c r="AV32" s="10"/>
      <c r="AW32" s="10">
        <f>AW31</f>
        <v>10634.470960210643</v>
      </c>
      <c r="AX32" s="10">
        <f>AX31</f>
        <v>17997.051078121847</v>
      </c>
      <c r="AY32" s="56">
        <f>SUM(AR32:AX32)</f>
        <v>85857.019329350878</v>
      </c>
      <c r="AZ32" s="2">
        <f t="shared" si="14"/>
        <v>0</v>
      </c>
    </row>
    <row r="33" spans="1:16" x14ac:dyDescent="0.25">
      <c r="A33" s="11" t="s">
        <v>92</v>
      </c>
      <c r="I33" s="6">
        <f>(Z32-Z20)/Z20</f>
        <v>-0.14142980670649122</v>
      </c>
      <c r="K33" s="6"/>
      <c r="N33" t="s">
        <v>38</v>
      </c>
      <c r="O33" s="2">
        <f>SUM(O21:O31)</f>
        <v>57611.670605672363</v>
      </c>
      <c r="P33" s="2"/>
    </row>
    <row r="34" spans="1:16" x14ac:dyDescent="0.25">
      <c r="A34" s="1" t="s">
        <v>93</v>
      </c>
      <c r="I34" s="12">
        <f>STDEV(AC21:AC31)</f>
        <v>0.12077118414491278</v>
      </c>
    </row>
    <row r="35" spans="1:16" x14ac:dyDescent="0.25">
      <c r="A35" s="1" t="s">
        <v>94</v>
      </c>
      <c r="I35" s="13">
        <f>((1+I33)^(1/I42))-1</f>
        <v>-1.3766798763129917E-2</v>
      </c>
    </row>
    <row r="36" spans="1:16" x14ac:dyDescent="0.25">
      <c r="A36" s="1" t="s">
        <v>50</v>
      </c>
      <c r="I36" s="27">
        <f>AA22</f>
        <v>-32239.974591329999</v>
      </c>
      <c r="O36" s="2"/>
      <c r="P36" s="2"/>
    </row>
    <row r="37" spans="1:16" x14ac:dyDescent="0.25">
      <c r="A37" s="1" t="s">
        <v>51</v>
      </c>
      <c r="I37" s="28">
        <f>AB22</f>
        <v>-0.31381019293618734</v>
      </c>
    </row>
    <row r="38" spans="1:16" x14ac:dyDescent="0.25">
      <c r="A38" s="1" t="s">
        <v>79</v>
      </c>
      <c r="I38" s="2">
        <f>O33</f>
        <v>57611.670605672363</v>
      </c>
    </row>
    <row r="39" spans="1:16" x14ac:dyDescent="0.25">
      <c r="A39" s="3" t="s">
        <v>52</v>
      </c>
      <c r="I39" s="29">
        <f>I32-Z28</f>
        <v>2680.7041876226722</v>
      </c>
    </row>
    <row r="40" spans="1:16" x14ac:dyDescent="0.25">
      <c r="A40" s="3" t="s">
        <v>141</v>
      </c>
      <c r="I40" s="29">
        <f>((SUM(AA21:AA31)))-(SUM(AA21:AA31))</f>
        <v>0</v>
      </c>
    </row>
    <row r="41" spans="1:16" x14ac:dyDescent="0.25">
      <c r="A41" s="3" t="s">
        <v>142</v>
      </c>
      <c r="I41" s="29">
        <f>(SUM(O21:O31))-I38</f>
        <v>0</v>
      </c>
    </row>
    <row r="42" spans="1:16" x14ac:dyDescent="0.25">
      <c r="A42" s="3" t="s">
        <v>146</v>
      </c>
      <c r="I42" s="3">
        <f>COUNTA(I21:I31)</f>
        <v>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D8CD7-6F79-4609-9893-46D5DEA18E73}">
  <dimension ref="A1:BK44"/>
  <sheetViews>
    <sheetView topLeftCell="S10" zoomScaleNormal="100" workbookViewId="0">
      <selection activeCell="A21" sqref="A21"/>
    </sheetView>
  </sheetViews>
  <sheetFormatPr defaultColWidth="8.85546875" defaultRowHeight="15" x14ac:dyDescent="0.25"/>
  <cols>
    <col min="1" max="1" width="25.42578125" customWidth="1"/>
    <col min="2" max="2" width="9.28515625" bestFit="1"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4" max="54" width="10.85546875" bestFit="1" customWidth="1"/>
    <col min="61" max="61" width="9.28515625" bestFit="1" customWidth="1"/>
  </cols>
  <sheetData>
    <row r="1" spans="1:16" x14ac:dyDescent="0.25">
      <c r="A1" s="18" t="s">
        <v>19</v>
      </c>
      <c r="N1" s="18" t="s">
        <v>138</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7" spans="1:63" x14ac:dyDescent="0.25">
      <c r="A17" s="18" t="s">
        <v>110</v>
      </c>
      <c r="N17" s="18" t="s">
        <v>66</v>
      </c>
      <c r="R17" s="18" t="s">
        <v>111</v>
      </c>
      <c r="AG17" s="18" t="s">
        <v>112</v>
      </c>
      <c r="AQ17" s="18" t="s">
        <v>67</v>
      </c>
      <c r="BA17" s="18" t="s">
        <v>113</v>
      </c>
    </row>
    <row r="18" spans="1:63" x14ac:dyDescent="0.25">
      <c r="B18" s="4" t="str">
        <f t="shared" ref="B18:H19" si="0">B2</f>
        <v>LC Stocks</v>
      </c>
      <c r="C18" s="4" t="str">
        <f t="shared" si="0"/>
        <v>Ext Mkt</v>
      </c>
      <c r="D18" s="4" t="str">
        <f t="shared" si="0"/>
        <v>Mcap Stk</v>
      </c>
      <c r="E18" s="4" t="str">
        <f t="shared" si="0"/>
        <v>Small Cap</v>
      </c>
      <c r="F18" s="4" t="str">
        <f t="shared" si="0"/>
        <v>Intl Val</v>
      </c>
      <c r="G18" s="4" t="str">
        <f t="shared" si="0"/>
        <v>Tot Int Stk</v>
      </c>
      <c r="H18" s="4" t="str">
        <f t="shared" si="0"/>
        <v>Bonds</v>
      </c>
      <c r="I18" s="5"/>
      <c r="J18" s="5" t="s">
        <v>44</v>
      </c>
      <c r="K18" s="5" t="s">
        <v>41</v>
      </c>
      <c r="L18" s="5" t="s">
        <v>42</v>
      </c>
      <c r="O18" s="66">
        <v>4.4999999999999998E-2</v>
      </c>
      <c r="S18" s="4" t="str">
        <f t="shared" ref="S18:Z20" si="1">B18</f>
        <v>LC Stocks</v>
      </c>
      <c r="T18" s="4" t="str">
        <f t="shared" si="1"/>
        <v>Ext Mkt</v>
      </c>
      <c r="U18" s="4" t="str">
        <f t="shared" si="1"/>
        <v>Mcap Stk</v>
      </c>
      <c r="V18" s="4" t="str">
        <f t="shared" si="1"/>
        <v>Small Cap</v>
      </c>
      <c r="W18" s="4" t="str">
        <f t="shared" si="1"/>
        <v>Intl Val</v>
      </c>
      <c r="X18" s="4" t="str">
        <f t="shared" si="1"/>
        <v>Tot Int Stk</v>
      </c>
      <c r="Y18" s="4" t="str">
        <f t="shared" si="1"/>
        <v>Bonds</v>
      </c>
      <c r="Z18" s="5"/>
      <c r="AA18" s="5" t="s">
        <v>44</v>
      </c>
      <c r="AB18" s="5" t="s">
        <v>41</v>
      </c>
      <c r="AC18" s="5" t="s">
        <v>42</v>
      </c>
      <c r="AD18" s="5" t="s">
        <v>56</v>
      </c>
      <c r="AE18" s="5"/>
      <c r="AH18" s="4" t="str">
        <f t="shared" ref="AH18:AN19" si="2">B18</f>
        <v>LC Stocks</v>
      </c>
      <c r="AI18" s="4" t="str">
        <f t="shared" si="2"/>
        <v>Ext Mkt</v>
      </c>
      <c r="AJ18" s="4" t="str">
        <f t="shared" si="2"/>
        <v>Mcap Stk</v>
      </c>
      <c r="AK18" s="4" t="str">
        <f t="shared" si="2"/>
        <v>Small Cap</v>
      </c>
      <c r="AL18" s="4" t="str">
        <f t="shared" si="2"/>
        <v>Intl Val</v>
      </c>
      <c r="AM18" s="4" t="str">
        <f t="shared" si="2"/>
        <v>Tot Int Stk</v>
      </c>
      <c r="AN18" s="4" t="str">
        <f t="shared" si="2"/>
        <v>Bonds</v>
      </c>
      <c r="AO18" s="5"/>
      <c r="AR18" s="4" t="str">
        <f>AH18</f>
        <v>LC Stocks</v>
      </c>
      <c r="AS18" s="4" t="str">
        <f t="shared" ref="AS18:AY20" si="3">AI18</f>
        <v>Ext Mkt</v>
      </c>
      <c r="AT18" s="4" t="str">
        <f t="shared" si="3"/>
        <v>Mcap Stk</v>
      </c>
      <c r="AU18" s="4" t="str">
        <f t="shared" si="3"/>
        <v>Small Cap</v>
      </c>
      <c r="AV18" s="4" t="str">
        <f t="shared" si="3"/>
        <v>Intl Val</v>
      </c>
      <c r="AW18" s="4" t="str">
        <f t="shared" si="3"/>
        <v>Tot Int Stk</v>
      </c>
      <c r="AX18" s="4" t="str">
        <f t="shared" si="3"/>
        <v>Bonds</v>
      </c>
      <c r="AY18" s="5"/>
      <c r="BB18" s="4" t="str">
        <f>AR18</f>
        <v>LC Stocks</v>
      </c>
      <c r="BC18" s="4" t="str">
        <f t="shared" ref="BC18:BI20" si="4">AS18</f>
        <v>Ext Mkt</v>
      </c>
      <c r="BD18" s="4" t="str">
        <f t="shared" si="4"/>
        <v>Mcap Stk</v>
      </c>
      <c r="BE18" s="4" t="str">
        <f t="shared" si="4"/>
        <v>Small Cap</v>
      </c>
      <c r="BF18" s="4" t="str">
        <f t="shared" si="4"/>
        <v>Intl Val</v>
      </c>
      <c r="BG18" s="4" t="str">
        <f t="shared" si="4"/>
        <v>Tot Int Stk</v>
      </c>
      <c r="BH18" s="4" t="str">
        <f t="shared" si="4"/>
        <v>Bonds</v>
      </c>
      <c r="BI18" s="4"/>
      <c r="BJ18" t="s">
        <v>56</v>
      </c>
    </row>
    <row r="19" spans="1:63" x14ac:dyDescent="0.25">
      <c r="A19" t="s">
        <v>40</v>
      </c>
      <c r="B19" s="4" t="str">
        <f t="shared" si="0"/>
        <v>VFINX</v>
      </c>
      <c r="C19" s="4" t="str">
        <f t="shared" si="0"/>
        <v>VEXMX</v>
      </c>
      <c r="D19" s="4" t="str">
        <f t="shared" si="0"/>
        <v>VIMSX</v>
      </c>
      <c r="E19" s="4" t="str">
        <f t="shared" si="0"/>
        <v>NAESX</v>
      </c>
      <c r="F19" s="4" t="str">
        <f t="shared" si="0"/>
        <v>VTRIX</v>
      </c>
      <c r="G19" s="4" t="str">
        <f t="shared" si="0"/>
        <v>VGTSX</v>
      </c>
      <c r="H19" s="4" t="str">
        <f t="shared" si="0"/>
        <v>VBMFX</v>
      </c>
      <c r="I19" s="5" t="s">
        <v>38</v>
      </c>
      <c r="J19" s="5" t="s">
        <v>45</v>
      </c>
      <c r="K19" s="5" t="s">
        <v>43</v>
      </c>
      <c r="L19" s="5" t="s">
        <v>43</v>
      </c>
      <c r="R19" t="str">
        <f t="shared" ref="R19:R31" si="5">A19</f>
        <v>Fund</v>
      </c>
      <c r="S19" s="4" t="str">
        <f t="shared" si="1"/>
        <v>VFINX</v>
      </c>
      <c r="T19" s="4" t="str">
        <f t="shared" si="1"/>
        <v>VEXMX</v>
      </c>
      <c r="U19" s="4" t="str">
        <f t="shared" si="1"/>
        <v>VIMSX</v>
      </c>
      <c r="V19" s="4" t="str">
        <f t="shared" si="1"/>
        <v>NAESX</v>
      </c>
      <c r="W19" s="4" t="str">
        <f t="shared" si="1"/>
        <v>VTRIX</v>
      </c>
      <c r="X19" s="4" t="str">
        <f t="shared" si="1"/>
        <v>VGTSX</v>
      </c>
      <c r="Y19" s="4" t="str">
        <f t="shared" si="1"/>
        <v>VBMFX</v>
      </c>
      <c r="Z19" s="5" t="str">
        <f t="shared" si="1"/>
        <v>Total</v>
      </c>
      <c r="AA19" s="5" t="s">
        <v>45</v>
      </c>
      <c r="AB19" s="5" t="s">
        <v>43</v>
      </c>
      <c r="AC19" s="5" t="s">
        <v>43</v>
      </c>
      <c r="AD19" s="5" t="s">
        <v>55</v>
      </c>
      <c r="AE19" s="5"/>
      <c r="AG19" t="s">
        <v>40</v>
      </c>
      <c r="AH19" s="4" t="str">
        <f t="shared" si="2"/>
        <v>VFINX</v>
      </c>
      <c r="AI19" s="4" t="str">
        <f t="shared" si="2"/>
        <v>VEXMX</v>
      </c>
      <c r="AJ19" s="4" t="str">
        <f t="shared" si="2"/>
        <v>VIMSX</v>
      </c>
      <c r="AK19" s="4" t="str">
        <f t="shared" si="2"/>
        <v>NAESX</v>
      </c>
      <c r="AL19" s="4" t="str">
        <f t="shared" si="2"/>
        <v>VTRIX</v>
      </c>
      <c r="AM19" s="4" t="str">
        <f t="shared" si="2"/>
        <v>VGTSX</v>
      </c>
      <c r="AN19" s="4" t="str">
        <f t="shared" si="2"/>
        <v>VBMFX</v>
      </c>
      <c r="AO19" s="5" t="s">
        <v>38</v>
      </c>
      <c r="AQ19" t="str">
        <f>AG19</f>
        <v>Fund</v>
      </c>
      <c r="AR19" s="4" t="str">
        <f>AH19</f>
        <v>VFINX</v>
      </c>
      <c r="AS19" s="4" t="str">
        <f t="shared" si="3"/>
        <v>VEXMX</v>
      </c>
      <c r="AT19" s="4" t="str">
        <f t="shared" si="3"/>
        <v>VIMSX</v>
      </c>
      <c r="AU19" s="4" t="str">
        <f t="shared" si="3"/>
        <v>NAESX</v>
      </c>
      <c r="AV19" s="4" t="str">
        <f t="shared" si="3"/>
        <v>VTRIX</v>
      </c>
      <c r="AW19" s="4" t="str">
        <f t="shared" si="3"/>
        <v>VGTSX</v>
      </c>
      <c r="AX19" s="4" t="str">
        <f t="shared" si="3"/>
        <v>VBMFX</v>
      </c>
      <c r="AY19" s="4" t="str">
        <f t="shared" si="3"/>
        <v>Total</v>
      </c>
      <c r="BA19" t="s">
        <v>40</v>
      </c>
      <c r="BB19" s="4" t="str">
        <f>AR19</f>
        <v>VFINX</v>
      </c>
      <c r="BC19" s="4" t="str">
        <f t="shared" si="4"/>
        <v>VEXMX</v>
      </c>
      <c r="BD19" s="4" t="str">
        <f t="shared" si="4"/>
        <v>VIMSX</v>
      </c>
      <c r="BE19" s="4" t="str">
        <f t="shared" si="4"/>
        <v>NAESX</v>
      </c>
      <c r="BF19" s="4" t="str">
        <f t="shared" si="4"/>
        <v>VTRIX</v>
      </c>
      <c r="BG19" s="4" t="str">
        <f t="shared" si="4"/>
        <v>VGTSX</v>
      </c>
      <c r="BH19" s="4" t="str">
        <f t="shared" si="4"/>
        <v>VBMFX</v>
      </c>
      <c r="BI19" s="4" t="str">
        <f t="shared" si="4"/>
        <v>Total</v>
      </c>
      <c r="BJ19" t="s">
        <v>55</v>
      </c>
    </row>
    <row r="20" spans="1:63" x14ac:dyDescent="0.25">
      <c r="A20" t="s">
        <v>39</v>
      </c>
      <c r="B20" s="2">
        <v>100000</v>
      </c>
      <c r="C20" s="2"/>
      <c r="D20" s="2"/>
      <c r="E20" s="2"/>
      <c r="F20" s="2"/>
      <c r="G20" s="2"/>
      <c r="H20" s="2"/>
      <c r="I20" s="2">
        <f t="shared" ref="I20:I32" si="6">SUM(B20:H20)</f>
        <v>100000</v>
      </c>
      <c r="N20" s="19"/>
      <c r="R20" t="str">
        <f t="shared" si="5"/>
        <v>Stating Balance</v>
      </c>
      <c r="S20" s="2">
        <f t="shared" si="1"/>
        <v>100000</v>
      </c>
      <c r="T20" s="2"/>
      <c r="U20" s="2"/>
      <c r="V20" s="2"/>
      <c r="W20" s="2"/>
      <c r="X20" s="2"/>
      <c r="Y20" s="2"/>
      <c r="Z20" s="2">
        <f t="shared" si="1"/>
        <v>100000</v>
      </c>
      <c r="AD20" s="2"/>
      <c r="AE20" s="2"/>
      <c r="AG20" s="19" t="s">
        <v>54</v>
      </c>
      <c r="AH20" s="6">
        <f t="shared" ref="AH20:AN31" si="7">S20/$Z20</f>
        <v>1</v>
      </c>
      <c r="AI20" s="6"/>
      <c r="AJ20" s="6">
        <f t="shared" si="7"/>
        <v>0</v>
      </c>
      <c r="AK20" s="6">
        <f t="shared" si="7"/>
        <v>0</v>
      </c>
      <c r="AL20" s="6"/>
      <c r="AM20" s="6">
        <f t="shared" si="7"/>
        <v>0</v>
      </c>
      <c r="AN20" s="6">
        <f>Y20/$Z20</f>
        <v>0</v>
      </c>
      <c r="AO20" s="6">
        <f>Z20/$Z20</f>
        <v>1</v>
      </c>
      <c r="AP20" s="22"/>
      <c r="AQ20" s="19" t="str">
        <f>AG20</f>
        <v>Target Allocation</v>
      </c>
      <c r="AR20" s="22">
        <f>AH20</f>
        <v>1</v>
      </c>
      <c r="AS20" s="22">
        <f t="shared" si="3"/>
        <v>0</v>
      </c>
      <c r="AT20" s="22">
        <f>AJ20</f>
        <v>0</v>
      </c>
      <c r="AU20" s="22">
        <f>AK20</f>
        <v>0</v>
      </c>
      <c r="AV20" s="22"/>
      <c r="AW20" s="22">
        <f>AM20</f>
        <v>0</v>
      </c>
      <c r="AX20" s="22">
        <f>AN20</f>
        <v>0</v>
      </c>
      <c r="AY20" s="22">
        <f t="shared" si="3"/>
        <v>1</v>
      </c>
      <c r="BA20" s="19" t="str">
        <f>AQ20</f>
        <v>Target Allocation</v>
      </c>
      <c r="BB20" s="22">
        <f>AR20</f>
        <v>1</v>
      </c>
      <c r="BC20" s="22"/>
      <c r="BD20" s="67"/>
      <c r="BE20" s="67"/>
      <c r="BF20" s="67"/>
      <c r="BG20" s="67"/>
      <c r="BH20" s="22">
        <f t="shared" si="4"/>
        <v>0</v>
      </c>
      <c r="BI20" s="22">
        <f t="shared" si="4"/>
        <v>1</v>
      </c>
      <c r="BJ20" s="2"/>
    </row>
    <row r="21" spans="1:63" x14ac:dyDescent="0.25">
      <c r="A21">
        <f t="shared" ref="A21:A31" si="8">A4</f>
        <v>2007</v>
      </c>
      <c r="B21" s="2">
        <f>B20*(1+(B4/100))</f>
        <v>105390</v>
      </c>
      <c r="C21" s="2"/>
      <c r="D21" s="2"/>
      <c r="E21" s="2"/>
      <c r="F21" s="2"/>
      <c r="G21" s="2"/>
      <c r="H21" s="2"/>
      <c r="I21" s="2">
        <f t="shared" si="6"/>
        <v>105390</v>
      </c>
      <c r="J21" s="2">
        <f>I21-I20</f>
        <v>5390</v>
      </c>
      <c r="K21" s="6" t="e">
        <f>(J21/#REF!)</f>
        <v>#REF!</v>
      </c>
      <c r="L21" s="7" t="e">
        <f t="shared" ref="L21:L31" si="9">K21+1</f>
        <v>#REF!</v>
      </c>
      <c r="N21">
        <f t="shared" ref="N21:N31" si="10">A21</f>
        <v>2007</v>
      </c>
      <c r="O21" s="2">
        <f>I21*O18</f>
        <v>4742.55</v>
      </c>
      <c r="P21" s="2"/>
      <c r="Q21" s="2"/>
      <c r="R21">
        <f t="shared" si="5"/>
        <v>2007</v>
      </c>
      <c r="S21" s="2">
        <f>B21-($O21)</f>
        <v>100647.45</v>
      </c>
      <c r="T21" s="2"/>
      <c r="U21" s="2"/>
      <c r="V21" s="2"/>
      <c r="W21" s="2"/>
      <c r="X21" s="2"/>
      <c r="Y21" s="2"/>
      <c r="Z21" s="2">
        <f t="shared" ref="Z21:Z31" si="11">SUM(S21:Y21)</f>
        <v>100647.45</v>
      </c>
      <c r="AA21" s="2">
        <f>Z21-Z20</f>
        <v>647.44999999999709</v>
      </c>
      <c r="AB21" s="6">
        <f>(AA21/Z20)</f>
        <v>6.4744999999999707E-3</v>
      </c>
      <c r="AC21" s="7">
        <f t="shared" ref="AC21:AC31" si="12">AB21+1</f>
        <v>1.0064744999999999</v>
      </c>
      <c r="AD21" s="2">
        <f t="shared" ref="AD21:AD31" si="13">Z21-(I21-O21)</f>
        <v>0</v>
      </c>
      <c r="AE21" s="2"/>
      <c r="AG21">
        <f t="shared" ref="AG21:AG31" si="14">A21</f>
        <v>2007</v>
      </c>
      <c r="AH21" s="6">
        <f t="shared" si="7"/>
        <v>1</v>
      </c>
      <c r="AI21" s="6"/>
      <c r="AJ21" s="6">
        <f t="shared" si="7"/>
        <v>0</v>
      </c>
      <c r="AK21" s="6">
        <f t="shared" si="7"/>
        <v>0</v>
      </c>
      <c r="AL21" s="6"/>
      <c r="AM21" s="6">
        <f t="shared" si="7"/>
        <v>0</v>
      </c>
      <c r="AN21" s="6">
        <f t="shared" si="7"/>
        <v>0</v>
      </c>
      <c r="AO21" s="20">
        <f>SUM(AH21:AN21)</f>
        <v>1</v>
      </c>
      <c r="AP21" s="22"/>
      <c r="AQ21">
        <f t="shared" ref="AQ21:AQ31" si="15">AG21</f>
        <v>2007</v>
      </c>
      <c r="AR21" s="1" t="b">
        <f>AND((S21/$Z21)&gt;0.95,(S21/$Z21)&lt;1.1)</f>
        <v>1</v>
      </c>
      <c r="AS21" s="1"/>
      <c r="AT21" s="1"/>
      <c r="AU21" s="1"/>
      <c r="AV21" s="1"/>
      <c r="AW21" s="1"/>
      <c r="AX21" s="1"/>
      <c r="AY21" s="1" t="b">
        <f t="shared" ref="AY21:AY31" si="16">AND((Z21/$Z21)&gt;0.999,(Z21/$Z21)&lt;1.01)</f>
        <v>1</v>
      </c>
      <c r="BA21">
        <f t="shared" ref="BA21:BA31" si="17">AQ21</f>
        <v>2007</v>
      </c>
      <c r="BB21" s="36">
        <f>BB$20*$Z21</f>
        <v>100647.45</v>
      </c>
      <c r="BC21" s="2"/>
      <c r="BD21" s="58"/>
      <c r="BE21" s="58"/>
      <c r="BF21" s="58"/>
      <c r="BG21" s="58"/>
      <c r="BH21" s="58"/>
      <c r="BI21" s="2">
        <f t="shared" ref="BI21:BI31" si="18">Z21</f>
        <v>100647.45</v>
      </c>
      <c r="BJ21" s="2">
        <f t="shared" ref="BJ21:BJ31" si="19">SUM(BB21:BH21)-Z21</f>
        <v>0</v>
      </c>
      <c r="BK21" s="2"/>
    </row>
    <row r="22" spans="1:63" x14ac:dyDescent="0.25">
      <c r="A22">
        <f t="shared" si="8"/>
        <v>2008</v>
      </c>
      <c r="B22" s="2">
        <f t="shared" ref="B22:B31" si="20">BB21*(1+(B5/100))</f>
        <v>63387.764009999992</v>
      </c>
      <c r="C22" s="2"/>
      <c r="D22" s="2"/>
      <c r="E22" s="2"/>
      <c r="F22" s="2"/>
      <c r="G22" s="2"/>
      <c r="H22" s="2"/>
      <c r="I22" s="2">
        <f t="shared" si="6"/>
        <v>63387.764009999992</v>
      </c>
      <c r="J22" s="2">
        <f t="shared" ref="J22:J31" si="21">I22-I21</f>
        <v>-42002.235990000008</v>
      </c>
      <c r="K22" s="6">
        <f t="shared" ref="K22:K31" si="22">(J22/I21)</f>
        <v>-0.39854100000000009</v>
      </c>
      <c r="L22" s="7">
        <f t="shared" si="9"/>
        <v>0.60145899999999997</v>
      </c>
      <c r="N22">
        <f t="shared" si="10"/>
        <v>2008</v>
      </c>
      <c r="O22" s="2">
        <f t="shared" ref="O22:O31" si="23">O21*(1+O5)</f>
        <v>4742.55</v>
      </c>
      <c r="P22" s="2"/>
      <c r="Q22" s="2"/>
      <c r="R22">
        <f t="shared" si="5"/>
        <v>2008</v>
      </c>
      <c r="S22" s="2">
        <f t="shared" ref="S22:S31" si="24">B22-($O22)</f>
        <v>58645.214009999989</v>
      </c>
      <c r="T22" s="2"/>
      <c r="U22" s="2"/>
      <c r="V22" s="2"/>
      <c r="W22" s="2"/>
      <c r="X22" s="2"/>
      <c r="Y22" s="2"/>
      <c r="Z22" s="2">
        <f t="shared" si="11"/>
        <v>58645.214009999989</v>
      </c>
      <c r="AA22" s="2">
        <f t="shared" ref="AA22:AA31" si="25">Z22-Z21</f>
        <v>-42002.235990000008</v>
      </c>
      <c r="AB22" s="6">
        <f t="shared" ref="AB22:AB31" si="26">(AA22/Z21)</f>
        <v>-0.41732041884816762</v>
      </c>
      <c r="AC22" s="7">
        <f t="shared" si="12"/>
        <v>0.58267958115183238</v>
      </c>
      <c r="AD22" s="2">
        <f t="shared" si="13"/>
        <v>0</v>
      </c>
      <c r="AE22" s="2"/>
      <c r="AG22">
        <f t="shared" si="14"/>
        <v>2008</v>
      </c>
      <c r="AH22" s="6">
        <f t="shared" si="7"/>
        <v>1</v>
      </c>
      <c r="AI22" s="6"/>
      <c r="AJ22" s="6">
        <f t="shared" si="7"/>
        <v>0</v>
      </c>
      <c r="AK22" s="6">
        <f t="shared" si="7"/>
        <v>0</v>
      </c>
      <c r="AL22" s="6"/>
      <c r="AM22" s="6">
        <f t="shared" si="7"/>
        <v>0</v>
      </c>
      <c r="AN22" s="6">
        <f t="shared" si="7"/>
        <v>0</v>
      </c>
      <c r="AO22" s="20">
        <f t="shared" ref="AO22:AO25" si="27">SUM(AH22:AN22)</f>
        <v>1</v>
      </c>
      <c r="AP22" s="22"/>
      <c r="AQ22">
        <f t="shared" si="15"/>
        <v>2008</v>
      </c>
      <c r="AR22" s="1" t="b">
        <f t="shared" ref="AR22:AR31" si="28">AND((S22/$Z22)&gt;0.95,(S22/$Z22)&lt;1.1)</f>
        <v>1</v>
      </c>
      <c r="AS22" s="1"/>
      <c r="AT22" s="1"/>
      <c r="AU22" s="1"/>
      <c r="AV22" s="1"/>
      <c r="AW22" s="1"/>
      <c r="AX22" s="1"/>
      <c r="AY22" s="1" t="b">
        <f t="shared" si="16"/>
        <v>1</v>
      </c>
      <c r="BA22">
        <f t="shared" si="17"/>
        <v>2008</v>
      </c>
      <c r="BB22" s="36">
        <f t="shared" ref="BB22:BB31" si="29">BB$20*$Z22</f>
        <v>58645.214009999989</v>
      </c>
      <c r="BC22" s="2"/>
      <c r="BD22" s="58"/>
      <c r="BE22" s="58"/>
      <c r="BF22" s="58"/>
      <c r="BG22" s="58"/>
      <c r="BH22" s="58"/>
      <c r="BI22" s="2">
        <f t="shared" si="18"/>
        <v>58645.214009999989</v>
      </c>
      <c r="BJ22" s="2">
        <f t="shared" si="19"/>
        <v>0</v>
      </c>
      <c r="BK22" s="2"/>
    </row>
    <row r="23" spans="1:63" x14ac:dyDescent="0.25">
      <c r="A23">
        <f t="shared" si="8"/>
        <v>2009</v>
      </c>
      <c r="B23" s="2">
        <f t="shared" si="20"/>
        <v>74180.331201248977</v>
      </c>
      <c r="C23" s="2"/>
      <c r="D23" s="2"/>
      <c r="E23" s="2"/>
      <c r="F23" s="2"/>
      <c r="G23" s="2"/>
      <c r="H23" s="2"/>
      <c r="I23" s="2">
        <f t="shared" si="6"/>
        <v>74180.331201248977</v>
      </c>
      <c r="J23" s="2">
        <f t="shared" si="21"/>
        <v>10792.567191248985</v>
      </c>
      <c r="K23" s="6">
        <f t="shared" si="22"/>
        <v>0.17026262654644767</v>
      </c>
      <c r="L23" s="7">
        <f t="shared" si="9"/>
        <v>1.1702626265464477</v>
      </c>
      <c r="N23">
        <f t="shared" si="10"/>
        <v>2009</v>
      </c>
      <c r="O23" s="2">
        <f t="shared" si="23"/>
        <v>4875.3414000000002</v>
      </c>
      <c r="P23" s="2"/>
      <c r="Q23" s="2"/>
      <c r="R23">
        <f t="shared" si="5"/>
        <v>2009</v>
      </c>
      <c r="S23" s="2">
        <f t="shared" si="24"/>
        <v>69304.989801248972</v>
      </c>
      <c r="T23" s="2"/>
      <c r="U23" s="2"/>
      <c r="V23" s="2"/>
      <c r="W23" s="2"/>
      <c r="X23" s="2"/>
      <c r="Y23" s="2"/>
      <c r="Z23" s="2">
        <f t="shared" si="11"/>
        <v>69304.989801248972</v>
      </c>
      <c r="AA23" s="2">
        <f t="shared" si="25"/>
        <v>10659.775791248983</v>
      </c>
      <c r="AB23" s="6">
        <f t="shared" si="26"/>
        <v>0.18176719057468718</v>
      </c>
      <c r="AC23" s="7">
        <f t="shared" si="12"/>
        <v>1.1817671905746872</v>
      </c>
      <c r="AD23" s="2">
        <f t="shared" si="13"/>
        <v>0</v>
      </c>
      <c r="AE23" s="2"/>
      <c r="AG23">
        <f t="shared" si="14"/>
        <v>2009</v>
      </c>
      <c r="AH23" s="6">
        <f t="shared" si="7"/>
        <v>1</v>
      </c>
      <c r="AI23" s="6"/>
      <c r="AJ23" s="6">
        <f t="shared" si="7"/>
        <v>0</v>
      </c>
      <c r="AK23" s="6">
        <f t="shared" si="7"/>
        <v>0</v>
      </c>
      <c r="AL23" s="6"/>
      <c r="AM23" s="6">
        <f t="shared" si="7"/>
        <v>0</v>
      </c>
      <c r="AN23" s="6">
        <f t="shared" si="7"/>
        <v>0</v>
      </c>
      <c r="AO23" s="20">
        <f t="shared" si="27"/>
        <v>1</v>
      </c>
      <c r="AP23" s="22"/>
      <c r="AQ23">
        <f t="shared" si="15"/>
        <v>2009</v>
      </c>
      <c r="AR23" s="1" t="b">
        <f t="shared" si="28"/>
        <v>1</v>
      </c>
      <c r="AS23" s="1"/>
      <c r="AT23" s="1"/>
      <c r="AU23" s="1"/>
      <c r="AV23" s="1"/>
      <c r="AW23" s="1"/>
      <c r="AX23" s="1"/>
      <c r="AY23" s="1" t="b">
        <f t="shared" si="16"/>
        <v>1</v>
      </c>
      <c r="BA23">
        <f t="shared" si="17"/>
        <v>2009</v>
      </c>
      <c r="BB23" s="36">
        <f t="shared" si="29"/>
        <v>69304.989801248972</v>
      </c>
      <c r="BC23" s="2"/>
      <c r="BD23" s="58"/>
      <c r="BE23" s="58"/>
      <c r="BF23" s="58"/>
      <c r="BG23" s="58"/>
      <c r="BH23" s="58"/>
      <c r="BI23" s="2">
        <f t="shared" si="18"/>
        <v>69304.989801248972</v>
      </c>
      <c r="BJ23" s="2">
        <f t="shared" si="19"/>
        <v>0</v>
      </c>
      <c r="BK23" s="2"/>
    </row>
    <row r="24" spans="1:63" x14ac:dyDescent="0.25">
      <c r="A24">
        <f t="shared" si="8"/>
        <v>2010</v>
      </c>
      <c r="B24" s="2">
        <f t="shared" si="20"/>
        <v>79638.363780615196</v>
      </c>
      <c r="C24" s="2"/>
      <c r="D24" s="2"/>
      <c r="E24" s="2"/>
      <c r="F24" s="2"/>
      <c r="G24" s="2"/>
      <c r="H24" s="2"/>
      <c r="I24" s="2">
        <f t="shared" si="6"/>
        <v>79638.363780615196</v>
      </c>
      <c r="J24" s="2">
        <f t="shared" si="21"/>
        <v>5458.0325793662196</v>
      </c>
      <c r="K24" s="6">
        <f t="shared" si="22"/>
        <v>7.3577894449658676E-2</v>
      </c>
      <c r="L24" s="7">
        <f t="shared" si="9"/>
        <v>1.0735778944496586</v>
      </c>
      <c r="N24">
        <f t="shared" si="10"/>
        <v>2010</v>
      </c>
      <c r="O24" s="2">
        <f t="shared" si="23"/>
        <v>4943.5961796000001</v>
      </c>
      <c r="P24" s="2"/>
      <c r="Q24" s="2"/>
      <c r="R24">
        <f t="shared" si="5"/>
        <v>2010</v>
      </c>
      <c r="S24" s="2">
        <f t="shared" si="24"/>
        <v>74694.767601015192</v>
      </c>
      <c r="T24" s="2"/>
      <c r="U24" s="2"/>
      <c r="V24" s="2"/>
      <c r="W24" s="2"/>
      <c r="X24" s="2"/>
      <c r="Y24" s="2"/>
      <c r="Z24" s="2">
        <f t="shared" si="11"/>
        <v>74694.767601015192</v>
      </c>
      <c r="AA24" s="2">
        <f t="shared" si="25"/>
        <v>5389.7777997662197</v>
      </c>
      <c r="AB24" s="6">
        <f t="shared" si="26"/>
        <v>7.7768971833382883E-2</v>
      </c>
      <c r="AC24" s="7">
        <f t="shared" si="12"/>
        <v>1.0777689718333829</v>
      </c>
      <c r="AD24" s="2">
        <f t="shared" si="13"/>
        <v>0</v>
      </c>
      <c r="AE24" s="2"/>
      <c r="AG24">
        <f t="shared" si="14"/>
        <v>2010</v>
      </c>
      <c r="AH24" s="6">
        <f t="shared" si="7"/>
        <v>1</v>
      </c>
      <c r="AI24" s="6"/>
      <c r="AJ24" s="6">
        <f t="shared" si="7"/>
        <v>0</v>
      </c>
      <c r="AK24" s="6">
        <f t="shared" si="7"/>
        <v>0</v>
      </c>
      <c r="AL24" s="6"/>
      <c r="AM24" s="6">
        <f t="shared" si="7"/>
        <v>0</v>
      </c>
      <c r="AN24" s="6">
        <f t="shared" si="7"/>
        <v>0</v>
      </c>
      <c r="AO24" s="20">
        <f t="shared" si="27"/>
        <v>1</v>
      </c>
      <c r="AP24" s="22"/>
      <c r="AQ24">
        <f t="shared" si="15"/>
        <v>2010</v>
      </c>
      <c r="AR24" s="1" t="b">
        <f t="shared" si="28"/>
        <v>1</v>
      </c>
      <c r="AS24" s="1"/>
      <c r="AT24" s="1"/>
      <c r="AU24" s="1"/>
      <c r="AV24" s="1"/>
      <c r="AW24" s="1"/>
      <c r="AX24" s="1"/>
      <c r="AY24" s="1" t="b">
        <f t="shared" si="16"/>
        <v>1</v>
      </c>
      <c r="BA24">
        <f t="shared" si="17"/>
        <v>2010</v>
      </c>
      <c r="BB24" s="36">
        <f t="shared" si="29"/>
        <v>74694.767601015192</v>
      </c>
      <c r="BC24" s="2"/>
      <c r="BD24" s="58"/>
      <c r="BE24" s="58"/>
      <c r="BF24" s="58"/>
      <c r="BG24" s="58"/>
      <c r="BH24" s="58"/>
      <c r="BI24" s="2">
        <f t="shared" si="18"/>
        <v>74694.767601015192</v>
      </c>
      <c r="BJ24" s="2">
        <f t="shared" si="19"/>
        <v>0</v>
      </c>
      <c r="BK24" s="2"/>
    </row>
    <row r="25" spans="1:63" x14ac:dyDescent="0.25">
      <c r="A25">
        <f t="shared" si="8"/>
        <v>2011</v>
      </c>
      <c r="B25" s="2">
        <f t="shared" si="20"/>
        <v>76166.254522755189</v>
      </c>
      <c r="C25" s="2"/>
      <c r="D25" s="2"/>
      <c r="E25" s="2"/>
      <c r="F25" s="2"/>
      <c r="G25" s="2"/>
      <c r="H25" s="2"/>
      <c r="I25" s="2">
        <f t="shared" si="6"/>
        <v>76166.254522755189</v>
      </c>
      <c r="J25" s="2">
        <f t="shared" si="21"/>
        <v>-3472.1092578600073</v>
      </c>
      <c r="K25" s="6">
        <f t="shared" si="22"/>
        <v>-4.3598450458184258E-2</v>
      </c>
      <c r="L25" s="7">
        <f t="shared" si="9"/>
        <v>0.95640154954181578</v>
      </c>
      <c r="N25">
        <f t="shared" si="10"/>
        <v>2011</v>
      </c>
      <c r="O25" s="2">
        <f t="shared" si="23"/>
        <v>5091.9040649879998</v>
      </c>
      <c r="P25" s="2"/>
      <c r="Q25" s="2"/>
      <c r="R25">
        <f t="shared" si="5"/>
        <v>2011</v>
      </c>
      <c r="S25" s="2">
        <f t="shared" si="24"/>
        <v>71074.350457767185</v>
      </c>
      <c r="T25" s="2"/>
      <c r="U25" s="2"/>
      <c r="V25" s="2"/>
      <c r="W25" s="2"/>
      <c r="X25" s="2"/>
      <c r="Y25" s="2"/>
      <c r="Z25" s="2">
        <f t="shared" si="11"/>
        <v>71074.350457767185</v>
      </c>
      <c r="AA25" s="2">
        <f t="shared" si="25"/>
        <v>-3620.4171432480071</v>
      </c>
      <c r="AB25" s="6">
        <f t="shared" si="26"/>
        <v>-4.8469488018044266E-2</v>
      </c>
      <c r="AC25" s="7">
        <f t="shared" si="12"/>
        <v>0.95153051198195571</v>
      </c>
      <c r="AD25" s="2">
        <f t="shared" si="13"/>
        <v>0</v>
      </c>
      <c r="AE25" s="2"/>
      <c r="AG25">
        <f t="shared" si="14"/>
        <v>2011</v>
      </c>
      <c r="AH25" s="6">
        <f t="shared" si="7"/>
        <v>1</v>
      </c>
      <c r="AI25" s="6"/>
      <c r="AJ25" s="6">
        <f t="shared" si="7"/>
        <v>0</v>
      </c>
      <c r="AK25" s="6">
        <f t="shared" si="7"/>
        <v>0</v>
      </c>
      <c r="AL25" s="7"/>
      <c r="AM25" s="6">
        <f t="shared" si="7"/>
        <v>0</v>
      </c>
      <c r="AN25" s="6">
        <f t="shared" si="7"/>
        <v>0</v>
      </c>
      <c r="AO25" s="20">
        <f t="shared" si="27"/>
        <v>1</v>
      </c>
      <c r="AP25" s="22"/>
      <c r="AQ25">
        <f t="shared" si="15"/>
        <v>2011</v>
      </c>
      <c r="AR25" s="1" t="b">
        <f t="shared" si="28"/>
        <v>1</v>
      </c>
      <c r="AS25" s="1"/>
      <c r="AT25" s="1"/>
      <c r="AU25" s="1"/>
      <c r="AV25" s="1"/>
      <c r="AW25" s="1"/>
      <c r="AX25" s="1"/>
      <c r="AY25" s="1" t="b">
        <f t="shared" si="16"/>
        <v>1</v>
      </c>
      <c r="BA25">
        <f t="shared" si="17"/>
        <v>2011</v>
      </c>
      <c r="BB25" s="36">
        <f t="shared" si="29"/>
        <v>71074.350457767185</v>
      </c>
      <c r="BC25" s="2"/>
      <c r="BD25" s="58"/>
      <c r="BE25" s="58"/>
      <c r="BF25" s="58"/>
      <c r="BG25" s="58"/>
      <c r="BH25" s="58"/>
      <c r="BI25" s="2">
        <f t="shared" si="18"/>
        <v>71074.350457767185</v>
      </c>
      <c r="BJ25" s="2">
        <f t="shared" si="19"/>
        <v>0</v>
      </c>
      <c r="BK25" s="2"/>
    </row>
    <row r="26" spans="1:63" x14ac:dyDescent="0.25">
      <c r="A26">
        <f t="shared" si="8"/>
        <v>2012</v>
      </c>
      <c r="B26" s="2">
        <f t="shared" si="20"/>
        <v>82318.312700185939</v>
      </c>
      <c r="C26" s="2"/>
      <c r="D26" s="2"/>
      <c r="E26" s="2"/>
      <c r="F26" s="2"/>
      <c r="G26" s="2"/>
      <c r="H26" s="2"/>
      <c r="I26" s="2">
        <f t="shared" si="6"/>
        <v>82318.312700185939</v>
      </c>
      <c r="J26" s="2">
        <f t="shared" si="21"/>
        <v>6152.0581774307502</v>
      </c>
      <c r="K26" s="6">
        <f t="shared" si="22"/>
        <v>8.0771441578406364E-2</v>
      </c>
      <c r="L26" s="7">
        <f t="shared" si="9"/>
        <v>1.0807714415784064</v>
      </c>
      <c r="N26">
        <f t="shared" si="10"/>
        <v>2012</v>
      </c>
      <c r="O26" s="2">
        <f t="shared" si="23"/>
        <v>5183.5583381577835</v>
      </c>
      <c r="P26" s="2"/>
      <c r="Q26" s="2"/>
      <c r="R26">
        <f t="shared" si="5"/>
        <v>2012</v>
      </c>
      <c r="S26" s="2">
        <f t="shared" si="24"/>
        <v>77134.75436202815</v>
      </c>
      <c r="T26" s="2"/>
      <c r="U26" s="2"/>
      <c r="V26" s="2"/>
      <c r="W26" s="2"/>
      <c r="X26" s="2"/>
      <c r="Y26" s="2"/>
      <c r="Z26" s="2">
        <f t="shared" si="11"/>
        <v>77134.75436202815</v>
      </c>
      <c r="AA26" s="2">
        <f t="shared" si="25"/>
        <v>6060.4039042609656</v>
      </c>
      <c r="AB26" s="6">
        <f t="shared" si="26"/>
        <v>8.5268509177049673E-2</v>
      </c>
      <c r="AC26" s="7">
        <f t="shared" si="12"/>
        <v>1.0852685091770498</v>
      </c>
      <c r="AD26" s="2">
        <f t="shared" si="13"/>
        <v>0</v>
      </c>
      <c r="AE26" s="2"/>
      <c r="AG26">
        <f t="shared" si="14"/>
        <v>2012</v>
      </c>
      <c r="AH26" s="6">
        <f t="shared" si="7"/>
        <v>1</v>
      </c>
      <c r="AI26" s="6"/>
      <c r="AJ26" s="6">
        <f t="shared" si="7"/>
        <v>0</v>
      </c>
      <c r="AK26" s="6">
        <f t="shared" si="7"/>
        <v>0</v>
      </c>
      <c r="AL26" s="7"/>
      <c r="AM26" s="6">
        <f t="shared" si="7"/>
        <v>0</v>
      </c>
      <c r="AN26" s="6">
        <f t="shared" si="7"/>
        <v>0</v>
      </c>
      <c r="AO26" s="20">
        <f t="shared" ref="AO26:AO31" si="30">SUM(AH26:AN26)</f>
        <v>1</v>
      </c>
      <c r="AP26" s="22"/>
      <c r="AQ26">
        <f t="shared" si="15"/>
        <v>2012</v>
      </c>
      <c r="AR26" s="1" t="b">
        <f t="shared" si="28"/>
        <v>1</v>
      </c>
      <c r="AS26" s="1"/>
      <c r="AT26" s="1"/>
      <c r="AU26" s="1"/>
      <c r="AV26" s="1"/>
      <c r="AW26" s="1"/>
      <c r="AX26" s="1"/>
      <c r="AY26" s="1" t="b">
        <f t="shared" si="16"/>
        <v>1</v>
      </c>
      <c r="BA26">
        <f t="shared" si="17"/>
        <v>2012</v>
      </c>
      <c r="BB26" s="36">
        <f t="shared" si="29"/>
        <v>77134.75436202815</v>
      </c>
      <c r="BC26" s="2"/>
      <c r="BD26" s="58"/>
      <c r="BE26" s="58"/>
      <c r="BF26" s="58"/>
      <c r="BG26" s="58"/>
      <c r="BH26" s="58"/>
      <c r="BI26" s="2">
        <f t="shared" si="18"/>
        <v>77134.75436202815</v>
      </c>
      <c r="BJ26" s="2">
        <f t="shared" si="19"/>
        <v>0</v>
      </c>
      <c r="BK26" s="2"/>
    </row>
    <row r="27" spans="1:63" x14ac:dyDescent="0.25">
      <c r="A27">
        <f t="shared" si="8"/>
        <v>2013</v>
      </c>
      <c r="B27" s="2">
        <f t="shared" si="20"/>
        <v>101956.71831572881</v>
      </c>
      <c r="C27" s="2"/>
      <c r="D27" s="2"/>
      <c r="E27" s="2"/>
      <c r="F27" s="2"/>
      <c r="G27" s="2"/>
      <c r="H27" s="2"/>
      <c r="I27" s="2">
        <f t="shared" ref="I27:I28" si="31">SUM(B27:H27)</f>
        <v>101956.71831572881</v>
      </c>
      <c r="J27" s="2">
        <f t="shared" si="21"/>
        <v>19638.40561554287</v>
      </c>
      <c r="K27" s="6">
        <f t="shared" si="22"/>
        <v>0.23856666847714081</v>
      </c>
      <c r="L27" s="7">
        <f t="shared" si="9"/>
        <v>1.2385666684771408</v>
      </c>
      <c r="N27">
        <f t="shared" si="10"/>
        <v>2013</v>
      </c>
      <c r="O27" s="2">
        <f t="shared" si="23"/>
        <v>5243.4591083556279</v>
      </c>
      <c r="P27" s="2"/>
      <c r="Q27" s="2"/>
      <c r="R27">
        <f t="shared" si="5"/>
        <v>2013</v>
      </c>
      <c r="S27" s="2">
        <f t="shared" si="24"/>
        <v>96713.259207373179</v>
      </c>
      <c r="T27" s="2"/>
      <c r="U27" s="2"/>
      <c r="V27" s="2"/>
      <c r="W27" s="2"/>
      <c r="X27" s="2"/>
      <c r="Y27" s="2"/>
      <c r="Z27" s="2">
        <f t="shared" si="11"/>
        <v>96713.259207373179</v>
      </c>
      <c r="AA27" s="2">
        <f t="shared" si="25"/>
        <v>19578.504845345029</v>
      </c>
      <c r="AB27" s="6">
        <f t="shared" si="26"/>
        <v>0.25382209364995556</v>
      </c>
      <c r="AC27" s="7">
        <f t="shared" si="12"/>
        <v>1.2538220936499556</v>
      </c>
      <c r="AD27" s="2">
        <f t="shared" si="13"/>
        <v>0</v>
      </c>
      <c r="AE27" s="2"/>
      <c r="AG27">
        <f t="shared" si="14"/>
        <v>2013</v>
      </c>
      <c r="AH27" s="6">
        <f t="shared" si="7"/>
        <v>1</v>
      </c>
      <c r="AI27" s="6"/>
      <c r="AJ27" s="6">
        <f t="shared" si="7"/>
        <v>0</v>
      </c>
      <c r="AK27" s="6">
        <f t="shared" si="7"/>
        <v>0</v>
      </c>
      <c r="AL27" s="7"/>
      <c r="AM27" s="6">
        <f t="shared" si="7"/>
        <v>0</v>
      </c>
      <c r="AN27" s="6">
        <f t="shared" si="7"/>
        <v>0</v>
      </c>
      <c r="AO27" s="20">
        <f t="shared" si="30"/>
        <v>1</v>
      </c>
      <c r="AP27" s="22"/>
      <c r="AQ27">
        <f t="shared" si="15"/>
        <v>2013</v>
      </c>
      <c r="AR27" s="1" t="b">
        <f t="shared" si="28"/>
        <v>1</v>
      </c>
      <c r="AS27" s="1"/>
      <c r="AT27" s="1"/>
      <c r="AU27" s="1"/>
      <c r="AV27" s="1"/>
      <c r="AW27" s="1"/>
      <c r="AX27" s="1"/>
      <c r="AY27" s="1" t="b">
        <f t="shared" si="16"/>
        <v>1</v>
      </c>
      <c r="BA27">
        <f t="shared" si="17"/>
        <v>2013</v>
      </c>
      <c r="BB27" s="36">
        <f t="shared" si="29"/>
        <v>96713.259207373179</v>
      </c>
      <c r="BC27" s="2"/>
      <c r="BD27" s="58"/>
      <c r="BE27" s="58"/>
      <c r="BF27" s="58"/>
      <c r="BG27" s="58"/>
      <c r="BH27" s="58"/>
      <c r="BI27" s="2">
        <f t="shared" si="18"/>
        <v>96713.259207373179</v>
      </c>
      <c r="BJ27" s="2">
        <f t="shared" si="19"/>
        <v>0</v>
      </c>
      <c r="BK27" s="2"/>
    </row>
    <row r="28" spans="1:63" x14ac:dyDescent="0.25">
      <c r="A28">
        <f t="shared" si="8"/>
        <v>2014</v>
      </c>
      <c r="B28" s="2">
        <f t="shared" si="20"/>
        <v>109779.2205262893</v>
      </c>
      <c r="C28" s="2"/>
      <c r="D28" s="2"/>
      <c r="E28" s="2"/>
      <c r="F28" s="2"/>
      <c r="G28" s="2"/>
      <c r="H28" s="2"/>
      <c r="I28" s="2">
        <f t="shared" si="31"/>
        <v>109779.2205262893</v>
      </c>
      <c r="J28" s="2">
        <f t="shared" si="21"/>
        <v>7822.5022105604876</v>
      </c>
      <c r="K28" s="6">
        <f t="shared" si="22"/>
        <v>7.6723754351690571E-2</v>
      </c>
      <c r="L28" s="7">
        <f t="shared" si="9"/>
        <v>1.0767237543516905</v>
      </c>
      <c r="N28">
        <f t="shared" si="10"/>
        <v>2014</v>
      </c>
      <c r="O28" s="2">
        <f t="shared" si="23"/>
        <v>5311.0997308534152</v>
      </c>
      <c r="P28" s="2"/>
      <c r="Q28" s="2"/>
      <c r="R28">
        <f t="shared" si="5"/>
        <v>2014</v>
      </c>
      <c r="S28" s="2">
        <f t="shared" si="24"/>
        <v>104468.12079543588</v>
      </c>
      <c r="T28" s="2"/>
      <c r="U28" s="2"/>
      <c r="V28" s="2"/>
      <c r="W28" s="2"/>
      <c r="X28" s="2"/>
      <c r="Y28" s="2"/>
      <c r="Z28" s="2">
        <f t="shared" si="11"/>
        <v>104468.12079543588</v>
      </c>
      <c r="AA28" s="2">
        <f t="shared" si="25"/>
        <v>7754.861588062704</v>
      </c>
      <c r="AB28" s="6">
        <f t="shared" si="26"/>
        <v>8.0184058024915503E-2</v>
      </c>
      <c r="AC28" s="7">
        <f t="shared" si="12"/>
        <v>1.0801840580249156</v>
      </c>
      <c r="AD28" s="2">
        <f t="shared" si="13"/>
        <v>0</v>
      </c>
      <c r="AE28" s="2"/>
      <c r="AG28">
        <f t="shared" si="14"/>
        <v>2014</v>
      </c>
      <c r="AH28" s="6">
        <f t="shared" si="7"/>
        <v>1</v>
      </c>
      <c r="AI28" s="6"/>
      <c r="AJ28" s="6">
        <f t="shared" si="7"/>
        <v>0</v>
      </c>
      <c r="AK28" s="6">
        <f t="shared" si="7"/>
        <v>0</v>
      </c>
      <c r="AL28" s="7"/>
      <c r="AM28" s="6">
        <f t="shared" si="7"/>
        <v>0</v>
      </c>
      <c r="AN28" s="6">
        <f t="shared" si="7"/>
        <v>0</v>
      </c>
      <c r="AO28" s="20">
        <f t="shared" si="30"/>
        <v>1</v>
      </c>
      <c r="AP28" s="22"/>
      <c r="AQ28">
        <f t="shared" si="15"/>
        <v>2014</v>
      </c>
      <c r="AR28" s="1" t="b">
        <f t="shared" si="28"/>
        <v>1</v>
      </c>
      <c r="AS28" s="1"/>
      <c r="AT28" s="1"/>
      <c r="AU28" s="1"/>
      <c r="AV28" s="1"/>
      <c r="AW28" s="1"/>
      <c r="AX28" s="1"/>
      <c r="AY28" s="1" t="b">
        <f t="shared" si="16"/>
        <v>1</v>
      </c>
      <c r="BA28">
        <f t="shared" si="17"/>
        <v>2014</v>
      </c>
      <c r="BB28" s="36">
        <f t="shared" si="29"/>
        <v>104468.12079543588</v>
      </c>
      <c r="BC28" s="2"/>
      <c r="BD28" s="58"/>
      <c r="BE28" s="58"/>
      <c r="BF28" s="58"/>
      <c r="BG28" s="58"/>
      <c r="BH28" s="58"/>
      <c r="BI28" s="2">
        <f t="shared" si="18"/>
        <v>104468.12079543588</v>
      </c>
      <c r="BJ28" s="2">
        <f t="shared" si="19"/>
        <v>0</v>
      </c>
      <c r="BK28" s="2"/>
    </row>
    <row r="29" spans="1:63" x14ac:dyDescent="0.25">
      <c r="A29">
        <f t="shared" si="8"/>
        <v>2015</v>
      </c>
      <c r="B29" s="2">
        <f t="shared" si="20"/>
        <v>105773.97230537883</v>
      </c>
      <c r="C29" s="2"/>
      <c r="D29" s="2"/>
      <c r="E29" s="2"/>
      <c r="F29" s="2"/>
      <c r="G29" s="2"/>
      <c r="H29" s="2"/>
      <c r="I29" s="2">
        <f t="shared" ref="I29:I31" si="32">SUM(B29:H29)</f>
        <v>105773.97230537883</v>
      </c>
      <c r="J29" s="2">
        <f t="shared" si="21"/>
        <v>-4005.2482209104637</v>
      </c>
      <c r="K29" s="6">
        <f t="shared" si="22"/>
        <v>-3.6484575147364161E-2</v>
      </c>
      <c r="L29" s="7">
        <f t="shared" si="9"/>
        <v>0.96351542485263586</v>
      </c>
      <c r="N29">
        <f t="shared" si="10"/>
        <v>2015</v>
      </c>
      <c r="O29" s="2">
        <f t="shared" si="23"/>
        <v>5334.4685696691704</v>
      </c>
      <c r="P29" s="2"/>
      <c r="Q29" s="2"/>
      <c r="R29">
        <f t="shared" si="5"/>
        <v>2015</v>
      </c>
      <c r="S29" s="2">
        <f t="shared" si="24"/>
        <v>100439.50373570966</v>
      </c>
      <c r="T29" s="2"/>
      <c r="U29" s="2"/>
      <c r="V29" s="2"/>
      <c r="W29" s="2"/>
      <c r="X29" s="2"/>
      <c r="Y29" s="2"/>
      <c r="Z29" s="2">
        <f t="shared" si="11"/>
        <v>100439.50373570966</v>
      </c>
      <c r="AA29" s="2">
        <f t="shared" si="25"/>
        <v>-4028.6170597262244</v>
      </c>
      <c r="AB29" s="6">
        <f t="shared" si="26"/>
        <v>-3.8563123650083221E-2</v>
      </c>
      <c r="AC29" s="7">
        <f t="shared" si="12"/>
        <v>0.96143687634991681</v>
      </c>
      <c r="AD29" s="2">
        <f t="shared" si="13"/>
        <v>0</v>
      </c>
      <c r="AE29" s="2"/>
      <c r="AG29">
        <f t="shared" si="14"/>
        <v>2015</v>
      </c>
      <c r="AH29" s="6">
        <f t="shared" si="7"/>
        <v>1</v>
      </c>
      <c r="AI29" s="6"/>
      <c r="AJ29" s="6">
        <f t="shared" si="7"/>
        <v>0</v>
      </c>
      <c r="AK29" s="6">
        <f t="shared" si="7"/>
        <v>0</v>
      </c>
      <c r="AL29" s="7"/>
      <c r="AM29" s="6">
        <f t="shared" si="7"/>
        <v>0</v>
      </c>
      <c r="AN29" s="6">
        <f t="shared" si="7"/>
        <v>0</v>
      </c>
      <c r="AO29" s="20">
        <f t="shared" si="30"/>
        <v>1</v>
      </c>
      <c r="AP29" s="22"/>
      <c r="AQ29">
        <f t="shared" si="15"/>
        <v>2015</v>
      </c>
      <c r="AR29" s="1" t="b">
        <f t="shared" si="28"/>
        <v>1</v>
      </c>
      <c r="AS29" s="1"/>
      <c r="AT29" s="1"/>
      <c r="AU29" s="1"/>
      <c r="AV29" s="1"/>
      <c r="AW29" s="1"/>
      <c r="AX29" s="1"/>
      <c r="AY29" s="1" t="b">
        <f t="shared" si="16"/>
        <v>1</v>
      </c>
      <c r="BA29">
        <f t="shared" si="17"/>
        <v>2015</v>
      </c>
      <c r="BB29" s="36">
        <f t="shared" si="29"/>
        <v>100439.50373570966</v>
      </c>
      <c r="BC29" s="2"/>
      <c r="BD29" s="58"/>
      <c r="BE29" s="58"/>
      <c r="BF29" s="58"/>
      <c r="BG29" s="58"/>
      <c r="BH29" s="58"/>
      <c r="BI29" s="2">
        <f t="shared" si="18"/>
        <v>100439.50373570966</v>
      </c>
      <c r="BJ29" s="2">
        <f t="shared" si="19"/>
        <v>0</v>
      </c>
      <c r="BK29" s="2"/>
    </row>
    <row r="30" spans="1:63" x14ac:dyDescent="0.25">
      <c r="A30">
        <f t="shared" si="8"/>
        <v>2016</v>
      </c>
      <c r="B30" s="2">
        <f t="shared" si="20"/>
        <v>112311.45307727055</v>
      </c>
      <c r="C30" s="2"/>
      <c r="D30" s="2"/>
      <c r="E30" s="2"/>
      <c r="F30" s="2"/>
      <c r="G30" s="2"/>
      <c r="H30" s="2"/>
      <c r="I30" s="2">
        <f t="shared" si="32"/>
        <v>112311.45307727055</v>
      </c>
      <c r="J30" s="2">
        <f t="shared" si="21"/>
        <v>6537.4807718917145</v>
      </c>
      <c r="K30" s="6">
        <f t="shared" si="22"/>
        <v>6.1806138404421722E-2</v>
      </c>
      <c r="L30" s="7">
        <f t="shared" si="9"/>
        <v>1.0618061384044217</v>
      </c>
      <c r="N30">
        <f t="shared" si="10"/>
        <v>2016</v>
      </c>
      <c r="O30" s="2">
        <f t="shared" si="23"/>
        <v>5425.1545353535457</v>
      </c>
      <c r="P30" s="2"/>
      <c r="Q30" s="2"/>
      <c r="R30">
        <f t="shared" si="5"/>
        <v>2016</v>
      </c>
      <c r="S30" s="2">
        <f t="shared" si="24"/>
        <v>106886.298541917</v>
      </c>
      <c r="T30" s="2"/>
      <c r="U30" s="2"/>
      <c r="V30" s="2"/>
      <c r="W30" s="2"/>
      <c r="X30" s="2"/>
      <c r="Y30" s="2"/>
      <c r="Z30" s="2">
        <f t="shared" si="11"/>
        <v>106886.298541917</v>
      </c>
      <c r="AA30" s="2">
        <f t="shared" si="25"/>
        <v>6446.794806207341</v>
      </c>
      <c r="AB30" s="6">
        <f t="shared" si="26"/>
        <v>6.4185848858543157E-2</v>
      </c>
      <c r="AC30" s="7">
        <f t="shared" si="12"/>
        <v>1.0641858488585432</v>
      </c>
      <c r="AD30" s="2">
        <f t="shared" si="13"/>
        <v>0</v>
      </c>
      <c r="AE30" s="2"/>
      <c r="AG30">
        <f t="shared" si="14"/>
        <v>2016</v>
      </c>
      <c r="AH30" s="6">
        <f t="shared" si="7"/>
        <v>1</v>
      </c>
      <c r="AI30" s="6"/>
      <c r="AJ30" s="6">
        <f t="shared" si="7"/>
        <v>0</v>
      </c>
      <c r="AK30" s="6">
        <f t="shared" si="7"/>
        <v>0</v>
      </c>
      <c r="AL30" s="7"/>
      <c r="AM30" s="6">
        <f t="shared" si="7"/>
        <v>0</v>
      </c>
      <c r="AN30" s="6">
        <f t="shared" si="7"/>
        <v>0</v>
      </c>
      <c r="AO30" s="20">
        <f t="shared" si="30"/>
        <v>1</v>
      </c>
      <c r="AP30" s="22"/>
      <c r="AQ30">
        <f t="shared" si="15"/>
        <v>2016</v>
      </c>
      <c r="AR30" s="1" t="b">
        <f t="shared" si="28"/>
        <v>1</v>
      </c>
      <c r="AS30" s="1"/>
      <c r="AT30" s="1"/>
      <c r="AU30" s="1"/>
      <c r="AV30" s="1"/>
      <c r="AW30" s="1"/>
      <c r="AX30" s="1"/>
      <c r="AY30" s="1" t="b">
        <f t="shared" si="16"/>
        <v>1</v>
      </c>
      <c r="BA30">
        <f t="shared" si="17"/>
        <v>2016</v>
      </c>
      <c r="BB30" s="36">
        <f t="shared" si="29"/>
        <v>106886.298541917</v>
      </c>
      <c r="BC30" s="2"/>
      <c r="BD30" s="58"/>
      <c r="BE30" s="58"/>
      <c r="BF30" s="58"/>
      <c r="BG30" s="58"/>
      <c r="BH30" s="58"/>
      <c r="BI30" s="2">
        <f t="shared" si="18"/>
        <v>106886.298541917</v>
      </c>
      <c r="BJ30" s="2">
        <f t="shared" si="19"/>
        <v>0</v>
      </c>
      <c r="BK30" s="2"/>
    </row>
    <row r="31" spans="1:63" x14ac:dyDescent="0.25">
      <c r="A31">
        <f t="shared" si="8"/>
        <v>2017</v>
      </c>
      <c r="B31" s="2">
        <f t="shared" si="20"/>
        <v>130048.5594359504</v>
      </c>
      <c r="C31" s="2"/>
      <c r="D31" s="2"/>
      <c r="E31" s="2"/>
      <c r="F31" s="2"/>
      <c r="G31" s="2"/>
      <c r="H31" s="2"/>
      <c r="I31" s="2">
        <f t="shared" si="32"/>
        <v>130048.5594359504</v>
      </c>
      <c r="J31" s="2">
        <f t="shared" si="21"/>
        <v>17737.106358679855</v>
      </c>
      <c r="K31" s="6">
        <f t="shared" si="22"/>
        <v>0.15792785039008161</v>
      </c>
      <c r="L31" s="7">
        <f t="shared" si="9"/>
        <v>1.1579278503900816</v>
      </c>
      <c r="N31">
        <f t="shared" si="10"/>
        <v>2017</v>
      </c>
      <c r="O31" s="2">
        <f t="shared" si="23"/>
        <v>5546.1354814919296</v>
      </c>
      <c r="P31" s="2"/>
      <c r="Q31" s="2"/>
      <c r="R31">
        <f t="shared" si="5"/>
        <v>2017</v>
      </c>
      <c r="S31" s="2">
        <f t="shared" si="24"/>
        <v>124502.42395445847</v>
      </c>
      <c r="T31" s="2"/>
      <c r="U31" s="2"/>
      <c r="V31" s="2"/>
      <c r="W31" s="2"/>
      <c r="X31" s="2"/>
      <c r="Y31" s="2"/>
      <c r="Z31" s="2">
        <f t="shared" si="11"/>
        <v>124502.42395445847</v>
      </c>
      <c r="AA31" s="2">
        <f t="shared" si="25"/>
        <v>17616.125412541471</v>
      </c>
      <c r="AB31" s="6">
        <f t="shared" si="26"/>
        <v>0.16481182015703399</v>
      </c>
      <c r="AC31" s="7">
        <f t="shared" si="12"/>
        <v>1.1648118201570341</v>
      </c>
      <c r="AD31" s="2">
        <f t="shared" si="13"/>
        <v>0</v>
      </c>
      <c r="AE31" s="2"/>
      <c r="AG31">
        <f t="shared" si="14"/>
        <v>2017</v>
      </c>
      <c r="AH31" s="6">
        <f t="shared" si="7"/>
        <v>1</v>
      </c>
      <c r="AI31" s="6"/>
      <c r="AJ31" s="6">
        <f t="shared" si="7"/>
        <v>0</v>
      </c>
      <c r="AK31" s="6">
        <f t="shared" si="7"/>
        <v>0</v>
      </c>
      <c r="AL31" s="7"/>
      <c r="AM31" s="6">
        <f t="shared" si="7"/>
        <v>0</v>
      </c>
      <c r="AN31" s="6">
        <f t="shared" si="7"/>
        <v>0</v>
      </c>
      <c r="AO31" s="20">
        <f t="shared" si="30"/>
        <v>1</v>
      </c>
      <c r="AP31" s="22"/>
      <c r="AQ31">
        <f t="shared" si="15"/>
        <v>2017</v>
      </c>
      <c r="AR31" s="1" t="b">
        <f t="shared" si="28"/>
        <v>1</v>
      </c>
      <c r="AS31" s="1"/>
      <c r="AT31" s="1"/>
      <c r="AU31" s="1"/>
      <c r="AV31" s="1"/>
      <c r="AW31" s="1"/>
      <c r="AX31" s="1"/>
      <c r="AY31" s="1" t="b">
        <f t="shared" si="16"/>
        <v>1</v>
      </c>
      <c r="BA31">
        <f t="shared" si="17"/>
        <v>2017</v>
      </c>
      <c r="BB31" s="36">
        <f t="shared" si="29"/>
        <v>124502.42395445847</v>
      </c>
      <c r="BC31" s="2"/>
      <c r="BD31" s="58"/>
      <c r="BE31" s="58"/>
      <c r="BF31" s="58"/>
      <c r="BG31" s="58"/>
      <c r="BH31" s="58"/>
      <c r="BI31" s="2">
        <f t="shared" si="18"/>
        <v>124502.42395445847</v>
      </c>
      <c r="BJ31" s="2">
        <f t="shared" si="19"/>
        <v>0</v>
      </c>
      <c r="BK31" s="2"/>
    </row>
    <row r="32" spans="1:63" x14ac:dyDescent="0.25">
      <c r="A32" s="9" t="s">
        <v>46</v>
      </c>
      <c r="B32" s="10">
        <f>BB31</f>
        <v>124502.42395445847</v>
      </c>
      <c r="C32" s="10"/>
      <c r="D32" s="10">
        <f>BD31</f>
        <v>0</v>
      </c>
      <c r="E32" s="10">
        <f>BE31</f>
        <v>0</v>
      </c>
      <c r="F32" s="10"/>
      <c r="G32" s="10">
        <f>BG31</f>
        <v>0</v>
      </c>
      <c r="H32" s="10">
        <f>BH31</f>
        <v>0</v>
      </c>
      <c r="I32" s="10">
        <f t="shared" si="6"/>
        <v>124502.42395445847</v>
      </c>
      <c r="J32" s="10"/>
      <c r="K32" s="10"/>
      <c r="N32" t="s">
        <v>77</v>
      </c>
      <c r="O32" s="2">
        <f>O28</f>
        <v>5311.0997308534152</v>
      </c>
      <c r="P32" s="2"/>
      <c r="R32" s="9" t="s">
        <v>46</v>
      </c>
      <c r="S32" s="10">
        <f>S31</f>
        <v>124502.42395445847</v>
      </c>
      <c r="T32" s="10"/>
      <c r="U32" s="10"/>
      <c r="V32" s="10"/>
      <c r="W32" s="10"/>
      <c r="X32" s="10"/>
      <c r="Y32" s="10">
        <f>Y31</f>
        <v>0</v>
      </c>
      <c r="Z32" s="10">
        <f>Z31</f>
        <v>124502.42395445847</v>
      </c>
      <c r="AA32" s="10"/>
      <c r="AB32" s="10"/>
      <c r="AD32" s="40"/>
      <c r="AE32" s="40"/>
      <c r="AK32" s="7"/>
    </row>
    <row r="33" spans="1:28" x14ac:dyDescent="0.25">
      <c r="A33" s="11" t="s">
        <v>92</v>
      </c>
      <c r="I33" s="6">
        <f>(Z32-Z20)/Z20</f>
        <v>0.24502423954458472</v>
      </c>
      <c r="K33" s="6"/>
      <c r="N33" t="s">
        <v>38</v>
      </c>
      <c r="O33" s="2">
        <f>SUM(O21:O31)</f>
        <v>56439.817408469477</v>
      </c>
      <c r="P33" s="2"/>
      <c r="AB33" s="6"/>
    </row>
    <row r="34" spans="1:28" x14ac:dyDescent="0.25">
      <c r="A34" s="1" t="s">
        <v>93</v>
      </c>
      <c r="I34" s="12">
        <f>STDEV(AC21:AC31)</f>
        <v>0.17642392132787477</v>
      </c>
    </row>
    <row r="35" spans="1:28" x14ac:dyDescent="0.25">
      <c r="A35" s="1" t="s">
        <v>94</v>
      </c>
      <c r="I35" s="13">
        <f>((1+I33)^(1/I42))-1</f>
        <v>2.0122972954369267E-2</v>
      </c>
    </row>
    <row r="36" spans="1:28" x14ac:dyDescent="0.25">
      <c r="A36" s="1" t="s">
        <v>50</v>
      </c>
      <c r="I36" s="27">
        <f>AA22</f>
        <v>-42002.235990000008</v>
      </c>
      <c r="O36" s="2"/>
      <c r="P36" s="2"/>
    </row>
    <row r="37" spans="1:28" x14ac:dyDescent="0.25">
      <c r="A37" s="1" t="s">
        <v>51</v>
      </c>
      <c r="I37" s="28">
        <f>AB22</f>
        <v>-0.41732041884816762</v>
      </c>
    </row>
    <row r="38" spans="1:28" x14ac:dyDescent="0.25">
      <c r="A38" s="1" t="s">
        <v>79</v>
      </c>
      <c r="I38" s="2">
        <f>O33</f>
        <v>56439.817408469477</v>
      </c>
    </row>
    <row r="39" spans="1:28" x14ac:dyDescent="0.25">
      <c r="A39" s="3" t="s">
        <v>52</v>
      </c>
      <c r="I39" s="29">
        <f>I32-Z31</f>
        <v>0</v>
      </c>
    </row>
    <row r="40" spans="1:28" x14ac:dyDescent="0.25">
      <c r="A40" s="3" t="s">
        <v>141</v>
      </c>
      <c r="I40" s="29">
        <f>((SUM(AA21:AA31)))-(I32-I20)</f>
        <v>0</v>
      </c>
    </row>
    <row r="41" spans="1:28" x14ac:dyDescent="0.25">
      <c r="A41" s="3" t="s">
        <v>142</v>
      </c>
      <c r="I41" s="29">
        <f>(SUM(O21:O31))-I38</f>
        <v>0</v>
      </c>
    </row>
    <row r="42" spans="1:28" x14ac:dyDescent="0.25">
      <c r="A42" s="3" t="s">
        <v>146</v>
      </c>
      <c r="I42" s="3">
        <f>COUNTA(I21:I31)</f>
        <v>11</v>
      </c>
    </row>
    <row r="44" spans="1:28" x14ac:dyDescent="0.25">
      <c r="B44" s="2"/>
      <c r="D44" s="2"/>
      <c r="E44" s="2"/>
      <c r="G44" s="2"/>
      <c r="H44" s="2"/>
      <c r="I44" s="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42"/>
  <sheetViews>
    <sheetView topLeftCell="A4" workbookViewId="0">
      <selection activeCell="A28" sqref="A28"/>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19</v>
      </c>
      <c r="N1" s="63" t="s">
        <v>138</v>
      </c>
      <c r="O1" s="42"/>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2"/>
      <c r="O2" s="42"/>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2" t="s">
        <v>18</v>
      </c>
      <c r="O3" s="42" t="s">
        <v>78</v>
      </c>
      <c r="P3" s="41"/>
    </row>
    <row r="4" spans="1:16"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c r="N4" s="42">
        <v>2007</v>
      </c>
      <c r="O4" s="43">
        <v>4.1000000000000002E-2</v>
      </c>
      <c r="P4" s="41"/>
    </row>
    <row r="5" spans="1:16"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c r="N5" s="42">
        <v>2008</v>
      </c>
      <c r="O5" s="43">
        <v>0</v>
      </c>
      <c r="P5" s="41"/>
    </row>
    <row r="6" spans="1:16"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c r="N6" s="42">
        <v>2009</v>
      </c>
      <c r="O6" s="43">
        <v>2.8000000000000001E-2</v>
      </c>
      <c r="P6" s="41"/>
    </row>
    <row r="7" spans="1:16"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c r="N7" s="42">
        <v>2010</v>
      </c>
      <c r="O7" s="43">
        <v>1.4E-2</v>
      </c>
      <c r="P7" s="41"/>
    </row>
    <row r="8" spans="1:16"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c r="N8" s="42">
        <v>2011</v>
      </c>
      <c r="O8" s="43">
        <v>0.03</v>
      </c>
      <c r="P8" s="41"/>
    </row>
    <row r="9" spans="1:16"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c r="N9" s="42">
        <v>2012</v>
      </c>
      <c r="O9" s="43">
        <v>1.7999999999999999E-2</v>
      </c>
      <c r="P9" s="41"/>
    </row>
    <row r="10" spans="1:16"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c r="N10" s="42">
        <v>2013</v>
      </c>
      <c r="O10" s="43">
        <v>1.15559170535223E-2</v>
      </c>
      <c r="P10" s="41"/>
    </row>
    <row r="11" spans="1:16"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c r="N11" s="42">
        <v>2014</v>
      </c>
      <c r="O11" s="43">
        <v>1.29E-2</v>
      </c>
      <c r="P11" s="41"/>
    </row>
    <row r="12" spans="1:16"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c r="N12" s="42">
        <v>2015</v>
      </c>
      <c r="O12" s="43">
        <v>4.4000000000000003E-3</v>
      </c>
      <c r="P12" s="41"/>
    </row>
    <row r="13" spans="1:16"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c r="N13" s="42">
        <v>2016</v>
      </c>
      <c r="O13" s="43">
        <v>1.7000000000000001E-2</v>
      </c>
      <c r="P13" s="41"/>
    </row>
    <row r="14" spans="1:16"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c r="N14" s="42">
        <v>2017</v>
      </c>
      <c r="O14" s="43">
        <v>2.23E-2</v>
      </c>
      <c r="P14" s="41"/>
    </row>
    <row r="15" spans="1:16" x14ac:dyDescent="0.25">
      <c r="N15" s="1"/>
      <c r="O15" s="64"/>
    </row>
    <row r="17" spans="1:42" x14ac:dyDescent="0.25">
      <c r="A17" s="18" t="s">
        <v>105</v>
      </c>
      <c r="N17" s="18" t="s">
        <v>66</v>
      </c>
      <c r="R17" s="18" t="s">
        <v>114</v>
      </c>
      <c r="AG17" s="18" t="s">
        <v>115</v>
      </c>
    </row>
    <row r="18" spans="1:42" x14ac:dyDescent="0.25">
      <c r="B18" s="4" t="str">
        <f t="shared" ref="B18:H19" si="0">B2</f>
        <v>LC Stocks</v>
      </c>
      <c r="C18" s="4" t="str">
        <f t="shared" si="0"/>
        <v>Ext Mkt</v>
      </c>
      <c r="D18" s="4" t="str">
        <f t="shared" si="0"/>
        <v>Mcap Stk</v>
      </c>
      <c r="E18" s="4" t="str">
        <f t="shared" si="0"/>
        <v>Small Cap</v>
      </c>
      <c r="F18" s="4" t="str">
        <f t="shared" si="0"/>
        <v>Intl Val</v>
      </c>
      <c r="G18" s="4" t="str">
        <f t="shared" si="0"/>
        <v>Tot Int Stk</v>
      </c>
      <c r="H18" s="4" t="str">
        <f t="shared" si="0"/>
        <v>Bonds</v>
      </c>
      <c r="I18" s="5"/>
      <c r="J18" s="5" t="s">
        <v>44</v>
      </c>
      <c r="K18" s="5" t="s">
        <v>41</v>
      </c>
      <c r="L18" s="5" t="s">
        <v>42</v>
      </c>
      <c r="S18" s="4" t="str">
        <f t="shared" ref="S18:Y18" si="1">B18</f>
        <v>LC Stocks</v>
      </c>
      <c r="T18" s="4" t="str">
        <f t="shared" si="1"/>
        <v>Ext Mkt</v>
      </c>
      <c r="U18" s="4" t="str">
        <f t="shared" si="1"/>
        <v>Mcap Stk</v>
      </c>
      <c r="V18" s="4" t="str">
        <f t="shared" si="1"/>
        <v>Small Cap</v>
      </c>
      <c r="W18" s="4" t="str">
        <f t="shared" si="1"/>
        <v>Intl Val</v>
      </c>
      <c r="X18" s="4" t="str">
        <f t="shared" si="1"/>
        <v>Tot Int Stk</v>
      </c>
      <c r="Y18" s="4" t="str">
        <f t="shared" si="1"/>
        <v>Bonds</v>
      </c>
      <c r="Z18" s="5"/>
      <c r="AA18" s="5" t="s">
        <v>44</v>
      </c>
      <c r="AB18" s="5" t="s">
        <v>41</v>
      </c>
      <c r="AC18" s="5" t="s">
        <v>42</v>
      </c>
      <c r="AD18" s="5" t="s">
        <v>56</v>
      </c>
      <c r="AE18" s="5"/>
      <c r="AH18" s="4" t="str">
        <f t="shared" ref="AH18:AN19" si="2">B18</f>
        <v>LC Stocks</v>
      </c>
      <c r="AI18" s="4" t="str">
        <f t="shared" si="2"/>
        <v>Ext Mkt</v>
      </c>
      <c r="AJ18" s="4" t="str">
        <f t="shared" si="2"/>
        <v>Mcap Stk</v>
      </c>
      <c r="AK18" s="4" t="str">
        <f t="shared" si="2"/>
        <v>Small Cap</v>
      </c>
      <c r="AL18" s="4" t="str">
        <f t="shared" si="2"/>
        <v>Intl Val</v>
      </c>
      <c r="AM18" s="4" t="str">
        <f t="shared" si="2"/>
        <v>Tot Int Stk</v>
      </c>
      <c r="AN18" s="4" t="str">
        <f t="shared" si="2"/>
        <v>Bonds</v>
      </c>
      <c r="AO18" s="5"/>
    </row>
    <row r="19" spans="1:42" x14ac:dyDescent="0.25">
      <c r="A19" t="s">
        <v>40</v>
      </c>
      <c r="B19" s="4" t="str">
        <f t="shared" si="0"/>
        <v>VFINX</v>
      </c>
      <c r="C19" s="4" t="str">
        <f t="shared" si="0"/>
        <v>VEXMX</v>
      </c>
      <c r="D19" s="4" t="str">
        <f t="shared" si="0"/>
        <v>VIMSX</v>
      </c>
      <c r="E19" s="4" t="str">
        <f t="shared" si="0"/>
        <v>NAESX</v>
      </c>
      <c r="F19" s="4" t="str">
        <f t="shared" si="0"/>
        <v>VTRIX</v>
      </c>
      <c r="G19" s="4" t="str">
        <f t="shared" si="0"/>
        <v>VGTSX</v>
      </c>
      <c r="H19" s="4" t="str">
        <f t="shared" si="0"/>
        <v>VBMFX</v>
      </c>
      <c r="I19" s="5" t="s">
        <v>38</v>
      </c>
      <c r="J19" s="5" t="s">
        <v>45</v>
      </c>
      <c r="K19" s="5" t="s">
        <v>43</v>
      </c>
      <c r="L19" s="5" t="s">
        <v>43</v>
      </c>
      <c r="R19" t="str">
        <f>A19</f>
        <v>Fund</v>
      </c>
      <c r="S19" s="4" t="str">
        <f t="shared" ref="S19" si="3">B19</f>
        <v>VFINX</v>
      </c>
      <c r="T19" s="4" t="str">
        <f t="shared" ref="T19" si="4">C19</f>
        <v>VEXMX</v>
      </c>
      <c r="U19" s="4" t="str">
        <f t="shared" ref="U19:U20" si="5">D19</f>
        <v>VIMSX</v>
      </c>
      <c r="V19" s="4" t="str">
        <f t="shared" ref="V19:V20" si="6">E19</f>
        <v>NAESX</v>
      </c>
      <c r="W19" s="4" t="str">
        <f t="shared" ref="W19" si="7">F19</f>
        <v>VTRIX</v>
      </c>
      <c r="X19" s="4" t="str">
        <f t="shared" ref="X19:X20" si="8">G19</f>
        <v>VGTSX</v>
      </c>
      <c r="Y19" s="4" t="str">
        <f t="shared" ref="Y19:Y20" si="9">H19</f>
        <v>VBMFX</v>
      </c>
      <c r="Z19" s="5" t="str">
        <f t="shared" ref="Z19:Z20" si="10">I19</f>
        <v>Total</v>
      </c>
      <c r="AA19" s="5" t="s">
        <v>45</v>
      </c>
      <c r="AB19" s="5" t="s">
        <v>43</v>
      </c>
      <c r="AC19" s="5" t="s">
        <v>43</v>
      </c>
      <c r="AD19" s="5" t="s">
        <v>55</v>
      </c>
      <c r="AE19" s="5"/>
      <c r="AG19" t="s">
        <v>40</v>
      </c>
      <c r="AH19" s="4" t="str">
        <f t="shared" si="2"/>
        <v>VFINX</v>
      </c>
      <c r="AI19" s="4" t="str">
        <f t="shared" si="2"/>
        <v>VEXMX</v>
      </c>
      <c r="AJ19" s="4" t="str">
        <f t="shared" si="2"/>
        <v>VIMSX</v>
      </c>
      <c r="AK19" s="4" t="str">
        <f t="shared" si="2"/>
        <v>NAESX</v>
      </c>
      <c r="AL19" s="4" t="str">
        <f t="shared" si="2"/>
        <v>VTRIX</v>
      </c>
      <c r="AM19" s="4" t="str">
        <f t="shared" si="2"/>
        <v>VGTSX</v>
      </c>
      <c r="AN19" s="4" t="str">
        <f t="shared" si="2"/>
        <v>VBMFX</v>
      </c>
      <c r="AO19" s="5" t="s">
        <v>38</v>
      </c>
    </row>
    <row r="20" spans="1:42" x14ac:dyDescent="0.25">
      <c r="A20" t="s">
        <v>39</v>
      </c>
      <c r="B20" s="2">
        <f>'Non-Rebalanced Strategy'!B20</f>
        <v>20000</v>
      </c>
      <c r="C20" s="2"/>
      <c r="D20" s="2">
        <f>'Non-Rebalanced Strategy'!D20</f>
        <v>20000</v>
      </c>
      <c r="E20" s="2">
        <f>'Non-Rebalanced Strategy'!E20</f>
        <v>10000</v>
      </c>
      <c r="F20" s="2"/>
      <c r="G20" s="2">
        <f>'Non-Rebalanced Strategy'!G20</f>
        <v>20000</v>
      </c>
      <c r="H20" s="2">
        <f>'Non-Rebalanced Strategy'!H20</f>
        <v>30000</v>
      </c>
      <c r="I20" s="2">
        <f>SUM(B20:H20)</f>
        <v>100000</v>
      </c>
      <c r="N20" s="19"/>
      <c r="R20" t="str">
        <f>A20</f>
        <v>Stating Balance</v>
      </c>
      <c r="S20" s="2">
        <f>B20</f>
        <v>20000</v>
      </c>
      <c r="T20" s="2"/>
      <c r="U20" s="2">
        <f t="shared" si="5"/>
        <v>20000</v>
      </c>
      <c r="V20" s="2">
        <f t="shared" si="6"/>
        <v>10000</v>
      </c>
      <c r="W20" s="2"/>
      <c r="X20" s="2">
        <f t="shared" si="8"/>
        <v>20000</v>
      </c>
      <c r="Y20" s="2">
        <f t="shared" si="9"/>
        <v>30000</v>
      </c>
      <c r="Z20" s="2">
        <f t="shared" si="10"/>
        <v>100000</v>
      </c>
      <c r="AD20" s="2"/>
      <c r="AE20" s="2"/>
      <c r="AG20" s="19" t="s">
        <v>54</v>
      </c>
      <c r="AH20" s="6">
        <f>S20/$Z20</f>
        <v>0.2</v>
      </c>
      <c r="AI20" s="6"/>
      <c r="AJ20" s="6">
        <f>U20/$Z20</f>
        <v>0.2</v>
      </c>
      <c r="AK20" s="6">
        <f>V20/$Z20</f>
        <v>0.1</v>
      </c>
      <c r="AL20" s="6"/>
      <c r="AM20" s="6">
        <f>X20/$Z20</f>
        <v>0.2</v>
      </c>
      <c r="AN20" s="6">
        <f>Y20/$Z20</f>
        <v>0.3</v>
      </c>
      <c r="AO20" s="6">
        <f>Z20/$Z20</f>
        <v>1</v>
      </c>
      <c r="AP20" s="22"/>
    </row>
    <row r="21" spans="1:42" x14ac:dyDescent="0.25">
      <c r="A21">
        <f t="shared" ref="A21:A29" si="11">A4</f>
        <v>2007</v>
      </c>
      <c r="B21" s="2">
        <f>B$20*(1+(B4/100))</f>
        <v>21078</v>
      </c>
      <c r="C21" s="2"/>
      <c r="D21" s="2">
        <f>D$20*(1+(D4/100))</f>
        <v>21204.2</v>
      </c>
      <c r="E21" s="2">
        <f>E$20*(1+(E4/100))</f>
        <v>10115.6</v>
      </c>
      <c r="F21" s="2"/>
      <c r="G21" s="2">
        <f>G$20*(1+(G4/100))</f>
        <v>23104.399999999998</v>
      </c>
      <c r="H21" s="2">
        <f>H$20*(1+(H4/100))</f>
        <v>32075.999999999996</v>
      </c>
      <c r="I21" s="2">
        <f t="shared" ref="I21:I23" si="12">SUM(B21:H21)</f>
        <v>107578.2</v>
      </c>
      <c r="J21" s="2">
        <f>I21-I20</f>
        <v>7578.1999999999971</v>
      </c>
      <c r="K21" s="6">
        <f>(J21/I20)</f>
        <v>7.5781999999999974E-2</v>
      </c>
      <c r="L21" s="7">
        <f t="shared" ref="L21:L26" si="13">K21+1</f>
        <v>1.075782</v>
      </c>
      <c r="N21">
        <f t="shared" ref="N21:N26" si="14">A21</f>
        <v>2007</v>
      </c>
      <c r="O21" s="2">
        <f>I21*(0.04)</f>
        <v>4303.1279999999997</v>
      </c>
      <c r="P21" s="2"/>
      <c r="Q21" s="2"/>
      <c r="R21">
        <f t="shared" ref="R21:R23" si="15">A21</f>
        <v>2007</v>
      </c>
      <c r="S21" s="2">
        <f t="shared" ref="S21:S25" si="16">B21-($O21/5)</f>
        <v>20217.374400000001</v>
      </c>
      <c r="T21" s="2"/>
      <c r="U21" s="2">
        <f t="shared" ref="U21:U25" si="17">D21-($O21/5)</f>
        <v>20343.574400000001</v>
      </c>
      <c r="V21" s="2">
        <f t="shared" ref="V21:V25" si="18">E21-($O21/5)</f>
        <v>9254.974400000001</v>
      </c>
      <c r="W21" s="2"/>
      <c r="X21" s="2">
        <f t="shared" ref="X21:X25" si="19">G21-($O21/5)</f>
        <v>22243.774399999998</v>
      </c>
      <c r="Y21" s="2">
        <f t="shared" ref="Y21:Y25" si="20">H21-($O21/5)</f>
        <v>31215.374399999997</v>
      </c>
      <c r="Z21" s="2">
        <f t="shared" ref="Z21:Z25" si="21">SUM(S21:Y21)</f>
        <v>103275.072</v>
      </c>
      <c r="AA21" s="2">
        <f>Z21-Z20</f>
        <v>3275.0720000000001</v>
      </c>
      <c r="AB21" s="6">
        <f>(AA21/Z20)</f>
        <v>3.2750720000000004E-2</v>
      </c>
      <c r="AC21" s="7">
        <f t="shared" ref="AC21:AC25" si="22">AB21+1</f>
        <v>1.0327507199999999</v>
      </c>
      <c r="AD21" s="2">
        <f t="shared" ref="AD21:AD25" si="23">Z21-(I21-O21)</f>
        <v>0</v>
      </c>
      <c r="AE21" s="2"/>
      <c r="AG21">
        <f t="shared" ref="AG21:AG25" si="24">A21</f>
        <v>2007</v>
      </c>
      <c r="AH21" s="6">
        <f t="shared" ref="AH21:AM25" si="25">S21/$Z21</f>
        <v>0.19576238494416157</v>
      </c>
      <c r="AI21" s="6"/>
      <c r="AJ21" s="6">
        <f t="shared" si="25"/>
        <v>0.19698436424232171</v>
      </c>
      <c r="AK21" s="6">
        <f t="shared" si="25"/>
        <v>8.9614794942965523E-2</v>
      </c>
      <c r="AL21" s="6"/>
      <c r="AM21" s="6">
        <f t="shared" si="25"/>
        <v>0.21538377044171897</v>
      </c>
      <c r="AN21" s="6">
        <f t="shared" ref="AN21:AN25" si="26">Y21/$Z21</f>
        <v>0.30225468542883221</v>
      </c>
      <c r="AO21" s="20">
        <f>SUM(AH21:AN21)</f>
        <v>1</v>
      </c>
      <c r="AP21" s="22"/>
    </row>
    <row r="22" spans="1:42" x14ac:dyDescent="0.25">
      <c r="A22">
        <f t="shared" si="11"/>
        <v>2008</v>
      </c>
      <c r="B22" s="2">
        <f t="shared" ref="B22:B29" si="27">S21*(1+(B5/100))</f>
        <v>12732.902397119999</v>
      </c>
      <c r="C22" s="2"/>
      <c r="D22" s="2">
        <f t="shared" ref="D22:E28" si="28">U21*(1+(D5/100))</f>
        <v>11835.077842944002</v>
      </c>
      <c r="E22" s="2">
        <f t="shared" si="28"/>
        <v>5916.7051339200007</v>
      </c>
      <c r="F22" s="2"/>
      <c r="G22" s="2">
        <f t="shared" ref="G22:H28" si="29">X21*(1+(G5/100))</f>
        <v>12434.047451855999</v>
      </c>
      <c r="H22" s="2">
        <f t="shared" si="29"/>
        <v>32791.750807199998</v>
      </c>
      <c r="I22" s="2">
        <f t="shared" si="12"/>
        <v>75710.483633039999</v>
      </c>
      <c r="J22" s="2">
        <f t="shared" ref="J22:J26" si="30">I22-I21</f>
        <v>-31867.716366959998</v>
      </c>
      <c r="K22" s="6">
        <f t="shared" ref="K22:K26" si="31">(J22/I21)</f>
        <v>-0.2962283842540589</v>
      </c>
      <c r="L22" s="7">
        <f t="shared" si="13"/>
        <v>0.70377161574594105</v>
      </c>
      <c r="N22">
        <f t="shared" si="14"/>
        <v>2008</v>
      </c>
      <c r="O22" s="2">
        <f t="shared" ref="O22:O29" si="32">O21*(1+O5)</f>
        <v>4303.1279999999997</v>
      </c>
      <c r="P22" s="2"/>
      <c r="Q22" s="2"/>
      <c r="R22">
        <f t="shared" si="15"/>
        <v>2008</v>
      </c>
      <c r="S22" s="2">
        <f t="shared" si="16"/>
        <v>11872.276797119999</v>
      </c>
      <c r="T22" s="2"/>
      <c r="U22" s="2">
        <f t="shared" si="17"/>
        <v>10974.452242944002</v>
      </c>
      <c r="V22" s="2">
        <f t="shared" si="18"/>
        <v>5056.0795339200004</v>
      </c>
      <c r="W22" s="2"/>
      <c r="X22" s="2">
        <f t="shared" si="19"/>
        <v>11573.421851855999</v>
      </c>
      <c r="Y22" s="2">
        <f t="shared" si="20"/>
        <v>31931.125207199999</v>
      </c>
      <c r="Z22" s="2">
        <f t="shared" si="21"/>
        <v>71407.355633040002</v>
      </c>
      <c r="AA22" s="2">
        <f t="shared" ref="AA22:AA25" si="33">Z22-Z21</f>
        <v>-31867.716366959998</v>
      </c>
      <c r="AB22" s="6">
        <f t="shared" ref="AB22:AB25" si="34">(AA22/Z21)</f>
        <v>-0.308571233597978</v>
      </c>
      <c r="AC22" s="7">
        <f t="shared" si="22"/>
        <v>0.691428766402022</v>
      </c>
      <c r="AD22" s="2">
        <f t="shared" si="23"/>
        <v>0</v>
      </c>
      <c r="AE22" s="2"/>
      <c r="AG22">
        <f t="shared" si="24"/>
        <v>2008</v>
      </c>
      <c r="AH22" s="6">
        <f t="shared" si="25"/>
        <v>0.16626125826772287</v>
      </c>
      <c r="AI22" s="6"/>
      <c r="AJ22" s="6">
        <f t="shared" si="25"/>
        <v>0.15368797997984049</v>
      </c>
      <c r="AK22" s="6">
        <f t="shared" si="25"/>
        <v>7.0806144396426365E-2</v>
      </c>
      <c r="AL22" s="6"/>
      <c r="AM22" s="6">
        <f t="shared" si="25"/>
        <v>0.16207604593750011</v>
      </c>
      <c r="AN22" s="6">
        <f t="shared" si="26"/>
        <v>0.44716857141851013</v>
      </c>
      <c r="AO22" s="20">
        <f t="shared" ref="AO22:AO25" si="35">SUM(AH22:AN22)</f>
        <v>1</v>
      </c>
      <c r="AP22" s="22"/>
    </row>
    <row r="23" spans="1:42" x14ac:dyDescent="0.25">
      <c r="A23">
        <f t="shared" si="11"/>
        <v>2009</v>
      </c>
      <c r="B23" s="2">
        <f t="shared" si="27"/>
        <v>15017.242920677087</v>
      </c>
      <c r="C23" s="2"/>
      <c r="D23" s="2">
        <f t="shared" si="28"/>
        <v>15388.157446011221</v>
      </c>
      <c r="E23" s="2">
        <f t="shared" si="28"/>
        <v>6882.2343399812262</v>
      </c>
      <c r="F23" s="2"/>
      <c r="G23" s="2">
        <f t="shared" si="29"/>
        <v>15823.992495387152</v>
      </c>
      <c r="H23" s="2">
        <f t="shared" si="29"/>
        <v>33824.640931986956</v>
      </c>
      <c r="I23" s="2">
        <f t="shared" si="12"/>
        <v>86936.268134043639</v>
      </c>
      <c r="J23" s="2">
        <f t="shared" si="30"/>
        <v>11225.78450100364</v>
      </c>
      <c r="K23" s="6">
        <f t="shared" si="31"/>
        <v>0.14827252399302751</v>
      </c>
      <c r="L23" s="7">
        <f t="shared" si="13"/>
        <v>1.1482725239930276</v>
      </c>
      <c r="N23">
        <f t="shared" si="14"/>
        <v>2009</v>
      </c>
      <c r="O23" s="2">
        <f t="shared" si="32"/>
        <v>4423.6155840000001</v>
      </c>
      <c r="P23" s="2"/>
      <c r="Q23" s="2"/>
      <c r="R23">
        <f t="shared" si="15"/>
        <v>2009</v>
      </c>
      <c r="S23" s="2">
        <f t="shared" si="16"/>
        <v>14132.519803877087</v>
      </c>
      <c r="T23" s="2"/>
      <c r="U23" s="2">
        <f t="shared" si="17"/>
        <v>14503.434329211221</v>
      </c>
      <c r="V23" s="2">
        <f t="shared" si="18"/>
        <v>5997.5112231812263</v>
      </c>
      <c r="W23" s="2"/>
      <c r="X23" s="2">
        <f t="shared" si="19"/>
        <v>14939.269378587152</v>
      </c>
      <c r="Y23" s="2">
        <f t="shared" si="20"/>
        <v>32939.917815186956</v>
      </c>
      <c r="Z23" s="2">
        <f t="shared" si="21"/>
        <v>82512.65255004364</v>
      </c>
      <c r="AA23" s="2">
        <f t="shared" si="33"/>
        <v>11105.296917003638</v>
      </c>
      <c r="AB23" s="6">
        <f t="shared" si="34"/>
        <v>0.15552034966920472</v>
      </c>
      <c r="AC23" s="7">
        <f t="shared" si="22"/>
        <v>1.1555203496692048</v>
      </c>
      <c r="AD23" s="2">
        <f t="shared" si="23"/>
        <v>0</v>
      </c>
      <c r="AE23" s="2"/>
      <c r="AG23">
        <f t="shared" si="24"/>
        <v>2009</v>
      </c>
      <c r="AH23" s="6">
        <f t="shared" si="25"/>
        <v>0.17127700258218898</v>
      </c>
      <c r="AI23" s="6"/>
      <c r="AJ23" s="6">
        <f t="shared" si="25"/>
        <v>0.1757722468128744</v>
      </c>
      <c r="AK23" s="6">
        <f t="shared" si="25"/>
        <v>7.26859583085607E-2</v>
      </c>
      <c r="AL23" s="6"/>
      <c r="AM23" s="6">
        <f t="shared" si="25"/>
        <v>0.18105428582030539</v>
      </c>
      <c r="AN23" s="6">
        <f t="shared" si="26"/>
        <v>0.39921050647607054</v>
      </c>
      <c r="AO23" s="20">
        <f t="shared" si="35"/>
        <v>1</v>
      </c>
      <c r="AP23" s="22"/>
    </row>
    <row r="24" spans="1:42" x14ac:dyDescent="0.25">
      <c r="A24">
        <f t="shared" si="11"/>
        <v>2010</v>
      </c>
      <c r="B24" s="2">
        <f t="shared" si="27"/>
        <v>16239.67850663516</v>
      </c>
      <c r="C24" s="2"/>
      <c r="D24" s="2">
        <f t="shared" si="28"/>
        <v>18196.008709428395</v>
      </c>
      <c r="E24" s="2">
        <f t="shared" si="28"/>
        <v>7660.0213342470634</v>
      </c>
      <c r="F24" s="2"/>
      <c r="G24" s="2">
        <f t="shared" si="29"/>
        <v>16600.516133486042</v>
      </c>
      <c r="H24" s="2">
        <f t="shared" si="29"/>
        <v>35054.660538921962</v>
      </c>
      <c r="I24" s="2">
        <f t="shared" ref="I24:I26" si="36">SUM(B24:H24)</f>
        <v>93750.885222718629</v>
      </c>
      <c r="J24" s="2">
        <f t="shared" si="30"/>
        <v>6814.6170886749896</v>
      </c>
      <c r="K24" s="6">
        <f t="shared" si="31"/>
        <v>7.8386353991728719E-2</v>
      </c>
      <c r="L24" s="7">
        <f t="shared" si="13"/>
        <v>1.0783863539917287</v>
      </c>
      <c r="N24">
        <f t="shared" si="14"/>
        <v>2010</v>
      </c>
      <c r="O24" s="2">
        <f t="shared" si="32"/>
        <v>4485.5462021760004</v>
      </c>
      <c r="P24" s="2"/>
      <c r="Q24" s="2"/>
      <c r="R24">
        <f t="shared" ref="R24" si="37">A24</f>
        <v>2010</v>
      </c>
      <c r="S24" s="2">
        <f t="shared" si="16"/>
        <v>15342.56926619996</v>
      </c>
      <c r="T24" s="2"/>
      <c r="U24" s="2">
        <f t="shared" si="17"/>
        <v>17298.899468993197</v>
      </c>
      <c r="V24" s="2">
        <f t="shared" si="18"/>
        <v>6762.9120938118631</v>
      </c>
      <c r="W24" s="2"/>
      <c r="X24" s="2">
        <f t="shared" si="19"/>
        <v>15703.406893050842</v>
      </c>
      <c r="Y24" s="2">
        <f t="shared" si="20"/>
        <v>34157.55129848676</v>
      </c>
      <c r="Z24" s="2">
        <f t="shared" si="21"/>
        <v>89265.339020542626</v>
      </c>
      <c r="AA24" s="2">
        <f t="shared" si="33"/>
        <v>6752.6864704989857</v>
      </c>
      <c r="AB24" s="6">
        <f t="shared" si="34"/>
        <v>8.183819404428315E-2</v>
      </c>
      <c r="AC24" s="7">
        <f t="shared" si="22"/>
        <v>1.0818381940442832</v>
      </c>
      <c r="AD24" s="2">
        <f t="shared" si="23"/>
        <v>0</v>
      </c>
      <c r="AE24" s="2"/>
      <c r="AG24">
        <f t="shared" si="24"/>
        <v>2010</v>
      </c>
      <c r="AH24" s="6">
        <f t="shared" si="25"/>
        <v>0.17187599839473164</v>
      </c>
      <c r="AI24" s="6"/>
      <c r="AJ24" s="6">
        <f t="shared" si="25"/>
        <v>0.19379189793938051</v>
      </c>
      <c r="AK24" s="6">
        <f t="shared" si="25"/>
        <v>7.5761904542316419E-2</v>
      </c>
      <c r="AL24" s="6"/>
      <c r="AM24" s="6">
        <f t="shared" si="25"/>
        <v>0.17591830228121375</v>
      </c>
      <c r="AN24" s="6">
        <f t="shared" si="26"/>
        <v>0.38265189684235767</v>
      </c>
      <c r="AO24" s="20">
        <f t="shared" si="35"/>
        <v>0.99999999999999989</v>
      </c>
      <c r="AP24" s="22"/>
    </row>
    <row r="25" spans="1:42" x14ac:dyDescent="0.25">
      <c r="A25">
        <f t="shared" si="11"/>
        <v>2011</v>
      </c>
      <c r="B25" s="2">
        <f t="shared" si="27"/>
        <v>15644.8178807441</v>
      </c>
      <c r="C25" s="2"/>
      <c r="D25" s="2">
        <f t="shared" si="28"/>
        <v>16933.892690197441</v>
      </c>
      <c r="E25" s="2">
        <f t="shared" si="28"/>
        <v>6573.5505551851311</v>
      </c>
      <c r="F25" s="2"/>
      <c r="G25" s="2">
        <f t="shared" si="29"/>
        <v>13416.99084942264</v>
      </c>
      <c r="H25" s="2">
        <f t="shared" si="29"/>
        <v>36739.862176652365</v>
      </c>
      <c r="I25" s="2">
        <f t="shared" si="36"/>
        <v>89309.114152201684</v>
      </c>
      <c r="J25" s="2">
        <f t="shared" si="30"/>
        <v>-4441.7710705169447</v>
      </c>
      <c r="K25" s="6">
        <f t="shared" si="31"/>
        <v>-4.7378444053780215E-2</v>
      </c>
      <c r="L25" s="7">
        <f t="shared" si="13"/>
        <v>0.95262155594621978</v>
      </c>
      <c r="N25">
        <f t="shared" si="14"/>
        <v>2011</v>
      </c>
      <c r="O25" s="2">
        <f t="shared" si="32"/>
        <v>4620.1125882412807</v>
      </c>
      <c r="P25" s="2"/>
      <c r="Q25" s="2"/>
      <c r="R25">
        <f t="shared" ref="R25" si="38">A25</f>
        <v>2011</v>
      </c>
      <c r="S25" s="2">
        <f t="shared" si="16"/>
        <v>14720.795363095844</v>
      </c>
      <c r="T25" s="2"/>
      <c r="U25" s="2">
        <f t="shared" si="17"/>
        <v>16009.870172549185</v>
      </c>
      <c r="V25" s="2">
        <f t="shared" si="18"/>
        <v>5649.5280375368748</v>
      </c>
      <c r="W25" s="2"/>
      <c r="X25" s="2">
        <f t="shared" si="19"/>
        <v>12492.968331774384</v>
      </c>
      <c r="Y25" s="2">
        <f t="shared" si="20"/>
        <v>35815.839659004108</v>
      </c>
      <c r="Z25" s="2">
        <f t="shared" si="21"/>
        <v>84689.001563960395</v>
      </c>
      <c r="AA25" s="2">
        <f t="shared" si="33"/>
        <v>-4576.3374565822305</v>
      </c>
      <c r="AB25" s="6">
        <f t="shared" si="34"/>
        <v>-5.1266678722063426E-2</v>
      </c>
      <c r="AC25" s="7">
        <f t="shared" si="22"/>
        <v>0.94873332127793653</v>
      </c>
      <c r="AD25" s="2">
        <f t="shared" si="23"/>
        <v>0</v>
      </c>
      <c r="AE25" s="2"/>
      <c r="AG25">
        <f t="shared" si="24"/>
        <v>2011</v>
      </c>
      <c r="AH25" s="6">
        <f t="shared" si="25"/>
        <v>0.17382180792364321</v>
      </c>
      <c r="AI25" s="6"/>
      <c r="AJ25" s="6">
        <f t="shared" si="25"/>
        <v>0.18904308560607971</v>
      </c>
      <c r="AK25" s="6">
        <f t="shared" si="25"/>
        <v>6.6709111374635033E-2</v>
      </c>
      <c r="AL25" s="7"/>
      <c r="AM25" s="6">
        <f t="shared" si="25"/>
        <v>0.14751582969530244</v>
      </c>
      <c r="AN25" s="6">
        <f t="shared" si="26"/>
        <v>0.4229101654003396</v>
      </c>
      <c r="AO25" s="20">
        <f t="shared" si="35"/>
        <v>1</v>
      </c>
      <c r="AP25" s="22"/>
    </row>
    <row r="26" spans="1:42" x14ac:dyDescent="0.25">
      <c r="A26">
        <f t="shared" si="11"/>
        <v>2012</v>
      </c>
      <c r="B26" s="2">
        <f t="shared" si="27"/>
        <v>17049.625189537604</v>
      </c>
      <c r="C26" s="2"/>
      <c r="D26" s="2">
        <f t="shared" si="28"/>
        <v>18539.429659811954</v>
      </c>
      <c r="E26" s="2">
        <f t="shared" si="28"/>
        <v>6668.7028955085279</v>
      </c>
      <c r="F26" s="2"/>
      <c r="G26" s="2">
        <f t="shared" si="29"/>
        <v>14759.192787158257</v>
      </c>
      <c r="H26" s="2">
        <f t="shared" si="29"/>
        <v>37266.381165193772</v>
      </c>
      <c r="I26" s="2">
        <f t="shared" si="36"/>
        <v>94283.331697210117</v>
      </c>
      <c r="J26" s="2">
        <f t="shared" si="30"/>
        <v>4974.2175450084324</v>
      </c>
      <c r="K26" s="6">
        <f t="shared" si="31"/>
        <v>5.5696639612070387E-2</v>
      </c>
      <c r="L26" s="7">
        <f t="shared" si="13"/>
        <v>1.0556966396120704</v>
      </c>
      <c r="N26">
        <f t="shared" si="14"/>
        <v>2012</v>
      </c>
      <c r="O26" s="2">
        <f t="shared" si="32"/>
        <v>4703.2746148296237</v>
      </c>
      <c r="P26" s="2"/>
      <c r="Q26" s="2"/>
      <c r="R26">
        <f t="shared" ref="R26:R28" si="39">A26</f>
        <v>2012</v>
      </c>
      <c r="S26" s="2">
        <f t="shared" ref="S26:S28" si="40">B26-($O26/5)</f>
        <v>16108.97026657168</v>
      </c>
      <c r="T26" s="2"/>
      <c r="U26" s="2">
        <f t="shared" ref="U26:U28" si="41">D26-($O26/5)</f>
        <v>17598.77473684603</v>
      </c>
      <c r="V26" s="2">
        <f t="shared" ref="V26:V28" si="42">E26-($O26/5)</f>
        <v>5728.047972542603</v>
      </c>
      <c r="W26" s="2"/>
      <c r="X26" s="2">
        <f t="shared" ref="X26:X28" si="43">G26-($O26/5)</f>
        <v>13818.537864192333</v>
      </c>
      <c r="Y26" s="2">
        <f t="shared" ref="Y26:Y28" si="44">H26-($O26/5)</f>
        <v>36325.726242227851</v>
      </c>
      <c r="Z26" s="2">
        <f t="shared" ref="Z26:Z28" si="45">SUM(S26:Y26)</f>
        <v>89580.057082380488</v>
      </c>
      <c r="AA26" s="2">
        <f t="shared" ref="AA26:AA28" si="46">Z26-Z25</f>
        <v>4891.055518420093</v>
      </c>
      <c r="AB26" s="6">
        <f t="shared" ref="AB26:AB28" si="47">(AA26/Z25)</f>
        <v>5.7753137102769823E-2</v>
      </c>
      <c r="AC26" s="7">
        <f t="shared" ref="AC26:AC28" si="48">AB26+1</f>
        <v>1.0577531371027697</v>
      </c>
      <c r="AD26" s="2">
        <f t="shared" ref="AD26:AD28" si="49">Z26-(I26-O26)</f>
        <v>0</v>
      </c>
      <c r="AE26" s="2"/>
      <c r="AG26">
        <f t="shared" ref="AG26:AG28" si="50">A26</f>
        <v>2012</v>
      </c>
      <c r="AH26" s="6">
        <f t="shared" ref="AH26:AH28" si="51">S26/$Z26</f>
        <v>0.17982764011589533</v>
      </c>
      <c r="AI26" s="6"/>
      <c r="AJ26" s="6">
        <f t="shared" ref="AJ26:AJ28" si="52">U26/$Z26</f>
        <v>0.1964586238280879</v>
      </c>
      <c r="AK26" s="6">
        <f t="shared" ref="AK26:AK28" si="53">V26/$Z26</f>
        <v>6.3943339166159713E-2</v>
      </c>
      <c r="AL26" s="7"/>
      <c r="AM26" s="6">
        <f t="shared" ref="AM26:AM28" si="54">X26/$Z26</f>
        <v>0.15425908750520659</v>
      </c>
      <c r="AN26" s="6">
        <f t="shared" ref="AN26:AN28" si="55">Y26/$Z26</f>
        <v>0.40551130938465058</v>
      </c>
      <c r="AO26" s="20">
        <f t="shared" ref="AO26:AO28" si="56">SUM(AH26:AN26)</f>
        <v>1</v>
      </c>
      <c r="AP26" s="22"/>
    </row>
    <row r="27" spans="1:42" x14ac:dyDescent="0.25">
      <c r="A27">
        <f t="shared" si="11"/>
        <v>2013</v>
      </c>
      <c r="B27" s="2">
        <f t="shared" si="27"/>
        <v>21292.836898354446</v>
      </c>
      <c r="C27" s="2"/>
      <c r="D27" s="2">
        <f t="shared" si="28"/>
        <v>23758.345894742142</v>
      </c>
      <c r="E27" s="2">
        <f t="shared" si="28"/>
        <v>7882.9396198131299</v>
      </c>
      <c r="F27" s="2"/>
      <c r="G27" s="2">
        <f t="shared" si="29"/>
        <v>15896.845958966858</v>
      </c>
      <c r="H27" s="2">
        <f t="shared" si="29"/>
        <v>35504.764829153501</v>
      </c>
      <c r="I27" s="2">
        <f t="shared" ref="I27:I28" si="57">SUM(B27:H27)</f>
        <v>104335.73320103007</v>
      </c>
      <c r="J27" s="2">
        <f t="shared" ref="J27:J28" si="58">I27-I26</f>
        <v>10052.401503819958</v>
      </c>
      <c r="K27" s="6">
        <f t="shared" ref="K27:K28" si="59">(J27/I26)</f>
        <v>0.10661907383696553</v>
      </c>
      <c r="L27" s="7">
        <f t="shared" ref="L27:L28" si="60">K27+1</f>
        <v>1.1066190738369655</v>
      </c>
      <c r="N27">
        <f t="shared" ref="N27:N28" si="61">A27</f>
        <v>2013</v>
      </c>
      <c r="O27" s="2">
        <f t="shared" si="32"/>
        <v>4757.6252661585313</v>
      </c>
      <c r="P27" s="2"/>
      <c r="Q27" s="2"/>
      <c r="R27">
        <f t="shared" si="39"/>
        <v>2013</v>
      </c>
      <c r="S27" s="2">
        <f t="shared" si="40"/>
        <v>20341.311845122738</v>
      </c>
      <c r="T27" s="2"/>
      <c r="U27" s="2">
        <f t="shared" si="41"/>
        <v>22806.820841510435</v>
      </c>
      <c r="V27" s="2">
        <f t="shared" si="42"/>
        <v>6931.414566581424</v>
      </c>
      <c r="W27" s="2"/>
      <c r="X27" s="2">
        <f t="shared" si="43"/>
        <v>14945.320905735152</v>
      </c>
      <c r="Y27" s="2">
        <f t="shared" si="44"/>
        <v>34553.239775921793</v>
      </c>
      <c r="Z27" s="2">
        <f t="shared" si="45"/>
        <v>99578.107934871543</v>
      </c>
      <c r="AA27" s="2">
        <f t="shared" si="46"/>
        <v>9998.0508524910547</v>
      </c>
      <c r="AB27" s="6">
        <f t="shared" si="47"/>
        <v>0.11161023087199587</v>
      </c>
      <c r="AC27" s="7">
        <f t="shared" si="48"/>
        <v>1.111610230871996</v>
      </c>
      <c r="AD27" s="2">
        <f t="shared" si="49"/>
        <v>0</v>
      </c>
      <c r="AE27" s="2"/>
      <c r="AG27">
        <f t="shared" si="50"/>
        <v>2013</v>
      </c>
      <c r="AH27" s="6">
        <f t="shared" si="51"/>
        <v>0.20427493820656695</v>
      </c>
      <c r="AI27" s="6"/>
      <c r="AJ27" s="6">
        <f t="shared" si="52"/>
        <v>0.22903448674107263</v>
      </c>
      <c r="AK27" s="6">
        <f t="shared" si="53"/>
        <v>6.9607815516186278E-2</v>
      </c>
      <c r="AL27" s="7"/>
      <c r="AM27" s="6">
        <f t="shared" si="54"/>
        <v>0.15008641171923098</v>
      </c>
      <c r="AN27" s="6">
        <f t="shared" si="55"/>
        <v>0.34699634781694316</v>
      </c>
      <c r="AO27" s="20">
        <f t="shared" si="56"/>
        <v>1</v>
      </c>
      <c r="AP27" s="22"/>
    </row>
    <row r="28" spans="1:42" x14ac:dyDescent="0.25">
      <c r="A28">
        <f t="shared" si="11"/>
        <v>2014</v>
      </c>
      <c r="B28" s="2">
        <f t="shared" si="27"/>
        <v>23089.423075398819</v>
      </c>
      <c r="C28" s="2"/>
      <c r="D28" s="2">
        <f t="shared" si="28"/>
        <v>25908.548475955857</v>
      </c>
      <c r="E28" s="2">
        <f t="shared" si="28"/>
        <v>7442.2598201384753</v>
      </c>
      <c r="F28" s="2"/>
      <c r="G28" s="2">
        <f t="shared" si="29"/>
        <v>14311.639299331982</v>
      </c>
      <c r="H28" s="2">
        <f t="shared" si="29"/>
        <v>36543.506387014888</v>
      </c>
      <c r="I28" s="2">
        <f t="shared" si="57"/>
        <v>107295.37705784001</v>
      </c>
      <c r="J28" s="2">
        <f t="shared" si="58"/>
        <v>2959.6438568099402</v>
      </c>
      <c r="K28" s="6">
        <f t="shared" si="59"/>
        <v>2.8366541030649704E-2</v>
      </c>
      <c r="L28" s="7">
        <f t="shared" si="60"/>
        <v>1.0283665410306497</v>
      </c>
      <c r="N28">
        <f t="shared" si="61"/>
        <v>2014</v>
      </c>
      <c r="O28" s="2">
        <f t="shared" si="32"/>
        <v>4818.9986320919761</v>
      </c>
      <c r="P28" s="2"/>
      <c r="Q28" s="2"/>
      <c r="R28">
        <f t="shared" si="39"/>
        <v>2014</v>
      </c>
      <c r="S28" s="2">
        <f t="shared" si="40"/>
        <v>22125.623348980425</v>
      </c>
      <c r="T28" s="2"/>
      <c r="U28" s="2">
        <f t="shared" si="41"/>
        <v>24944.748749537463</v>
      </c>
      <c r="V28" s="2">
        <f t="shared" si="42"/>
        <v>6478.4600937200803</v>
      </c>
      <c r="W28" s="2"/>
      <c r="X28" s="2">
        <f t="shared" si="43"/>
        <v>13347.839572913586</v>
      </c>
      <c r="Y28" s="2">
        <f t="shared" si="44"/>
        <v>35579.706660596494</v>
      </c>
      <c r="Z28" s="2">
        <f t="shared" si="45"/>
        <v>102476.37842574804</v>
      </c>
      <c r="AA28" s="2">
        <f t="shared" si="46"/>
        <v>2898.2704908765008</v>
      </c>
      <c r="AB28" s="6">
        <f t="shared" si="47"/>
        <v>2.9105498698289156E-2</v>
      </c>
      <c r="AC28" s="7">
        <f t="shared" si="48"/>
        <v>1.0291054986982893</v>
      </c>
      <c r="AD28" s="2">
        <f t="shared" si="49"/>
        <v>0</v>
      </c>
      <c r="AE28" s="2"/>
      <c r="AG28">
        <f t="shared" si="50"/>
        <v>2014</v>
      </c>
      <c r="AH28" s="6">
        <f t="shared" si="51"/>
        <v>0.21590949728002076</v>
      </c>
      <c r="AI28" s="6"/>
      <c r="AJ28" s="6">
        <f t="shared" si="52"/>
        <v>0.24341949952507189</v>
      </c>
      <c r="AK28" s="6">
        <f t="shared" si="53"/>
        <v>6.3219057828182518E-2</v>
      </c>
      <c r="AL28" s="7"/>
      <c r="AM28" s="6">
        <f t="shared" si="54"/>
        <v>0.13025284244002744</v>
      </c>
      <c r="AN28" s="6">
        <f t="shared" si="55"/>
        <v>0.34719910292669748</v>
      </c>
      <c r="AO28" s="20">
        <f t="shared" si="56"/>
        <v>1</v>
      </c>
      <c r="AP28" s="22"/>
    </row>
    <row r="29" spans="1:42" x14ac:dyDescent="0.25">
      <c r="A29">
        <f t="shared" si="11"/>
        <v>2015</v>
      </c>
      <c r="B29" s="2">
        <f t="shared" si="27"/>
        <v>22402.193640842681</v>
      </c>
      <c r="C29" s="2"/>
      <c r="D29" s="2">
        <f t="shared" ref="D29:E29" si="62">U28*(1+(D12/100))</f>
        <v>24580.555417794218</v>
      </c>
      <c r="E29" s="2">
        <f t="shared" si="62"/>
        <v>6233.5743021774606</v>
      </c>
      <c r="F29" s="2"/>
      <c r="G29" s="2">
        <f t="shared" ref="G29:H29" si="63">X28*(1+(G12/100))</f>
        <v>12764.538983577264</v>
      </c>
      <c r="H29" s="2">
        <f t="shared" si="63"/>
        <v>35686.44578057828</v>
      </c>
      <c r="I29" s="2">
        <f t="shared" ref="I29" si="64">SUM(B29:H29)</f>
        <v>101667.30812496989</v>
      </c>
      <c r="J29" s="2">
        <f t="shared" ref="J29" si="65">I29-I28</f>
        <v>-5628.0689328701264</v>
      </c>
      <c r="K29" s="6">
        <f t="shared" ref="K29" si="66">(J29/I28)</f>
        <v>-5.2453974133817416E-2</v>
      </c>
      <c r="L29" s="7">
        <f t="shared" ref="L29" si="67">K29+1</f>
        <v>0.94754602586618253</v>
      </c>
      <c r="N29">
        <f t="shared" ref="N29" si="68">A29</f>
        <v>2015</v>
      </c>
      <c r="O29" s="2">
        <f t="shared" si="32"/>
        <v>4840.202226073181</v>
      </c>
      <c r="P29" s="2"/>
      <c r="Q29" s="2"/>
      <c r="R29">
        <f t="shared" ref="R29" si="69">A29</f>
        <v>2015</v>
      </c>
      <c r="S29" s="2">
        <f t="shared" ref="S29" si="70">B29-($O29/5)</f>
        <v>21434.153195628045</v>
      </c>
      <c r="T29" s="2"/>
      <c r="U29" s="2">
        <f t="shared" ref="U29" si="71">D29-($O29/5)</f>
        <v>23612.514972579582</v>
      </c>
      <c r="V29" s="2">
        <f t="shared" ref="V29" si="72">E29-($O29/5)</f>
        <v>5265.5338569628248</v>
      </c>
      <c r="W29" s="2"/>
      <c r="X29" s="2">
        <f t="shared" ref="X29" si="73">G29-($O29/5)</f>
        <v>11796.498538362628</v>
      </c>
      <c r="Y29" s="2">
        <f t="shared" ref="Y29" si="74">H29-($O29/5)</f>
        <v>34718.405335363641</v>
      </c>
      <c r="Z29" s="2">
        <f t="shared" ref="Z29" si="75">SUM(S29:Y29)</f>
        <v>96827.105898896727</v>
      </c>
      <c r="AA29" s="2">
        <f t="shared" ref="AA29" si="76">Z29-Z28</f>
        <v>-5649.2725268513168</v>
      </c>
      <c r="AB29" s="6">
        <f t="shared" ref="AB29" si="77">(AA29/Z28)</f>
        <v>-5.5127558307933824E-2</v>
      </c>
      <c r="AC29" s="7">
        <f t="shared" ref="AC29" si="78">AB29+1</f>
        <v>0.94487244169206619</v>
      </c>
      <c r="AD29" s="2">
        <f t="shared" ref="AD29" si="79">Z29-(I29-O29)</f>
        <v>0</v>
      </c>
      <c r="AE29" s="2"/>
      <c r="AG29">
        <f t="shared" ref="AG29" si="80">A29</f>
        <v>2015</v>
      </c>
      <c r="AH29" s="6">
        <f t="shared" ref="AH29" si="81">S29/$Z29</f>
        <v>0.22136521583128585</v>
      </c>
      <c r="AI29" s="6"/>
      <c r="AJ29" s="6">
        <f t="shared" ref="AJ29" si="82">U29/$Z29</f>
        <v>0.24386265347262256</v>
      </c>
      <c r="AK29" s="6">
        <f t="shared" ref="AK29" si="83">V29/$Z29</f>
        <v>5.4380783232960611E-2</v>
      </c>
      <c r="AL29" s="7"/>
      <c r="AM29" s="6">
        <f t="shared" ref="AM29" si="84">X29/$Z29</f>
        <v>0.12183053938098795</v>
      </c>
      <c r="AN29" s="6">
        <f t="shared" ref="AN29" si="85">Y29/$Z29</f>
        <v>0.35856080808214297</v>
      </c>
      <c r="AO29" s="20">
        <f t="shared" ref="AO29" si="86">SUM(AH29:AN29)</f>
        <v>1</v>
      </c>
      <c r="AP29" s="22"/>
    </row>
    <row r="30" spans="1:42" x14ac:dyDescent="0.25">
      <c r="A30">
        <f t="shared" ref="A30:A31" si="87">A13</f>
        <v>2016</v>
      </c>
      <c r="B30" s="2">
        <f t="shared" ref="B30:B31" si="88">S29*(1+(B13/100))</f>
        <v>23967.67010335128</v>
      </c>
      <c r="C30" s="2"/>
      <c r="D30" s="2">
        <f t="shared" ref="D30:D31" si="89">U29*(1+(D13/100))</f>
        <v>26226.420380044143</v>
      </c>
      <c r="E30" s="2">
        <f t="shared" ref="E30:E31" si="90">V29*(1+(E13/100))</f>
        <v>6222.2813587729697</v>
      </c>
      <c r="F30" s="2"/>
      <c r="G30" s="2">
        <f t="shared" ref="G30:G31" si="91">X29*(1+(G13/100))</f>
        <v>12345.03572039649</v>
      </c>
      <c r="H30" s="2">
        <f t="shared" ref="H30:H31" si="92">Y29*(1+(H13/100))</f>
        <v>35586.365468747732</v>
      </c>
      <c r="I30" s="2">
        <f t="shared" ref="I30:I31" si="93">SUM(B30:H30)</f>
        <v>104347.77303131262</v>
      </c>
      <c r="J30" s="2">
        <f t="shared" ref="J30:J31" si="94">I30-I29</f>
        <v>2680.464906342735</v>
      </c>
      <c r="K30" s="6">
        <f t="shared" ref="K30:K31" si="95">(J30/I29)</f>
        <v>2.6365062238570301E-2</v>
      </c>
      <c r="L30" s="7">
        <f t="shared" ref="L30:L31" si="96">K30+1</f>
        <v>1.0263650622385703</v>
      </c>
      <c r="N30">
        <f t="shared" ref="N30:N31" si="97">A30</f>
        <v>2016</v>
      </c>
      <c r="O30" s="2">
        <f t="shared" ref="O30:O31" si="98">O29*(1+O13)</f>
        <v>4922.4856639164245</v>
      </c>
      <c r="P30" s="2"/>
      <c r="Q30" s="2"/>
      <c r="R30">
        <f t="shared" ref="R30:R31" si="99">A30</f>
        <v>2016</v>
      </c>
      <c r="S30" s="2">
        <f t="shared" ref="S30:S31" si="100">B30-($O30/5)</f>
        <v>22983.172970567994</v>
      </c>
      <c r="T30" s="2"/>
      <c r="U30" s="2">
        <f t="shared" ref="U30:U31" si="101">D30-($O30/5)</f>
        <v>25241.923247260856</v>
      </c>
      <c r="V30" s="2">
        <f t="shared" ref="V30:V31" si="102">E30-($O30/5)</f>
        <v>5237.7842259896852</v>
      </c>
      <c r="W30" s="2"/>
      <c r="X30" s="2">
        <f t="shared" ref="X30:X31" si="103">G30-($O30/5)</f>
        <v>11360.538587613206</v>
      </c>
      <c r="Y30" s="2">
        <f t="shared" ref="Y30:Y31" si="104">H30-($O30/5)</f>
        <v>34601.868335964449</v>
      </c>
      <c r="Z30" s="2">
        <f t="shared" ref="Z30:Z31" si="105">SUM(S30:Y30)</f>
        <v>99425.287367396188</v>
      </c>
      <c r="AA30" s="2">
        <f t="shared" ref="AA30:AA31" si="106">Z30-Z29</f>
        <v>2598.1814684994606</v>
      </c>
      <c r="AB30" s="6">
        <f t="shared" ref="AB30:AB31" si="107">(AA30/Z29)</f>
        <v>2.6833203826337484E-2</v>
      </c>
      <c r="AC30" s="7">
        <f t="shared" ref="AC30:AC31" si="108">AB30+1</f>
        <v>1.0268332038263375</v>
      </c>
      <c r="AD30" s="2">
        <f t="shared" ref="AD30:AD31" si="109">Z30-(I30-O30)</f>
        <v>0</v>
      </c>
      <c r="AE30" s="2"/>
      <c r="AG30">
        <f t="shared" ref="AG30:AG31" si="110">A30</f>
        <v>2016</v>
      </c>
      <c r="AH30" s="6">
        <f t="shared" ref="AH30:AH31" si="111">S30/$Z30</f>
        <v>0.23116023678805778</v>
      </c>
      <c r="AI30" s="6"/>
      <c r="AJ30" s="6">
        <f t="shared" ref="AJ30:AJ31" si="112">U30/$Z30</f>
        <v>0.25387830315226484</v>
      </c>
      <c r="AK30" s="6">
        <f t="shared" ref="AK30:AK31" si="113">V30/$Z30</f>
        <v>5.2680604348016941E-2</v>
      </c>
      <c r="AL30" s="7"/>
      <c r="AM30" s="6">
        <f t="shared" ref="AM30:AM31" si="114">X30/$Z30</f>
        <v>0.11426206439448104</v>
      </c>
      <c r="AN30" s="6">
        <f t="shared" ref="AN30:AN31" si="115">Y30/$Z30</f>
        <v>0.34801879131717944</v>
      </c>
      <c r="AO30" s="20">
        <f t="shared" ref="AO30:AO31" si="116">SUM(AH30:AN30)</f>
        <v>1</v>
      </c>
      <c r="AP30" s="22"/>
    </row>
    <row r="31" spans="1:42" x14ac:dyDescent="0.25">
      <c r="A31">
        <f t="shared" si="87"/>
        <v>2017</v>
      </c>
      <c r="B31" s="2">
        <f t="shared" si="88"/>
        <v>27963.626553290076</v>
      </c>
      <c r="C31" s="2"/>
      <c r="D31" s="2">
        <f t="shared" si="89"/>
        <v>30189.340203723983</v>
      </c>
      <c r="E31" s="2">
        <f t="shared" si="90"/>
        <v>6081.0674863740251</v>
      </c>
      <c r="F31" s="2"/>
      <c r="G31" s="2">
        <f t="shared" si="91"/>
        <v>14473.326160619225</v>
      </c>
      <c r="H31" s="2">
        <f t="shared" si="92"/>
        <v>35799.092980388821</v>
      </c>
      <c r="I31" s="2">
        <f t="shared" si="93"/>
        <v>114506.45338439613</v>
      </c>
      <c r="J31" s="2">
        <f t="shared" si="94"/>
        <v>10158.680353083502</v>
      </c>
      <c r="K31" s="6">
        <f t="shared" si="95"/>
        <v>9.7354069550052505E-2</v>
      </c>
      <c r="L31" s="7">
        <f t="shared" si="96"/>
        <v>1.0973540695500525</v>
      </c>
      <c r="N31">
        <f t="shared" si="97"/>
        <v>2017</v>
      </c>
      <c r="O31" s="2">
        <f t="shared" si="98"/>
        <v>5032.2570942217608</v>
      </c>
      <c r="P31" s="2"/>
      <c r="Q31" s="2"/>
      <c r="R31">
        <f t="shared" si="99"/>
        <v>2017</v>
      </c>
      <c r="S31" s="2">
        <f t="shared" si="100"/>
        <v>26957.175134445723</v>
      </c>
      <c r="T31" s="2"/>
      <c r="U31" s="2">
        <f t="shared" si="101"/>
        <v>29182.888784879629</v>
      </c>
      <c r="V31" s="2">
        <f t="shared" si="102"/>
        <v>5074.6160675296733</v>
      </c>
      <c r="W31" s="2"/>
      <c r="X31" s="2">
        <f t="shared" si="103"/>
        <v>13466.874741774873</v>
      </c>
      <c r="Y31" s="2">
        <f t="shared" si="104"/>
        <v>34792.641561544471</v>
      </c>
      <c r="Z31" s="2">
        <f t="shared" si="105"/>
        <v>109474.19629017437</v>
      </c>
      <c r="AA31" s="2">
        <f t="shared" si="106"/>
        <v>10048.908922778181</v>
      </c>
      <c r="AB31" s="6">
        <f t="shared" si="107"/>
        <v>0.10106995100396809</v>
      </c>
      <c r="AC31" s="7">
        <f t="shared" si="108"/>
        <v>1.1010699510039681</v>
      </c>
      <c r="AD31" s="2">
        <f t="shared" si="109"/>
        <v>0</v>
      </c>
      <c r="AE31" s="2"/>
      <c r="AG31">
        <f t="shared" si="110"/>
        <v>2017</v>
      </c>
      <c r="AH31" s="6">
        <f t="shared" si="111"/>
        <v>0.24624227487354669</v>
      </c>
      <c r="AI31" s="6"/>
      <c r="AJ31" s="6">
        <f t="shared" si="112"/>
        <v>0.26657321792550015</v>
      </c>
      <c r="AK31" s="6">
        <f t="shared" si="113"/>
        <v>4.6354449171554547E-2</v>
      </c>
      <c r="AL31" s="7"/>
      <c r="AM31" s="6">
        <f t="shared" si="114"/>
        <v>0.12301414578170843</v>
      </c>
      <c r="AN31" s="6">
        <f t="shared" si="115"/>
        <v>0.31781591224769024</v>
      </c>
      <c r="AO31" s="20">
        <f t="shared" si="116"/>
        <v>1</v>
      </c>
      <c r="AP31" s="22"/>
    </row>
    <row r="32" spans="1:42" x14ac:dyDescent="0.25">
      <c r="A32" s="9" t="s">
        <v>46</v>
      </c>
      <c r="B32" s="10">
        <f>S31</f>
        <v>26957.175134445723</v>
      </c>
      <c r="C32" s="10"/>
      <c r="D32" s="10">
        <f>U31</f>
        <v>29182.888784879629</v>
      </c>
      <c r="E32" s="10">
        <f>V31</f>
        <v>5074.6160675296733</v>
      </c>
      <c r="F32" s="10"/>
      <c r="G32" s="10">
        <f>X31</f>
        <v>13466.874741774873</v>
      </c>
      <c r="H32" s="10">
        <f>Y31</f>
        <v>34792.641561544471</v>
      </c>
      <c r="I32" s="10">
        <f>SUM(B32:H32)</f>
        <v>109474.19629017437</v>
      </c>
      <c r="J32" s="10"/>
      <c r="K32" s="10"/>
      <c r="N32" t="s">
        <v>77</v>
      </c>
      <c r="O32" s="2">
        <f>O31</f>
        <v>5032.2570942217608</v>
      </c>
      <c r="P32" s="2"/>
      <c r="R32" s="9" t="s">
        <v>46</v>
      </c>
      <c r="S32" s="10">
        <f>S31</f>
        <v>26957.175134445723</v>
      </c>
      <c r="T32" s="10"/>
      <c r="U32" s="10">
        <f>U31</f>
        <v>29182.888784879629</v>
      </c>
      <c r="V32" s="10">
        <f>V31</f>
        <v>5074.6160675296733</v>
      </c>
      <c r="W32" s="10"/>
      <c r="X32" s="10">
        <f>X31</f>
        <v>13466.874741774873</v>
      </c>
      <c r="Y32" s="10">
        <f>Y31</f>
        <v>34792.641561544471</v>
      </c>
      <c r="Z32" s="10">
        <f>Z31</f>
        <v>109474.19629017437</v>
      </c>
      <c r="AA32" s="40"/>
      <c r="AB32" s="40"/>
      <c r="AC32" s="40"/>
      <c r="AD32" s="40"/>
      <c r="AE32" s="40"/>
      <c r="AH32" s="6"/>
      <c r="AK32" s="7"/>
      <c r="AN32" s="6"/>
    </row>
    <row r="33" spans="1:16" x14ac:dyDescent="0.25">
      <c r="A33" s="11" t="s">
        <v>92</v>
      </c>
      <c r="I33" s="6">
        <f>(Z32-Z20)/Z20</f>
        <v>9.4741962901743679E-2</v>
      </c>
      <c r="K33" s="6"/>
      <c r="N33" t="s">
        <v>38</v>
      </c>
      <c r="O33" s="2">
        <f>SUM(O21:O31)</f>
        <v>51210.373871708784</v>
      </c>
      <c r="P33" s="2"/>
    </row>
    <row r="34" spans="1:16" x14ac:dyDescent="0.25">
      <c r="A34" s="1" t="s">
        <v>93</v>
      </c>
      <c r="I34" s="12">
        <f>STDEV(AC21:AC28)</f>
        <v>0.14390597204642941</v>
      </c>
    </row>
    <row r="35" spans="1:16" x14ac:dyDescent="0.25">
      <c r="A35" s="1" t="s">
        <v>94</v>
      </c>
      <c r="I35" s="13">
        <f>((1+I33)^(1/I42))-1</f>
        <v>8.2629224285395431E-3</v>
      </c>
    </row>
    <row r="36" spans="1:16" x14ac:dyDescent="0.25">
      <c r="A36" s="1" t="s">
        <v>50</v>
      </c>
      <c r="I36" s="27">
        <f>J22</f>
        <v>-31867.716366959998</v>
      </c>
      <c r="O36" s="2"/>
      <c r="P36" s="2"/>
    </row>
    <row r="37" spans="1:16" x14ac:dyDescent="0.25">
      <c r="A37" s="1" t="s">
        <v>51</v>
      </c>
      <c r="I37" s="28">
        <f>K22</f>
        <v>-0.2962283842540589</v>
      </c>
    </row>
    <row r="38" spans="1:16" x14ac:dyDescent="0.25">
      <c r="A38" s="1" t="s">
        <v>79</v>
      </c>
      <c r="I38" s="2">
        <f>O33</f>
        <v>51210.373871708784</v>
      </c>
    </row>
    <row r="39" spans="1:16" x14ac:dyDescent="0.25">
      <c r="A39" s="3" t="s">
        <v>52</v>
      </c>
      <c r="I39" s="29">
        <f>I32-Z31</f>
        <v>0</v>
      </c>
    </row>
    <row r="40" spans="1:16" x14ac:dyDescent="0.25">
      <c r="A40" s="3" t="s">
        <v>141</v>
      </c>
      <c r="I40" s="29">
        <f>((SUM(AA21:AA31)))-(I32-I20)</f>
        <v>0</v>
      </c>
    </row>
    <row r="41" spans="1:16" x14ac:dyDescent="0.25">
      <c r="A41" s="3" t="s">
        <v>142</v>
      </c>
      <c r="I41" s="29">
        <f>(SUM(O21:O31))-I38</f>
        <v>0</v>
      </c>
    </row>
    <row r="42" spans="1:16" x14ac:dyDescent="0.25">
      <c r="A42" s="3" t="s">
        <v>146</v>
      </c>
      <c r="I42" s="3">
        <f>COUNTA(I21:I31)</f>
        <v>11</v>
      </c>
    </row>
  </sheetData>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K44"/>
  <sheetViews>
    <sheetView topLeftCell="A4" zoomScaleNormal="100" workbookViewId="0">
      <selection activeCell="A28" sqref="A28"/>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4" max="54" width="10.85546875" bestFit="1" customWidth="1"/>
    <col min="61" max="61" width="9.28515625" bestFit="1" customWidth="1"/>
  </cols>
  <sheetData>
    <row r="1" spans="1:16" x14ac:dyDescent="0.25">
      <c r="A1" s="18" t="s">
        <v>19</v>
      </c>
      <c r="N1" s="18" t="s">
        <v>138</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 Withdrawals-No Rebalancing'!N4</f>
        <v>2007</v>
      </c>
      <c r="O4" s="47">
        <f>'4%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 Withdrawals-No Rebalancing'!N5</f>
        <v>2008</v>
      </c>
      <c r="O5" s="47">
        <f>'4%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 Withdrawals-No Rebalancing'!N6</f>
        <v>2009</v>
      </c>
      <c r="O6" s="47">
        <f>'4%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 Withdrawals-No Rebalancing'!N7</f>
        <v>2010</v>
      </c>
      <c r="O7" s="47">
        <f>'4%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 Withdrawals-No Rebalancing'!N8</f>
        <v>2011</v>
      </c>
      <c r="O8" s="47">
        <f>'4%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 Withdrawals-No Rebalancing'!N9</f>
        <v>2012</v>
      </c>
      <c r="O9" s="47">
        <f>'4%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 Withdrawals-No Rebalancing'!N10</f>
        <v>2013</v>
      </c>
      <c r="O10" s="47">
        <f>'4%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 Withdrawals-No Rebalancing'!N11</f>
        <v>2014</v>
      </c>
      <c r="O11" s="47">
        <f>'4%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 Withdrawals-No Rebalancing'!N12</f>
        <v>2015</v>
      </c>
      <c r="O12" s="47">
        <f>'4%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 Withdrawals-No Rebalancing'!N13</f>
        <v>2016</v>
      </c>
      <c r="O13" s="47">
        <f>'4%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 Withdrawals-No Rebalancing'!N14</f>
        <v>2017</v>
      </c>
      <c r="O14" s="47">
        <f>'4% Withdrawals-No Rebalancing'!O14</f>
        <v>2.23E-2</v>
      </c>
      <c r="P14" s="41"/>
    </row>
    <row r="17" spans="1:63" x14ac:dyDescent="0.25">
      <c r="A17" s="18" t="s">
        <v>110</v>
      </c>
      <c r="N17" s="18" t="s">
        <v>66</v>
      </c>
      <c r="R17" s="18" t="s">
        <v>111</v>
      </c>
      <c r="AG17" s="18" t="s">
        <v>112</v>
      </c>
      <c r="AQ17" s="18" t="s">
        <v>67</v>
      </c>
      <c r="BA17" s="18" t="s">
        <v>113</v>
      </c>
    </row>
    <row r="18" spans="1:63" x14ac:dyDescent="0.25">
      <c r="B18" s="4" t="str">
        <f t="shared" ref="B18:H19" si="0">B2</f>
        <v>LC Stocks</v>
      </c>
      <c r="C18" s="4" t="str">
        <f t="shared" si="0"/>
        <v>Ext Mkt</v>
      </c>
      <c r="D18" s="4" t="str">
        <f t="shared" si="0"/>
        <v>Mcap Stk</v>
      </c>
      <c r="E18" s="4" t="str">
        <f t="shared" si="0"/>
        <v>Small Cap</v>
      </c>
      <c r="F18" s="4" t="str">
        <f t="shared" si="0"/>
        <v>Intl Val</v>
      </c>
      <c r="G18" s="4" t="str">
        <f t="shared" si="0"/>
        <v>Tot Int Stk</v>
      </c>
      <c r="H18" s="4" t="str">
        <f t="shared" si="0"/>
        <v>Bonds</v>
      </c>
      <c r="I18" s="5"/>
      <c r="J18" s="5" t="s">
        <v>44</v>
      </c>
      <c r="K18" s="5" t="s">
        <v>41</v>
      </c>
      <c r="L18" s="5" t="s">
        <v>42</v>
      </c>
      <c r="S18" s="4" t="str">
        <f t="shared" ref="S18:Y20" si="1">B18</f>
        <v>LC Stocks</v>
      </c>
      <c r="T18" s="4" t="str">
        <f t="shared" si="1"/>
        <v>Ext Mkt</v>
      </c>
      <c r="U18" s="4" t="str">
        <f t="shared" si="1"/>
        <v>Mcap Stk</v>
      </c>
      <c r="V18" s="4" t="str">
        <f t="shared" si="1"/>
        <v>Small Cap</v>
      </c>
      <c r="W18" s="4" t="str">
        <f t="shared" si="1"/>
        <v>Intl Val</v>
      </c>
      <c r="X18" s="4" t="str">
        <f t="shared" si="1"/>
        <v>Tot Int Stk</v>
      </c>
      <c r="Y18" s="4" t="str">
        <f t="shared" si="1"/>
        <v>Bonds</v>
      </c>
      <c r="Z18" s="5"/>
      <c r="AA18" s="5" t="s">
        <v>44</v>
      </c>
      <c r="AB18" s="5" t="s">
        <v>41</v>
      </c>
      <c r="AC18" s="5" t="s">
        <v>42</v>
      </c>
      <c r="AD18" s="5" t="s">
        <v>56</v>
      </c>
      <c r="AE18" s="5"/>
      <c r="AH18" s="4" t="str">
        <f t="shared" ref="AH18:AN19" si="2">B18</f>
        <v>LC Stocks</v>
      </c>
      <c r="AI18" s="4" t="str">
        <f t="shared" si="2"/>
        <v>Ext Mkt</v>
      </c>
      <c r="AJ18" s="4" t="str">
        <f t="shared" si="2"/>
        <v>Mcap Stk</v>
      </c>
      <c r="AK18" s="4" t="str">
        <f t="shared" si="2"/>
        <v>Small Cap</v>
      </c>
      <c r="AL18" s="4" t="str">
        <f t="shared" si="2"/>
        <v>Intl Val</v>
      </c>
      <c r="AM18" s="4" t="str">
        <f t="shared" si="2"/>
        <v>Tot Int Stk</v>
      </c>
      <c r="AN18" s="4" t="str">
        <f t="shared" si="2"/>
        <v>Bonds</v>
      </c>
      <c r="AO18" s="5"/>
      <c r="AR18" s="4" t="str">
        <f>AH18</f>
        <v>LC Stocks</v>
      </c>
      <c r="AS18" s="4" t="str">
        <f t="shared" ref="AS18:AY20" si="3">AI18</f>
        <v>Ext Mkt</v>
      </c>
      <c r="AT18" s="4" t="str">
        <f t="shared" si="3"/>
        <v>Mcap Stk</v>
      </c>
      <c r="AU18" s="4" t="str">
        <f t="shared" si="3"/>
        <v>Small Cap</v>
      </c>
      <c r="AV18" s="4" t="str">
        <f t="shared" si="3"/>
        <v>Intl Val</v>
      </c>
      <c r="AW18" s="4" t="str">
        <f t="shared" si="3"/>
        <v>Tot Int Stk</v>
      </c>
      <c r="AX18" s="4" t="str">
        <f t="shared" si="3"/>
        <v>Bonds</v>
      </c>
      <c r="AY18" s="5"/>
      <c r="BB18" s="4" t="str">
        <f>AR18</f>
        <v>LC Stocks</v>
      </c>
      <c r="BC18" s="4" t="str">
        <f t="shared" ref="BC18:BI20" si="4">AS18</f>
        <v>Ext Mkt</v>
      </c>
      <c r="BD18" s="4" t="str">
        <f t="shared" si="4"/>
        <v>Mcap Stk</v>
      </c>
      <c r="BE18" s="4" t="str">
        <f t="shared" si="4"/>
        <v>Small Cap</v>
      </c>
      <c r="BF18" s="4" t="str">
        <f t="shared" si="4"/>
        <v>Intl Val</v>
      </c>
      <c r="BG18" s="4" t="str">
        <f t="shared" si="4"/>
        <v>Tot Int Stk</v>
      </c>
      <c r="BH18" s="4" t="str">
        <f t="shared" si="4"/>
        <v>Bonds</v>
      </c>
      <c r="BI18" s="4"/>
      <c r="BJ18" t="s">
        <v>56</v>
      </c>
    </row>
    <row r="19" spans="1:63" x14ac:dyDescent="0.25">
      <c r="A19" t="s">
        <v>40</v>
      </c>
      <c r="B19" s="4" t="str">
        <f t="shared" si="0"/>
        <v>VFINX</v>
      </c>
      <c r="C19" s="4" t="str">
        <f t="shared" si="0"/>
        <v>VEXMX</v>
      </c>
      <c r="D19" s="4" t="str">
        <f t="shared" si="0"/>
        <v>VIMSX</v>
      </c>
      <c r="E19" s="4" t="str">
        <f t="shared" si="0"/>
        <v>NAESX</v>
      </c>
      <c r="F19" s="4" t="str">
        <f t="shared" si="0"/>
        <v>VTRIX</v>
      </c>
      <c r="G19" s="4" t="str">
        <f t="shared" si="0"/>
        <v>VGTSX</v>
      </c>
      <c r="H19" s="4" t="str">
        <f t="shared" si="0"/>
        <v>VBMFX</v>
      </c>
      <c r="I19" s="5" t="s">
        <v>38</v>
      </c>
      <c r="J19" s="5" t="s">
        <v>45</v>
      </c>
      <c r="K19" s="5" t="s">
        <v>43</v>
      </c>
      <c r="L19" s="5" t="s">
        <v>43</v>
      </c>
      <c r="R19" t="str">
        <f t="shared" ref="R19:R25" si="5">A19</f>
        <v>Fund</v>
      </c>
      <c r="S19" s="4" t="str">
        <f t="shared" si="1"/>
        <v>VFINX</v>
      </c>
      <c r="T19" s="4" t="str">
        <f t="shared" si="1"/>
        <v>VEXMX</v>
      </c>
      <c r="U19" s="4" t="str">
        <f t="shared" si="1"/>
        <v>VIMSX</v>
      </c>
      <c r="V19" s="4" t="str">
        <f t="shared" si="1"/>
        <v>NAESX</v>
      </c>
      <c r="W19" s="4" t="str">
        <f t="shared" si="1"/>
        <v>VTRIX</v>
      </c>
      <c r="X19" s="4" t="str">
        <f t="shared" si="1"/>
        <v>VGTSX</v>
      </c>
      <c r="Y19" s="4" t="str">
        <f t="shared" si="1"/>
        <v>VBMFX</v>
      </c>
      <c r="Z19" s="5" t="str">
        <f t="shared" ref="Z19:Z20" si="6">I19</f>
        <v>Total</v>
      </c>
      <c r="AA19" s="5" t="s">
        <v>45</v>
      </c>
      <c r="AB19" s="5" t="s">
        <v>43</v>
      </c>
      <c r="AC19" s="5" t="s">
        <v>43</v>
      </c>
      <c r="AD19" s="5" t="s">
        <v>55</v>
      </c>
      <c r="AE19" s="5"/>
      <c r="AG19" t="s">
        <v>40</v>
      </c>
      <c r="AH19" s="4" t="str">
        <f t="shared" si="2"/>
        <v>VFINX</v>
      </c>
      <c r="AI19" s="4" t="str">
        <f t="shared" si="2"/>
        <v>VEXMX</v>
      </c>
      <c r="AJ19" s="4" t="str">
        <f t="shared" si="2"/>
        <v>VIMSX</v>
      </c>
      <c r="AK19" s="4" t="str">
        <f t="shared" si="2"/>
        <v>NAESX</v>
      </c>
      <c r="AL19" s="4" t="str">
        <f t="shared" si="2"/>
        <v>VTRIX</v>
      </c>
      <c r="AM19" s="4" t="str">
        <f t="shared" si="2"/>
        <v>VGTSX</v>
      </c>
      <c r="AN19" s="4" t="str">
        <f t="shared" si="2"/>
        <v>VBMFX</v>
      </c>
      <c r="AO19" s="5" t="s">
        <v>38</v>
      </c>
      <c r="AQ19" t="str">
        <f>AG19</f>
        <v>Fund</v>
      </c>
      <c r="AR19" s="4" t="str">
        <f>AH19</f>
        <v>VFINX</v>
      </c>
      <c r="AS19" s="4" t="str">
        <f t="shared" si="3"/>
        <v>VEXMX</v>
      </c>
      <c r="AT19" s="4" t="str">
        <f t="shared" si="3"/>
        <v>VIMSX</v>
      </c>
      <c r="AU19" s="4" t="str">
        <f t="shared" si="3"/>
        <v>NAESX</v>
      </c>
      <c r="AV19" s="4" t="str">
        <f t="shared" si="3"/>
        <v>VTRIX</v>
      </c>
      <c r="AW19" s="4" t="str">
        <f t="shared" si="3"/>
        <v>VGTSX</v>
      </c>
      <c r="AX19" s="4" t="str">
        <f t="shared" si="3"/>
        <v>VBMFX</v>
      </c>
      <c r="AY19" s="4" t="str">
        <f t="shared" si="3"/>
        <v>Total</v>
      </c>
      <c r="BA19" t="s">
        <v>40</v>
      </c>
      <c r="BB19" s="4" t="str">
        <f>AR19</f>
        <v>VFINX</v>
      </c>
      <c r="BC19" s="4" t="str">
        <f t="shared" si="4"/>
        <v>VEXMX</v>
      </c>
      <c r="BD19" s="4" t="str">
        <f t="shared" si="4"/>
        <v>VIMSX</v>
      </c>
      <c r="BE19" s="4" t="str">
        <f t="shared" si="4"/>
        <v>NAESX</v>
      </c>
      <c r="BF19" s="4" t="str">
        <f t="shared" si="4"/>
        <v>VTRIX</v>
      </c>
      <c r="BG19" s="4" t="str">
        <f t="shared" si="4"/>
        <v>VGTSX</v>
      </c>
      <c r="BH19" s="4" t="str">
        <f t="shared" si="4"/>
        <v>VBMFX</v>
      </c>
      <c r="BI19" s="4" t="str">
        <f t="shared" si="4"/>
        <v>Total</v>
      </c>
      <c r="BJ19" t="s">
        <v>55</v>
      </c>
    </row>
    <row r="20" spans="1:63" x14ac:dyDescent="0.25">
      <c r="A20" t="s">
        <v>39</v>
      </c>
      <c r="B20" s="2">
        <f>'Non-Rebalanced Strategy'!B20</f>
        <v>20000</v>
      </c>
      <c r="C20" s="2"/>
      <c r="D20" s="2">
        <f>'Non-Rebalanced Strategy'!D20</f>
        <v>20000</v>
      </c>
      <c r="E20" s="2">
        <f>'Non-Rebalanced Strategy'!E20</f>
        <v>10000</v>
      </c>
      <c r="F20" s="2"/>
      <c r="G20" s="2">
        <f>'Non-Rebalanced Strategy'!G20</f>
        <v>20000</v>
      </c>
      <c r="H20" s="2">
        <f>'Non-Rebalanced Strategy'!H20</f>
        <v>30000</v>
      </c>
      <c r="I20" s="2">
        <f t="shared" ref="I20:I32" si="7">SUM(B20:H20)</f>
        <v>100000</v>
      </c>
      <c r="N20" s="19"/>
      <c r="R20" t="str">
        <f t="shared" si="5"/>
        <v>Stating Balance</v>
      </c>
      <c r="S20" s="2">
        <f t="shared" si="1"/>
        <v>20000</v>
      </c>
      <c r="T20" s="2">
        <f t="shared" si="1"/>
        <v>0</v>
      </c>
      <c r="U20" s="2">
        <f t="shared" si="1"/>
        <v>20000</v>
      </c>
      <c r="V20" s="2">
        <f t="shared" si="1"/>
        <v>10000</v>
      </c>
      <c r="W20" s="2">
        <f t="shared" si="1"/>
        <v>0</v>
      </c>
      <c r="X20" s="2">
        <f t="shared" si="1"/>
        <v>20000</v>
      </c>
      <c r="Y20" s="2">
        <f t="shared" si="1"/>
        <v>30000</v>
      </c>
      <c r="Z20" s="2">
        <f t="shared" si="6"/>
        <v>100000</v>
      </c>
      <c r="AD20" s="2"/>
      <c r="AE20" s="2"/>
      <c r="AG20" s="19" t="s">
        <v>54</v>
      </c>
      <c r="AH20" s="6">
        <f t="shared" ref="AH20:AM25" si="8">S20/$Z20</f>
        <v>0.2</v>
      </c>
      <c r="AI20" s="6"/>
      <c r="AJ20" s="6">
        <f t="shared" si="8"/>
        <v>0.2</v>
      </c>
      <c r="AK20" s="6">
        <f t="shared" si="8"/>
        <v>0.1</v>
      </c>
      <c r="AL20" s="6"/>
      <c r="AM20" s="6">
        <f t="shared" si="8"/>
        <v>0.2</v>
      </c>
      <c r="AN20" s="6">
        <f>Y20/$Z20</f>
        <v>0.3</v>
      </c>
      <c r="AO20" s="6">
        <f>Z20/$Z20</f>
        <v>1</v>
      </c>
      <c r="AP20" s="22"/>
      <c r="AQ20" s="19" t="str">
        <f>AG20</f>
        <v>Target Allocation</v>
      </c>
      <c r="AR20" s="22">
        <f>AH20</f>
        <v>0.2</v>
      </c>
      <c r="AS20" s="22">
        <f t="shared" si="3"/>
        <v>0</v>
      </c>
      <c r="AT20" s="22">
        <f>AJ20</f>
        <v>0.2</v>
      </c>
      <c r="AU20" s="22">
        <f>AK20</f>
        <v>0.1</v>
      </c>
      <c r="AV20" s="22"/>
      <c r="AW20" s="22">
        <f>AM20</f>
        <v>0.2</v>
      </c>
      <c r="AX20" s="22">
        <f>AN20</f>
        <v>0.3</v>
      </c>
      <c r="AY20" s="22">
        <f t="shared" si="3"/>
        <v>1</v>
      </c>
      <c r="BA20" s="19" t="str">
        <f>AQ20</f>
        <v>Target Allocation</v>
      </c>
      <c r="BB20" s="22">
        <f>AR20</f>
        <v>0.2</v>
      </c>
      <c r="BC20" s="22"/>
      <c r="BD20" s="22">
        <f>AT20</f>
        <v>0.2</v>
      </c>
      <c r="BE20" s="22">
        <f>AU20</f>
        <v>0.1</v>
      </c>
      <c r="BF20" s="22"/>
      <c r="BG20" s="22">
        <f>AW20</f>
        <v>0.2</v>
      </c>
      <c r="BH20" s="22">
        <f t="shared" si="4"/>
        <v>0.3</v>
      </c>
      <c r="BI20" s="22">
        <f t="shared" si="4"/>
        <v>1</v>
      </c>
      <c r="BJ20" s="2"/>
    </row>
    <row r="21" spans="1:63" x14ac:dyDescent="0.25">
      <c r="A21">
        <f t="shared" ref="A21:A29" si="9">A4</f>
        <v>2007</v>
      </c>
      <c r="B21" s="2">
        <f>B20*(1+(B4/100))</f>
        <v>21078</v>
      </c>
      <c r="C21" s="2"/>
      <c r="D21" s="2">
        <f>D20*(1+(D4/100))</f>
        <v>21204.2</v>
      </c>
      <c r="E21" s="2">
        <f>E20*(1+(E4/100))</f>
        <v>10115.6</v>
      </c>
      <c r="F21" s="2"/>
      <c r="G21" s="2">
        <f>G20*(1+(G4/100))</f>
        <v>23104.399999999998</v>
      </c>
      <c r="H21" s="2">
        <f>H20*(1+(H4/100))</f>
        <v>32075.999999999996</v>
      </c>
      <c r="I21" s="2">
        <f t="shared" si="7"/>
        <v>107578.2</v>
      </c>
      <c r="J21" s="2">
        <f>I21-I20</f>
        <v>7578.1999999999971</v>
      </c>
      <c r="K21" s="6" t="e">
        <f>(J21/#REF!)</f>
        <v>#REF!</v>
      </c>
      <c r="L21" s="7" t="e">
        <f t="shared" ref="L21:L26" si="10">K21+1</f>
        <v>#REF!</v>
      </c>
      <c r="N21">
        <f t="shared" ref="N21:N26" si="11">A21</f>
        <v>2007</v>
      </c>
      <c r="O21" s="2">
        <f>I21*0.04</f>
        <v>4303.1279999999997</v>
      </c>
      <c r="P21" s="2"/>
      <c r="Q21" s="2"/>
      <c r="R21">
        <f t="shared" si="5"/>
        <v>2007</v>
      </c>
      <c r="S21" s="2">
        <f t="shared" ref="S21:S25" si="12">B21-($O21/5)</f>
        <v>20217.374400000001</v>
      </c>
      <c r="T21" s="2"/>
      <c r="U21" s="2">
        <f t="shared" ref="U21:V25" si="13">D21-($O21/5)</f>
        <v>20343.574400000001</v>
      </c>
      <c r="V21" s="2">
        <f t="shared" si="13"/>
        <v>9254.974400000001</v>
      </c>
      <c r="W21" s="2"/>
      <c r="X21" s="2">
        <f t="shared" ref="X21:Y25" si="14">G21-($O21/5)</f>
        <v>22243.774399999998</v>
      </c>
      <c r="Y21" s="2">
        <f t="shared" si="14"/>
        <v>31215.374399999997</v>
      </c>
      <c r="Z21" s="2">
        <f t="shared" ref="Z21:Z25" si="15">SUM(S21:Y21)</f>
        <v>103275.072</v>
      </c>
      <c r="AA21" s="2">
        <f>Z21-Z20</f>
        <v>3275.0720000000001</v>
      </c>
      <c r="AB21" s="6">
        <f>(AA21/Z20)</f>
        <v>3.2750720000000004E-2</v>
      </c>
      <c r="AC21" s="7">
        <f t="shared" ref="AC21:AC25" si="16">AB21+1</f>
        <v>1.0327507199999999</v>
      </c>
      <c r="AD21" s="2">
        <f t="shared" ref="AD21:AD25" si="17">Z21-(I21-O21)</f>
        <v>0</v>
      </c>
      <c r="AE21" s="2"/>
      <c r="AG21">
        <f t="shared" ref="AG21:AG25" si="18">A21</f>
        <v>2007</v>
      </c>
      <c r="AH21" s="6">
        <f t="shared" si="8"/>
        <v>0.19576238494416157</v>
      </c>
      <c r="AI21" s="6"/>
      <c r="AJ21" s="6">
        <f t="shared" si="8"/>
        <v>0.19698436424232171</v>
      </c>
      <c r="AK21" s="6">
        <f t="shared" si="8"/>
        <v>8.9614794942965523E-2</v>
      </c>
      <c r="AL21" s="6"/>
      <c r="AM21" s="6">
        <f t="shared" si="8"/>
        <v>0.21538377044171897</v>
      </c>
      <c r="AN21" s="6">
        <f t="shared" ref="AN21:AN25" si="19">Y21/$Z21</f>
        <v>0.30225468542883221</v>
      </c>
      <c r="AO21" s="20">
        <f>SUM(AH21:AN21)</f>
        <v>1</v>
      </c>
      <c r="AP21" s="22"/>
      <c r="AQ21">
        <f t="shared" ref="AQ21:AQ25" si="20">AG21</f>
        <v>2007</v>
      </c>
      <c r="AR21" s="1" t="b">
        <f t="shared" ref="AR21:AR25" si="21">AND((S21/$Z21)&gt;0.15,(S21/$Z21)&lt;0.25)</f>
        <v>1</v>
      </c>
      <c r="AS21" s="1"/>
      <c r="AT21" s="1" t="b">
        <f t="shared" ref="AT21:AT25" si="22">AND((U21/$Z21)&gt;0.15,(U21/$Z21)&lt;0.25)</f>
        <v>1</v>
      </c>
      <c r="AU21" s="1" t="b">
        <f t="shared" ref="AU21:AU25" si="23">AND((V21/$Z21)&gt;0.05,(V21/$Z21)&lt;0.15)</f>
        <v>1</v>
      </c>
      <c r="AV21" s="1"/>
      <c r="AW21" s="1" t="b">
        <f t="shared" ref="AW21:AW24" si="24">AND((X21/$Z21)&gt;0.15,(X21/$Z21)&lt;0.25)</f>
        <v>1</v>
      </c>
      <c r="AX21" s="1" t="b">
        <f t="shared" ref="AX21:AX25" si="25">AND((Y21/$Z21)&gt;0.25,(Y21/$Z21)&lt;0.35)</f>
        <v>1</v>
      </c>
      <c r="AY21" s="1" t="b">
        <f t="shared" ref="AY21:AY25" si="26">AND((Z21/$Z21)&gt;0.999,(Z21/$Z21)&lt;1.01)</f>
        <v>1</v>
      </c>
      <c r="BA21">
        <f t="shared" ref="BA21:BA25" si="27">AQ21</f>
        <v>2007</v>
      </c>
      <c r="BB21" s="2">
        <f t="shared" ref="BB21" si="28">S21</f>
        <v>20217.374400000001</v>
      </c>
      <c r="BC21" s="2"/>
      <c r="BD21" s="2">
        <f t="shared" ref="BD21" si="29">U21</f>
        <v>20343.574400000001</v>
      </c>
      <c r="BE21" s="2">
        <f t="shared" ref="BE21" si="30">V21</f>
        <v>9254.974400000001</v>
      </c>
      <c r="BF21" s="2"/>
      <c r="BG21" s="2">
        <f t="shared" ref="BG21" si="31">X21</f>
        <v>22243.774399999998</v>
      </c>
      <c r="BH21" s="2">
        <f t="shared" ref="BH21" si="32">Y21</f>
        <v>31215.374399999997</v>
      </c>
      <c r="BI21" s="2">
        <f t="shared" ref="BI21:BI25" si="33">Z21</f>
        <v>103275.072</v>
      </c>
      <c r="BJ21" s="2">
        <f t="shared" ref="BJ21:BJ25" si="34">SUM(BB21:BH21)-Z21</f>
        <v>0</v>
      </c>
      <c r="BK21" s="2"/>
    </row>
    <row r="22" spans="1:63" x14ac:dyDescent="0.25">
      <c r="A22">
        <f t="shared" si="9"/>
        <v>2008</v>
      </c>
      <c r="B22" s="2">
        <f t="shared" ref="B22:H22" si="35">BB21*(1+(B5/100))</f>
        <v>12732.902397119999</v>
      </c>
      <c r="C22" s="2"/>
      <c r="D22" s="2">
        <f t="shared" si="35"/>
        <v>11835.077842944002</v>
      </c>
      <c r="E22" s="2">
        <f t="shared" si="35"/>
        <v>5916.7051339200007</v>
      </c>
      <c r="F22" s="2"/>
      <c r="G22" s="2">
        <f t="shared" si="35"/>
        <v>12434.047451855999</v>
      </c>
      <c r="H22" s="2">
        <f t="shared" si="35"/>
        <v>32791.750807199998</v>
      </c>
      <c r="I22" s="2">
        <f t="shared" si="7"/>
        <v>75710.483633039999</v>
      </c>
      <c r="J22" s="2">
        <f t="shared" ref="J22:J26" si="36">I22-I21</f>
        <v>-31867.716366959998</v>
      </c>
      <c r="K22" s="6">
        <f t="shared" ref="K22:K26" si="37">(J22/I21)</f>
        <v>-0.2962283842540589</v>
      </c>
      <c r="L22" s="7">
        <f t="shared" si="10"/>
        <v>0.70377161574594105</v>
      </c>
      <c r="N22">
        <f t="shared" si="11"/>
        <v>2008</v>
      </c>
      <c r="O22" s="2">
        <f t="shared" ref="O22:O29" si="38">O21*(1+O5)</f>
        <v>4303.1279999999997</v>
      </c>
      <c r="P22" s="2"/>
      <c r="Q22" s="2"/>
      <c r="R22">
        <f t="shared" si="5"/>
        <v>2008</v>
      </c>
      <c r="S22" s="2">
        <f t="shared" si="12"/>
        <v>11872.276797119999</v>
      </c>
      <c r="T22" s="2"/>
      <c r="U22" s="2">
        <f t="shared" si="13"/>
        <v>10974.452242944002</v>
      </c>
      <c r="V22" s="2">
        <f t="shared" si="13"/>
        <v>5056.0795339200004</v>
      </c>
      <c r="W22" s="2"/>
      <c r="X22" s="2">
        <f t="shared" si="14"/>
        <v>11573.421851855999</v>
      </c>
      <c r="Y22" s="2">
        <f t="shared" si="14"/>
        <v>31931.125207199999</v>
      </c>
      <c r="Z22" s="2">
        <f t="shared" si="15"/>
        <v>71407.355633040002</v>
      </c>
      <c r="AA22" s="2">
        <f t="shared" ref="AA22:AA25" si="39">Z22-Z21</f>
        <v>-31867.716366959998</v>
      </c>
      <c r="AB22" s="6">
        <f t="shared" ref="AB22:AB25" si="40">(AA22/Z21)</f>
        <v>-0.308571233597978</v>
      </c>
      <c r="AC22" s="7">
        <f t="shared" si="16"/>
        <v>0.691428766402022</v>
      </c>
      <c r="AD22" s="2">
        <f t="shared" si="17"/>
        <v>0</v>
      </c>
      <c r="AE22" s="2"/>
      <c r="AG22">
        <f t="shared" si="18"/>
        <v>2008</v>
      </c>
      <c r="AH22" s="6">
        <f t="shared" si="8"/>
        <v>0.16626125826772287</v>
      </c>
      <c r="AI22" s="6"/>
      <c r="AJ22" s="6">
        <f t="shared" si="8"/>
        <v>0.15368797997984049</v>
      </c>
      <c r="AK22" s="6">
        <f t="shared" si="8"/>
        <v>7.0806144396426365E-2</v>
      </c>
      <c r="AL22" s="6"/>
      <c r="AM22" s="6">
        <f t="shared" si="8"/>
        <v>0.16207604593750011</v>
      </c>
      <c r="AN22" s="6">
        <f t="shared" si="19"/>
        <v>0.44716857141851013</v>
      </c>
      <c r="AO22" s="20">
        <f t="shared" ref="AO22:AO25" si="41">SUM(AH22:AN22)</f>
        <v>1</v>
      </c>
      <c r="AP22" s="22"/>
      <c r="AQ22">
        <f t="shared" si="20"/>
        <v>2008</v>
      </c>
      <c r="AR22" s="1" t="b">
        <f t="shared" si="21"/>
        <v>1</v>
      </c>
      <c r="AS22" s="1"/>
      <c r="AT22" s="1" t="b">
        <f t="shared" si="22"/>
        <v>1</v>
      </c>
      <c r="AU22" s="1" t="b">
        <f t="shared" si="23"/>
        <v>1</v>
      </c>
      <c r="AV22" s="1"/>
      <c r="AW22" s="1" t="b">
        <f t="shared" si="24"/>
        <v>1</v>
      </c>
      <c r="AX22" s="35" t="b">
        <f t="shared" si="25"/>
        <v>0</v>
      </c>
      <c r="AY22" s="1" t="b">
        <f t="shared" si="26"/>
        <v>1</v>
      </c>
      <c r="BA22">
        <f t="shared" si="27"/>
        <v>2008</v>
      </c>
      <c r="BB22" s="36">
        <f>BB$20*$Z22</f>
        <v>14281.471126608001</v>
      </c>
      <c r="BC22" s="2"/>
      <c r="BD22" s="36">
        <f>BD$20*$Z22</f>
        <v>14281.471126608001</v>
      </c>
      <c r="BE22" s="36">
        <f>BE$20*$Z22</f>
        <v>7140.7355633040006</v>
      </c>
      <c r="BF22" s="2"/>
      <c r="BG22" s="36">
        <f>BG$20*$Z22</f>
        <v>14281.471126608001</v>
      </c>
      <c r="BH22" s="36">
        <f>BH$20*$Z22</f>
        <v>21422.206689912</v>
      </c>
      <c r="BI22" s="2">
        <f t="shared" si="33"/>
        <v>71407.355633040002</v>
      </c>
      <c r="BJ22" s="2">
        <f t="shared" si="34"/>
        <v>0</v>
      </c>
      <c r="BK22" s="2"/>
    </row>
    <row r="23" spans="1:63" x14ac:dyDescent="0.25">
      <c r="A23">
        <f t="shared" si="9"/>
        <v>2009</v>
      </c>
      <c r="B23" s="2">
        <f t="shared" ref="B23:B29" si="42">BB22*(1+(B6/100))</f>
        <v>18064.632828046459</v>
      </c>
      <c r="C23" s="2"/>
      <c r="D23" s="2">
        <f t="shared" ref="D23:E28" si="43">BD22*(1+(D6/100))</f>
        <v>20025.193184307205</v>
      </c>
      <c r="E23" s="2">
        <f t="shared" si="43"/>
        <v>9719.8264340581391</v>
      </c>
      <c r="F23" s="2"/>
      <c r="G23" s="2">
        <f t="shared" ref="G23:H28" si="44">BG22*(1+(G6/100))</f>
        <v>19526.627027277322</v>
      </c>
      <c r="H23" s="2">
        <f t="shared" si="44"/>
        <v>22692.54354662378</v>
      </c>
      <c r="I23" s="2">
        <f t="shared" si="7"/>
        <v>90028.823020312906</v>
      </c>
      <c r="J23" s="2">
        <f t="shared" si="36"/>
        <v>14318.339387272907</v>
      </c>
      <c r="K23" s="6">
        <f t="shared" si="37"/>
        <v>0.18911963971426005</v>
      </c>
      <c r="L23" s="7">
        <f t="shared" si="10"/>
        <v>1.18911963971426</v>
      </c>
      <c r="N23">
        <f t="shared" si="11"/>
        <v>2009</v>
      </c>
      <c r="O23" s="2">
        <f t="shared" si="38"/>
        <v>4423.6155840000001</v>
      </c>
      <c r="P23" s="2"/>
      <c r="Q23" s="2"/>
      <c r="R23">
        <f t="shared" si="5"/>
        <v>2009</v>
      </c>
      <c r="S23" s="2">
        <f t="shared" si="12"/>
        <v>17179.909711246459</v>
      </c>
      <c r="T23" s="2"/>
      <c r="U23" s="2">
        <f t="shared" si="13"/>
        <v>19140.470067507205</v>
      </c>
      <c r="V23" s="2">
        <f t="shared" si="13"/>
        <v>8835.1033172581392</v>
      </c>
      <c r="W23" s="2"/>
      <c r="X23" s="2">
        <f t="shared" si="14"/>
        <v>18641.903910477322</v>
      </c>
      <c r="Y23" s="2">
        <f t="shared" si="14"/>
        <v>21807.82042982378</v>
      </c>
      <c r="Z23" s="2">
        <f t="shared" si="15"/>
        <v>85605.207436312907</v>
      </c>
      <c r="AA23" s="2">
        <f t="shared" si="39"/>
        <v>14197.851803272904</v>
      </c>
      <c r="AB23" s="6">
        <f t="shared" si="40"/>
        <v>0.19882898165610818</v>
      </c>
      <c r="AC23" s="7">
        <f t="shared" si="16"/>
        <v>1.1988289816561082</v>
      </c>
      <c r="AD23" s="2">
        <f t="shared" si="17"/>
        <v>0</v>
      </c>
      <c r="AE23" s="2"/>
      <c r="AG23">
        <f t="shared" si="18"/>
        <v>2009</v>
      </c>
      <c r="AH23" s="6">
        <f t="shared" si="8"/>
        <v>0.20068767106285762</v>
      </c>
      <c r="AI23" s="6"/>
      <c r="AJ23" s="6">
        <f t="shared" si="8"/>
        <v>0.22359002028874242</v>
      </c>
      <c r="AK23" s="6">
        <f t="shared" si="8"/>
        <v>0.10320754521658192</v>
      </c>
      <c r="AL23" s="6"/>
      <c r="AM23" s="6">
        <f t="shared" si="8"/>
        <v>0.21776600359675788</v>
      </c>
      <c r="AN23" s="6">
        <f t="shared" si="19"/>
        <v>0.25474875983506012</v>
      </c>
      <c r="AO23" s="20">
        <f t="shared" si="41"/>
        <v>1</v>
      </c>
      <c r="AP23" s="22"/>
      <c r="AQ23">
        <f t="shared" si="20"/>
        <v>2009</v>
      </c>
      <c r="AR23" s="1" t="b">
        <f t="shared" si="21"/>
        <v>1</v>
      </c>
      <c r="AS23" s="1"/>
      <c r="AT23" s="1" t="b">
        <f t="shared" si="22"/>
        <v>1</v>
      </c>
      <c r="AU23" s="1" t="b">
        <f t="shared" si="23"/>
        <v>1</v>
      </c>
      <c r="AV23" s="1"/>
      <c r="AW23" s="1" t="b">
        <f t="shared" si="24"/>
        <v>1</v>
      </c>
      <c r="AX23" s="1" t="b">
        <f t="shared" si="25"/>
        <v>1</v>
      </c>
      <c r="AY23" s="1" t="b">
        <f t="shared" si="26"/>
        <v>1</v>
      </c>
      <c r="BA23">
        <f t="shared" si="27"/>
        <v>2009</v>
      </c>
      <c r="BB23" s="2">
        <f t="shared" ref="BB23" si="45">S23</f>
        <v>17179.909711246459</v>
      </c>
      <c r="BC23" s="2"/>
      <c r="BD23" s="2">
        <f t="shared" ref="BD23" si="46">U23</f>
        <v>19140.470067507205</v>
      </c>
      <c r="BE23" s="2">
        <f t="shared" ref="BE23" si="47">V23</f>
        <v>8835.1033172581392</v>
      </c>
      <c r="BF23" s="2"/>
      <c r="BG23" s="2">
        <f t="shared" ref="BG23" si="48">X23</f>
        <v>18641.903910477322</v>
      </c>
      <c r="BH23" s="2">
        <f t="shared" ref="BH23" si="49">Y23</f>
        <v>21807.82042982378</v>
      </c>
      <c r="BI23" s="2">
        <f t="shared" si="33"/>
        <v>85605.207436312907</v>
      </c>
      <c r="BJ23" s="2">
        <f t="shared" si="34"/>
        <v>0</v>
      </c>
      <c r="BK23" s="2"/>
    </row>
    <row r="24" spans="1:63" x14ac:dyDescent="0.25">
      <c r="A24">
        <f t="shared" si="9"/>
        <v>2010</v>
      </c>
      <c r="B24" s="2">
        <f t="shared" si="42"/>
        <v>19741.434249193306</v>
      </c>
      <c r="C24" s="2"/>
      <c r="D24" s="2">
        <f t="shared" si="43"/>
        <v>24013.633746694537</v>
      </c>
      <c r="E24" s="2">
        <f t="shared" si="43"/>
        <v>11284.193956802097</v>
      </c>
      <c r="F24" s="2"/>
      <c r="G24" s="2">
        <f t="shared" si="44"/>
        <v>20714.8836253224</v>
      </c>
      <c r="H24" s="2">
        <f t="shared" si="44"/>
        <v>23207.882501418466</v>
      </c>
      <c r="I24" s="2">
        <f t="shared" si="7"/>
        <v>98962.028079430806</v>
      </c>
      <c r="J24" s="2">
        <f t="shared" si="36"/>
        <v>8933.2050591178995</v>
      </c>
      <c r="K24" s="6">
        <f t="shared" si="37"/>
        <v>9.9226056272026686E-2</v>
      </c>
      <c r="L24" s="7">
        <f t="shared" si="10"/>
        <v>1.0992260562720266</v>
      </c>
      <c r="N24">
        <f t="shared" si="11"/>
        <v>2010</v>
      </c>
      <c r="O24" s="2">
        <f t="shared" si="38"/>
        <v>4485.5462021760004</v>
      </c>
      <c r="P24" s="2"/>
      <c r="Q24" s="2"/>
      <c r="R24">
        <f t="shared" si="5"/>
        <v>2010</v>
      </c>
      <c r="S24" s="2">
        <f t="shared" si="12"/>
        <v>18844.325008758107</v>
      </c>
      <c r="T24" s="2"/>
      <c r="U24" s="2">
        <f t="shared" si="13"/>
        <v>23116.524506259339</v>
      </c>
      <c r="V24" s="2">
        <f t="shared" si="13"/>
        <v>10387.084716366897</v>
      </c>
      <c r="W24" s="2"/>
      <c r="X24" s="2">
        <f t="shared" si="14"/>
        <v>19817.774384887201</v>
      </c>
      <c r="Y24" s="2">
        <f t="shared" si="14"/>
        <v>22310.773260983267</v>
      </c>
      <c r="Z24" s="2">
        <f t="shared" si="15"/>
        <v>94476.481877254817</v>
      </c>
      <c r="AA24" s="2">
        <f t="shared" si="39"/>
        <v>8871.2744409419101</v>
      </c>
      <c r="AB24" s="6">
        <f t="shared" si="40"/>
        <v>0.10363007936803154</v>
      </c>
      <c r="AC24" s="7">
        <f t="shared" si="16"/>
        <v>1.1036300793680316</v>
      </c>
      <c r="AD24" s="2">
        <f t="shared" si="17"/>
        <v>0</v>
      </c>
      <c r="AE24" s="2"/>
      <c r="AG24">
        <f t="shared" si="18"/>
        <v>2010</v>
      </c>
      <c r="AH24" s="6">
        <f t="shared" si="8"/>
        <v>0.19946048619000145</v>
      </c>
      <c r="AI24" s="6"/>
      <c r="AJ24" s="6">
        <f t="shared" si="8"/>
        <v>0.24468020026711679</v>
      </c>
      <c r="AK24" s="6">
        <f t="shared" si="8"/>
        <v>0.10994360194171862</v>
      </c>
      <c r="AL24" s="6"/>
      <c r="AM24" s="6">
        <f t="shared" si="8"/>
        <v>0.20976410204006893</v>
      </c>
      <c r="AN24" s="6">
        <f t="shared" si="19"/>
        <v>0.23615160956109416</v>
      </c>
      <c r="AO24" s="20">
        <f t="shared" si="41"/>
        <v>0.99999999999999989</v>
      </c>
      <c r="AP24" s="22"/>
      <c r="AQ24">
        <f t="shared" si="20"/>
        <v>2010</v>
      </c>
      <c r="AR24" s="1" t="b">
        <f t="shared" si="21"/>
        <v>1</v>
      </c>
      <c r="AS24" s="1"/>
      <c r="AT24" s="1" t="b">
        <f t="shared" si="22"/>
        <v>1</v>
      </c>
      <c r="AU24" s="1" t="b">
        <f t="shared" si="23"/>
        <v>1</v>
      </c>
      <c r="AV24" s="1"/>
      <c r="AW24" s="1" t="b">
        <f t="shared" si="24"/>
        <v>1</v>
      </c>
      <c r="AX24" s="35" t="b">
        <f t="shared" si="25"/>
        <v>0</v>
      </c>
      <c r="AY24" s="1" t="b">
        <f t="shared" si="26"/>
        <v>1</v>
      </c>
      <c r="BA24">
        <f t="shared" si="27"/>
        <v>2010</v>
      </c>
      <c r="BB24" s="36">
        <f>BB$20*$Z24</f>
        <v>18895.296375450966</v>
      </c>
      <c r="BC24" s="2"/>
      <c r="BD24" s="36">
        <f>BD$20*$Z24</f>
        <v>18895.296375450966</v>
      </c>
      <c r="BE24" s="36">
        <f>BE$20*$Z24</f>
        <v>9447.6481877254828</v>
      </c>
      <c r="BF24" s="2"/>
      <c r="BG24" s="36">
        <f>BG$20*$Z24</f>
        <v>18895.296375450966</v>
      </c>
      <c r="BH24" s="36">
        <f>BH$20*$Z24</f>
        <v>28342.944563176443</v>
      </c>
      <c r="BI24" s="2">
        <f t="shared" si="33"/>
        <v>94476.481877254817</v>
      </c>
      <c r="BJ24" s="2">
        <f t="shared" si="34"/>
        <v>0</v>
      </c>
      <c r="BK24" s="2"/>
    </row>
    <row r="25" spans="1:63" x14ac:dyDescent="0.25">
      <c r="A25">
        <f t="shared" si="9"/>
        <v>2011</v>
      </c>
      <c r="B25" s="2">
        <f t="shared" si="42"/>
        <v>19267.533714047349</v>
      </c>
      <c r="C25" s="2"/>
      <c r="D25" s="2">
        <f t="shared" si="43"/>
        <v>18496.605621928949</v>
      </c>
      <c r="E25" s="2">
        <f t="shared" si="43"/>
        <v>9183.1140384691698</v>
      </c>
      <c r="F25" s="2"/>
      <c r="G25" s="2">
        <f t="shared" si="44"/>
        <v>16144.141223185306</v>
      </c>
      <c r="H25" s="2">
        <f t="shared" si="44"/>
        <v>30485.671172152586</v>
      </c>
      <c r="I25" s="2">
        <f t="shared" si="7"/>
        <v>93577.065769783367</v>
      </c>
      <c r="J25" s="2">
        <f t="shared" si="36"/>
        <v>-5384.9623096474388</v>
      </c>
      <c r="K25" s="6">
        <f t="shared" si="37"/>
        <v>-5.4414429596423154E-2</v>
      </c>
      <c r="L25" s="7">
        <f t="shared" si="10"/>
        <v>0.94558557040357682</v>
      </c>
      <c r="N25">
        <f t="shared" si="11"/>
        <v>2011</v>
      </c>
      <c r="O25" s="2">
        <f t="shared" si="38"/>
        <v>4620.1125882412807</v>
      </c>
      <c r="P25" s="2"/>
      <c r="Q25" s="2"/>
      <c r="R25">
        <f t="shared" si="5"/>
        <v>2011</v>
      </c>
      <c r="S25" s="2">
        <f t="shared" si="12"/>
        <v>18343.511196399093</v>
      </c>
      <c r="T25" s="2"/>
      <c r="U25" s="2">
        <f t="shared" si="13"/>
        <v>17572.583104280693</v>
      </c>
      <c r="V25" s="2">
        <f t="shared" si="13"/>
        <v>8259.0915208209135</v>
      </c>
      <c r="W25" s="2"/>
      <c r="X25" s="2">
        <f t="shared" si="14"/>
        <v>15220.11870553705</v>
      </c>
      <c r="Y25" s="2">
        <f t="shared" si="14"/>
        <v>29561.64865450433</v>
      </c>
      <c r="Z25" s="2">
        <f t="shared" si="15"/>
        <v>88956.953181542078</v>
      </c>
      <c r="AA25" s="2">
        <f t="shared" si="39"/>
        <v>-5519.5286957127391</v>
      </c>
      <c r="AB25" s="6">
        <f t="shared" si="40"/>
        <v>-5.8422250554204476E-2</v>
      </c>
      <c r="AC25" s="7">
        <f t="shared" si="16"/>
        <v>0.94157774944579553</v>
      </c>
      <c r="AD25" s="2">
        <f t="shared" si="17"/>
        <v>0</v>
      </c>
      <c r="AE25" s="2"/>
      <c r="AG25">
        <f t="shared" si="18"/>
        <v>2011</v>
      </c>
      <c r="AH25" s="6">
        <f t="shared" si="8"/>
        <v>0.20620660375995475</v>
      </c>
      <c r="AI25" s="6"/>
      <c r="AJ25" s="6">
        <f t="shared" si="8"/>
        <v>0.19754029871525408</v>
      </c>
      <c r="AK25" s="6">
        <f t="shared" si="8"/>
        <v>9.2843687035524675E-2</v>
      </c>
      <c r="AL25" s="7"/>
      <c r="AM25" s="6">
        <f t="shared" si="8"/>
        <v>0.17109532376267483</v>
      </c>
      <c r="AN25" s="6">
        <f t="shared" si="19"/>
        <v>0.33231408672659168</v>
      </c>
      <c r="AO25" s="20">
        <f t="shared" si="41"/>
        <v>1</v>
      </c>
      <c r="AP25" s="22"/>
      <c r="AQ25">
        <f t="shared" si="20"/>
        <v>2011</v>
      </c>
      <c r="AR25" s="1" t="b">
        <f t="shared" si="21"/>
        <v>1</v>
      </c>
      <c r="AS25" s="1"/>
      <c r="AT25" s="1" t="b">
        <f t="shared" si="22"/>
        <v>1</v>
      </c>
      <c r="AU25" s="1" t="b">
        <f t="shared" si="23"/>
        <v>1</v>
      </c>
      <c r="AV25" s="1"/>
      <c r="AW25" s="1" t="b">
        <f t="shared" ref="AW25" si="50">AND((X25/$Z25)&gt;0.15,(X25/$Z25)&lt;0.25)</f>
        <v>1</v>
      </c>
      <c r="AX25" s="1" t="b">
        <f t="shared" si="25"/>
        <v>1</v>
      </c>
      <c r="AY25" s="1" t="b">
        <f t="shared" si="26"/>
        <v>1</v>
      </c>
      <c r="BA25">
        <f t="shared" si="27"/>
        <v>2011</v>
      </c>
      <c r="BB25" s="2">
        <f t="shared" ref="BB25" si="51">S25</f>
        <v>18343.511196399093</v>
      </c>
      <c r="BC25" s="2"/>
      <c r="BD25" s="2">
        <f t="shared" ref="BD25" si="52">U25</f>
        <v>17572.583104280693</v>
      </c>
      <c r="BE25" s="2">
        <f t="shared" ref="BE25" si="53">V25</f>
        <v>8259.0915208209135</v>
      </c>
      <c r="BF25" s="2"/>
      <c r="BG25" s="2">
        <f t="shared" ref="BG25" si="54">X25</f>
        <v>15220.11870553705</v>
      </c>
      <c r="BH25" s="2">
        <f t="shared" ref="BH25" si="55">Y25</f>
        <v>29561.64865450433</v>
      </c>
      <c r="BI25" s="2">
        <f t="shared" si="33"/>
        <v>88956.953181542078</v>
      </c>
      <c r="BJ25" s="2">
        <f t="shared" si="34"/>
        <v>0</v>
      </c>
      <c r="BK25" s="2"/>
    </row>
    <row r="26" spans="1:63" x14ac:dyDescent="0.25">
      <c r="A26">
        <f t="shared" si="9"/>
        <v>2012</v>
      </c>
      <c r="B26" s="2">
        <f t="shared" si="42"/>
        <v>21245.454667669426</v>
      </c>
      <c r="C26" s="2"/>
      <c r="D26" s="2">
        <f t="shared" si="43"/>
        <v>20349.05123475704</v>
      </c>
      <c r="E26" s="2">
        <f t="shared" si="43"/>
        <v>9749.0316311770075</v>
      </c>
      <c r="F26" s="2"/>
      <c r="G26" s="2">
        <f t="shared" si="44"/>
        <v>17981.048238721472</v>
      </c>
      <c r="H26" s="2">
        <f t="shared" si="44"/>
        <v>30758.895425011753</v>
      </c>
      <c r="I26" s="2">
        <f t="shared" si="7"/>
        <v>100083.48119733669</v>
      </c>
      <c r="J26" s="2">
        <f t="shared" si="36"/>
        <v>6506.4154275533219</v>
      </c>
      <c r="K26" s="6">
        <f t="shared" si="37"/>
        <v>6.9530021849160017E-2</v>
      </c>
      <c r="L26" s="7">
        <f t="shared" si="10"/>
        <v>1.0695300218491601</v>
      </c>
      <c r="N26">
        <f t="shared" si="11"/>
        <v>2012</v>
      </c>
      <c r="O26" s="2">
        <f t="shared" si="38"/>
        <v>4703.2746148296237</v>
      </c>
      <c r="P26" s="2"/>
      <c r="Q26" s="2"/>
      <c r="R26">
        <f t="shared" ref="R26:R28" si="56">A26</f>
        <v>2012</v>
      </c>
      <c r="S26" s="2">
        <f t="shared" ref="S26:S28" si="57">B26-($O26/5)</f>
        <v>20304.799744703501</v>
      </c>
      <c r="T26" s="2"/>
      <c r="U26" s="2">
        <f t="shared" ref="U26:U28" si="58">D26-($O26/5)</f>
        <v>19408.396311791115</v>
      </c>
      <c r="V26" s="2">
        <f t="shared" ref="V26:V28" si="59">E26-($O26/5)</f>
        <v>8808.3767082110826</v>
      </c>
      <c r="W26" s="2"/>
      <c r="X26" s="2">
        <f t="shared" ref="X26:X28" si="60">G26-($O26/5)</f>
        <v>17040.393315755548</v>
      </c>
      <c r="Y26" s="2">
        <f t="shared" ref="Y26:Y28" si="61">H26-($O26/5)</f>
        <v>29818.240502045828</v>
      </c>
      <c r="Z26" s="2">
        <f t="shared" ref="Z26:Z28" si="62">SUM(S26:Y26)</f>
        <v>95380.206582507075</v>
      </c>
      <c r="AA26" s="2">
        <f t="shared" ref="AA26:AA28" si="63">Z26-Z25</f>
        <v>6423.2534009649971</v>
      </c>
      <c r="AB26" s="6">
        <f t="shared" ref="AB26:AB28" si="64">(AA26/Z25)</f>
        <v>7.2206310706893401E-2</v>
      </c>
      <c r="AC26" s="7">
        <f t="shared" ref="AC26:AC28" si="65">AB26+1</f>
        <v>1.0722063107068933</v>
      </c>
      <c r="AD26" s="2">
        <f t="shared" ref="AD26:AD28" si="66">Z26-(I26-O26)</f>
        <v>0</v>
      </c>
      <c r="AE26" s="2"/>
      <c r="AG26">
        <f t="shared" ref="AG26:AG28" si="67">A26</f>
        <v>2012</v>
      </c>
      <c r="AH26" s="6">
        <f t="shared" ref="AH26:AH28" si="68">S26/$Z26</f>
        <v>0.21288274026895893</v>
      </c>
      <c r="AI26" s="6"/>
      <c r="AJ26" s="6">
        <f t="shared" ref="AJ26:AJ28" si="69">U26/$Z26</f>
        <v>0.20348452794555652</v>
      </c>
      <c r="AK26" s="6">
        <f t="shared" ref="AK26:AK28" si="70">V26/$Z26</f>
        <v>9.2350153389440831E-2</v>
      </c>
      <c r="AL26" s="7"/>
      <c r="AM26" s="6">
        <f t="shared" ref="AM26:AM28" si="71">X26/$Z26</f>
        <v>0.17865754254804467</v>
      </c>
      <c r="AN26" s="6">
        <f t="shared" ref="AN26:AN28" si="72">Y26/$Z26</f>
        <v>0.31262503584799906</v>
      </c>
      <c r="AO26" s="20">
        <f t="shared" ref="AO26:AO28" si="73">SUM(AH26:AN26)</f>
        <v>1</v>
      </c>
      <c r="AP26" s="22"/>
      <c r="AQ26">
        <f t="shared" ref="AQ26:AQ28" si="74">AG26</f>
        <v>2012</v>
      </c>
      <c r="AR26" s="1" t="b">
        <f t="shared" ref="AR26:AR28" si="75">AND((S26/$Z26)&gt;0.15,(S26/$Z26)&lt;0.25)</f>
        <v>1</v>
      </c>
      <c r="AS26" s="1"/>
      <c r="AT26" s="1" t="b">
        <f t="shared" ref="AT26:AT28" si="76">AND((U26/$Z26)&gt;0.15,(U26/$Z26)&lt;0.25)</f>
        <v>1</v>
      </c>
      <c r="AU26" s="1" t="b">
        <f t="shared" ref="AU26:AU28" si="77">AND((V26/$Z26)&gt;0.05,(V26/$Z26)&lt;0.15)</f>
        <v>1</v>
      </c>
      <c r="AV26" s="1"/>
      <c r="AW26" s="1" t="b">
        <f t="shared" ref="AW26:AW28" si="78">AND((X26/$Z26)&gt;0.15,(X26/$Z26)&lt;0.25)</f>
        <v>1</v>
      </c>
      <c r="AX26" s="1" t="b">
        <f t="shared" ref="AX26:AX28" si="79">AND((Y26/$Z26)&gt;0.25,(Y26/$Z26)&lt;0.35)</f>
        <v>1</v>
      </c>
      <c r="AY26" s="1" t="b">
        <f t="shared" ref="AY26:AY28" si="80">AND((Z26/$Z26)&gt;0.999,(Z26/$Z26)&lt;1.01)</f>
        <v>1</v>
      </c>
      <c r="BA26">
        <f t="shared" ref="BA26:BA28" si="81">AQ26</f>
        <v>2012</v>
      </c>
      <c r="BB26" s="2">
        <f t="shared" ref="BB26:BB27" si="82">S26</f>
        <v>20304.799744703501</v>
      </c>
      <c r="BC26" s="2"/>
      <c r="BD26" s="2">
        <f t="shared" ref="BD26:BD27" si="83">U26</f>
        <v>19408.396311791115</v>
      </c>
      <c r="BE26" s="2">
        <f t="shared" ref="BE26:BE27" si="84">V26</f>
        <v>8808.3767082110826</v>
      </c>
      <c r="BF26" s="2"/>
      <c r="BG26" s="2">
        <f t="shared" ref="BG26:BG27" si="85">X26</f>
        <v>17040.393315755548</v>
      </c>
      <c r="BH26" s="2">
        <f t="shared" ref="BH26:BH27" si="86">Y26</f>
        <v>29818.240502045828</v>
      </c>
      <c r="BI26" s="2">
        <f t="shared" ref="BI26:BI28" si="87">Z26</f>
        <v>95380.206582507075</v>
      </c>
      <c r="BJ26" s="2">
        <f t="shared" ref="BJ26:BJ28" si="88">SUM(BB26:BH26)-Z26</f>
        <v>0</v>
      </c>
      <c r="BK26" s="2"/>
    </row>
    <row r="27" spans="1:63" x14ac:dyDescent="0.25">
      <c r="A27">
        <f t="shared" si="9"/>
        <v>2013</v>
      </c>
      <c r="B27" s="2">
        <f t="shared" si="42"/>
        <v>26838.88430254909</v>
      </c>
      <c r="C27" s="2"/>
      <c r="D27" s="2">
        <f t="shared" si="43"/>
        <v>26201.335020918006</v>
      </c>
      <c r="E27" s="2">
        <f t="shared" si="43"/>
        <v>12122.08802584009</v>
      </c>
      <c r="F27" s="2"/>
      <c r="G27" s="2">
        <f t="shared" si="44"/>
        <v>19603.268470445179</v>
      </c>
      <c r="H27" s="2">
        <f t="shared" si="44"/>
        <v>29144.348266699595</v>
      </c>
      <c r="I27" s="2">
        <f t="shared" ref="I27:I28" si="89">SUM(B27:H27)</f>
        <v>113909.92408645197</v>
      </c>
      <c r="J27" s="2">
        <f t="shared" ref="J27:J28" si="90">I27-I26</f>
        <v>13826.442889115278</v>
      </c>
      <c r="K27" s="6">
        <f t="shared" ref="K27:K28" si="91">(J27/I26)</f>
        <v>0.13814910036805567</v>
      </c>
      <c r="L27" s="7">
        <f t="shared" ref="L27:L28" si="92">K27+1</f>
        <v>1.1381491003680557</v>
      </c>
      <c r="N27">
        <f t="shared" ref="N27:N28" si="93">A27</f>
        <v>2013</v>
      </c>
      <c r="O27" s="2">
        <f t="shared" si="38"/>
        <v>4757.6252661585313</v>
      </c>
      <c r="P27" s="2"/>
      <c r="Q27" s="2"/>
      <c r="R27">
        <f t="shared" si="56"/>
        <v>2013</v>
      </c>
      <c r="S27" s="2">
        <f t="shared" si="57"/>
        <v>25887.359249317382</v>
      </c>
      <c r="T27" s="2"/>
      <c r="U27" s="2">
        <f t="shared" si="58"/>
        <v>25249.809967686298</v>
      </c>
      <c r="V27" s="2">
        <f t="shared" si="59"/>
        <v>11170.562972608384</v>
      </c>
      <c r="W27" s="2"/>
      <c r="X27" s="2">
        <f t="shared" si="60"/>
        <v>18651.743417213471</v>
      </c>
      <c r="Y27" s="2">
        <f t="shared" si="61"/>
        <v>28192.823213467887</v>
      </c>
      <c r="Z27" s="2">
        <f t="shared" si="62"/>
        <v>109152.29882029342</v>
      </c>
      <c r="AA27" s="2">
        <f t="shared" si="63"/>
        <v>13772.092237786346</v>
      </c>
      <c r="AB27" s="6">
        <f t="shared" si="64"/>
        <v>0.14439151194197744</v>
      </c>
      <c r="AC27" s="7">
        <f t="shared" si="65"/>
        <v>1.1443915119419774</v>
      </c>
      <c r="AD27" s="2">
        <f t="shared" si="66"/>
        <v>0</v>
      </c>
      <c r="AE27" s="2"/>
      <c r="AG27">
        <f t="shared" si="67"/>
        <v>2013</v>
      </c>
      <c r="AH27" s="6">
        <f t="shared" si="68"/>
        <v>0.23716732976863741</v>
      </c>
      <c r="AI27" s="6"/>
      <c r="AJ27" s="6">
        <f t="shared" si="69"/>
        <v>0.23132641493201328</v>
      </c>
      <c r="AK27" s="6">
        <f t="shared" si="70"/>
        <v>0.10233923695001072</v>
      </c>
      <c r="AL27" s="7"/>
      <c r="AM27" s="6">
        <f t="shared" si="71"/>
        <v>0.17087815482403534</v>
      </c>
      <c r="AN27" s="6">
        <f t="shared" si="72"/>
        <v>0.25828886352530328</v>
      </c>
      <c r="AO27" s="20">
        <f t="shared" si="73"/>
        <v>1</v>
      </c>
      <c r="AP27" s="22"/>
      <c r="AQ27">
        <f t="shared" si="74"/>
        <v>2013</v>
      </c>
      <c r="AR27" s="1" t="b">
        <f t="shared" si="75"/>
        <v>1</v>
      </c>
      <c r="AS27" s="1"/>
      <c r="AT27" s="1" t="b">
        <f t="shared" si="76"/>
        <v>1</v>
      </c>
      <c r="AU27" s="1" t="b">
        <f t="shared" si="77"/>
        <v>1</v>
      </c>
      <c r="AV27" s="1"/>
      <c r="AW27" s="1" t="b">
        <f t="shared" si="78"/>
        <v>1</v>
      </c>
      <c r="AX27" s="1" t="b">
        <f t="shared" si="79"/>
        <v>1</v>
      </c>
      <c r="AY27" s="1" t="b">
        <f t="shared" si="80"/>
        <v>1</v>
      </c>
      <c r="BA27">
        <f t="shared" si="81"/>
        <v>2013</v>
      </c>
      <c r="BB27" s="2">
        <f t="shared" si="82"/>
        <v>25887.359249317382</v>
      </c>
      <c r="BC27" s="2"/>
      <c r="BD27" s="2">
        <f t="shared" si="83"/>
        <v>25249.809967686298</v>
      </c>
      <c r="BE27" s="2">
        <f t="shared" si="84"/>
        <v>11170.562972608384</v>
      </c>
      <c r="BF27" s="2"/>
      <c r="BG27" s="2">
        <f t="shared" si="85"/>
        <v>18651.743417213471</v>
      </c>
      <c r="BH27" s="2">
        <f t="shared" si="86"/>
        <v>28192.823213467887</v>
      </c>
      <c r="BI27" s="2">
        <f t="shared" si="87"/>
        <v>109152.29882029342</v>
      </c>
      <c r="BJ27" s="2">
        <f t="shared" si="88"/>
        <v>0</v>
      </c>
      <c r="BK27" s="2"/>
    </row>
    <row r="28" spans="1:63" x14ac:dyDescent="0.25">
      <c r="A28">
        <f t="shared" si="9"/>
        <v>2014</v>
      </c>
      <c r="B28" s="2">
        <f t="shared" si="42"/>
        <v>29384.741483900161</v>
      </c>
      <c r="C28" s="2"/>
      <c r="D28" s="2">
        <f t="shared" si="43"/>
        <v>28683.78412329164</v>
      </c>
      <c r="E28" s="2">
        <f t="shared" si="43"/>
        <v>11993.833463689623</v>
      </c>
      <c r="F28" s="2"/>
      <c r="G28" s="2">
        <f t="shared" si="44"/>
        <v>17860.90949632362</v>
      </c>
      <c r="H28" s="2">
        <f t="shared" si="44"/>
        <v>29816.72983056364</v>
      </c>
      <c r="I28" s="2">
        <f t="shared" si="89"/>
        <v>117739.99839776866</v>
      </c>
      <c r="J28" s="2">
        <f t="shared" si="90"/>
        <v>3830.0743113166973</v>
      </c>
      <c r="K28" s="6">
        <f t="shared" si="91"/>
        <v>3.3623710506644366E-2</v>
      </c>
      <c r="L28" s="7">
        <f t="shared" si="92"/>
        <v>1.0336237105066444</v>
      </c>
      <c r="N28">
        <f t="shared" si="93"/>
        <v>2014</v>
      </c>
      <c r="O28" s="2">
        <f t="shared" si="38"/>
        <v>4818.9986320919761</v>
      </c>
      <c r="P28" s="2"/>
      <c r="Q28" s="2"/>
      <c r="R28">
        <f t="shared" si="56"/>
        <v>2014</v>
      </c>
      <c r="S28" s="2">
        <f t="shared" si="57"/>
        <v>28420.941757481767</v>
      </c>
      <c r="T28" s="2"/>
      <c r="U28" s="2">
        <f t="shared" si="58"/>
        <v>27719.984396873246</v>
      </c>
      <c r="V28" s="2">
        <f t="shared" si="59"/>
        <v>11030.033737271227</v>
      </c>
      <c r="W28" s="2"/>
      <c r="X28" s="2">
        <f t="shared" si="60"/>
        <v>16897.109769905226</v>
      </c>
      <c r="Y28" s="2">
        <f t="shared" si="61"/>
        <v>28852.930104145245</v>
      </c>
      <c r="Z28" s="2">
        <f t="shared" si="62"/>
        <v>112920.99976567669</v>
      </c>
      <c r="AA28" s="2">
        <f t="shared" si="63"/>
        <v>3768.7009453832725</v>
      </c>
      <c r="AB28" s="6">
        <f t="shared" si="64"/>
        <v>3.4526995639258144E-2</v>
      </c>
      <c r="AC28" s="7">
        <f t="shared" si="65"/>
        <v>1.0345269956392582</v>
      </c>
      <c r="AD28" s="2">
        <f t="shared" si="66"/>
        <v>0</v>
      </c>
      <c r="AE28" s="2"/>
      <c r="AG28">
        <f t="shared" si="67"/>
        <v>2014</v>
      </c>
      <c r="AH28" s="6">
        <f t="shared" si="68"/>
        <v>0.25168871880746985</v>
      </c>
      <c r="AI28" s="6"/>
      <c r="AJ28" s="6">
        <f t="shared" si="69"/>
        <v>0.24548121655312313</v>
      </c>
      <c r="AK28" s="6">
        <f t="shared" si="70"/>
        <v>9.7679207234790177E-2</v>
      </c>
      <c r="AL28" s="7"/>
      <c r="AM28" s="6">
        <f t="shared" si="71"/>
        <v>0.14963655834582193</v>
      </c>
      <c r="AN28" s="6">
        <f t="shared" si="72"/>
        <v>0.25551429905879508</v>
      </c>
      <c r="AO28" s="20">
        <f t="shared" si="73"/>
        <v>1</v>
      </c>
      <c r="AP28" s="22"/>
      <c r="AQ28">
        <f t="shared" si="74"/>
        <v>2014</v>
      </c>
      <c r="AR28" s="65" t="b">
        <f t="shared" si="75"/>
        <v>0</v>
      </c>
      <c r="AS28" s="1"/>
      <c r="AT28" s="1" t="b">
        <f t="shared" si="76"/>
        <v>1</v>
      </c>
      <c r="AU28" s="1" t="b">
        <f t="shared" si="77"/>
        <v>1</v>
      </c>
      <c r="AV28" s="1"/>
      <c r="AW28" s="65" t="b">
        <f t="shared" si="78"/>
        <v>0</v>
      </c>
      <c r="AX28" s="1" t="b">
        <f t="shared" si="79"/>
        <v>1</v>
      </c>
      <c r="AY28" s="1" t="b">
        <f t="shared" si="80"/>
        <v>1</v>
      </c>
      <c r="BA28">
        <f t="shared" si="81"/>
        <v>2014</v>
      </c>
      <c r="BB28" s="36">
        <f>BB$20*$Z28</f>
        <v>22584.199953135339</v>
      </c>
      <c r="BC28" s="2"/>
      <c r="BD28" s="36">
        <f>BD$20*$Z28</f>
        <v>22584.199953135339</v>
      </c>
      <c r="BE28" s="36">
        <f>BE$20*$Z28</f>
        <v>11292.09997656767</v>
      </c>
      <c r="BF28" s="2"/>
      <c r="BG28" s="36">
        <f>BG$20*$Z28</f>
        <v>22584.199953135339</v>
      </c>
      <c r="BH28" s="36">
        <f>BH$20*$Z28</f>
        <v>33876.299929703004</v>
      </c>
      <c r="BI28" s="2">
        <f t="shared" si="87"/>
        <v>112920.99976567669</v>
      </c>
      <c r="BJ28" s="2">
        <f t="shared" si="88"/>
        <v>0</v>
      </c>
      <c r="BK28" s="2"/>
    </row>
    <row r="29" spans="1:63" x14ac:dyDescent="0.25">
      <c r="A29">
        <f t="shared" si="9"/>
        <v>2015</v>
      </c>
      <c r="B29" s="2">
        <f t="shared" si="42"/>
        <v>22866.502452549532</v>
      </c>
      <c r="C29" s="2"/>
      <c r="D29" s="2">
        <f t="shared" ref="D29:E29" si="94">BD28*(1+(D12/100))</f>
        <v>22254.470633819565</v>
      </c>
      <c r="E29" s="2">
        <f t="shared" si="94"/>
        <v>10865.25859745341</v>
      </c>
      <c r="F29" s="2"/>
      <c r="G29" s="2">
        <f t="shared" ref="G29:H29" si="95">BG28*(1+(G12/100))</f>
        <v>21597.270415183328</v>
      </c>
      <c r="H29" s="2">
        <f t="shared" si="95"/>
        <v>33977.928829492106</v>
      </c>
      <c r="I29" s="2">
        <f t="shared" ref="I29" si="96">SUM(B29:H29)</f>
        <v>111561.43092849792</v>
      </c>
      <c r="J29" s="2">
        <f t="shared" ref="J29" si="97">I29-I28</f>
        <v>-6178.5674692707398</v>
      </c>
      <c r="K29" s="6">
        <f t="shared" ref="K29" si="98">(J29/I28)</f>
        <v>-5.2476367872855624E-2</v>
      </c>
      <c r="L29" s="7">
        <f t="shared" ref="L29" si="99">K29+1</f>
        <v>0.94752363212714441</v>
      </c>
      <c r="N29">
        <f t="shared" ref="N29" si="100">A29</f>
        <v>2015</v>
      </c>
      <c r="O29" s="2">
        <f t="shared" si="38"/>
        <v>4840.202226073181</v>
      </c>
      <c r="P29" s="2"/>
      <c r="Q29" s="2"/>
      <c r="R29">
        <f t="shared" ref="R29" si="101">A29</f>
        <v>2015</v>
      </c>
      <c r="S29" s="2">
        <f t="shared" ref="S29" si="102">B29-($O29/5)</f>
        <v>21898.462007334896</v>
      </c>
      <c r="T29" s="2"/>
      <c r="U29" s="2">
        <f t="shared" ref="U29" si="103">D29-($O29/5)</f>
        <v>21286.430188604929</v>
      </c>
      <c r="V29" s="2">
        <f t="shared" ref="V29" si="104">E29-($O29/5)</f>
        <v>9897.2181522387746</v>
      </c>
      <c r="W29" s="2"/>
      <c r="X29" s="2">
        <f t="shared" ref="X29" si="105">G29-($O29/5)</f>
        <v>20629.229969968692</v>
      </c>
      <c r="Y29" s="2">
        <f t="shared" ref="Y29" si="106">H29-($O29/5)</f>
        <v>33009.888384277467</v>
      </c>
      <c r="Z29" s="2">
        <f t="shared" ref="Z29" si="107">SUM(S29:Y29)</f>
        <v>106721.22870242476</v>
      </c>
      <c r="AA29" s="2">
        <f t="shared" ref="AA29" si="108">Z29-Z28</f>
        <v>-6199.7710632519302</v>
      </c>
      <c r="AB29" s="6">
        <f t="shared" ref="AB29" si="109">(AA29/Z28)</f>
        <v>-5.4903614705122401E-2</v>
      </c>
      <c r="AC29" s="7">
        <f t="shared" ref="AC29" si="110">AB29+1</f>
        <v>0.94509638529487761</v>
      </c>
      <c r="AD29" s="2">
        <f t="shared" ref="AD29" si="111">Z29-(I29-O29)</f>
        <v>0</v>
      </c>
      <c r="AE29" s="2"/>
      <c r="AG29">
        <f t="shared" ref="AG29" si="112">A29</f>
        <v>2015</v>
      </c>
      <c r="AH29" s="6">
        <f t="shared" ref="AH29" si="113">S29/$Z29</f>
        <v>0.20519312112115282</v>
      </c>
      <c r="AI29" s="6"/>
      <c r="AJ29" s="6">
        <f t="shared" ref="AJ29" si="114">U29/$Z29</f>
        <v>0.19945825631335981</v>
      </c>
      <c r="AK29" s="6">
        <f t="shared" ref="AK29" si="115">V29/$Z29</f>
        <v>9.2738982417786803E-2</v>
      </c>
      <c r="AL29" s="7"/>
      <c r="AM29" s="6">
        <f t="shared" ref="AM29" si="116">X29/$Z29</f>
        <v>0.19330015425037911</v>
      </c>
      <c r="AN29" s="6">
        <f t="shared" ref="AN29" si="117">Y29/$Z29</f>
        <v>0.30930948589732143</v>
      </c>
      <c r="AO29" s="20">
        <f t="shared" ref="AO29" si="118">SUM(AH29:AN29)</f>
        <v>0.99999999999999989</v>
      </c>
      <c r="AP29" s="22"/>
      <c r="AQ29">
        <f t="shared" ref="AQ29" si="119">AG29</f>
        <v>2015</v>
      </c>
      <c r="AR29" s="1" t="b">
        <f t="shared" ref="AR29" si="120">AND((S29/$Z29)&gt;0.15,(S29/$Z29)&lt;0.25)</f>
        <v>1</v>
      </c>
      <c r="AS29" s="1"/>
      <c r="AT29" s="1" t="b">
        <f t="shared" ref="AT29" si="121">AND((U29/$Z29)&gt;0.15,(U29/$Z29)&lt;0.25)</f>
        <v>1</v>
      </c>
      <c r="AU29" s="1" t="b">
        <f t="shared" ref="AU29" si="122">AND((V29/$Z29)&gt;0.05,(V29/$Z29)&lt;0.15)</f>
        <v>1</v>
      </c>
      <c r="AV29" s="1"/>
      <c r="AW29" s="1" t="b">
        <f t="shared" ref="AW29" si="123">AND((X29/$Z29)&gt;0.15,(X29/$Z29)&lt;0.25)</f>
        <v>1</v>
      </c>
      <c r="AX29" s="1" t="b">
        <f t="shared" ref="AX29" si="124">AND((Y29/$Z29)&gt;0.25,(Y29/$Z29)&lt;0.35)</f>
        <v>1</v>
      </c>
      <c r="AY29" s="1" t="b">
        <f t="shared" ref="AY29" si="125">AND((Z29/$Z29)&gt;0.999,(Z29/$Z29)&lt;1.01)</f>
        <v>1</v>
      </c>
      <c r="BA29">
        <f t="shared" ref="BA29" si="126">AQ29</f>
        <v>2015</v>
      </c>
      <c r="BB29" s="2">
        <f t="shared" ref="BB29" si="127">S29</f>
        <v>21898.462007334896</v>
      </c>
      <c r="BC29" s="2"/>
      <c r="BD29" s="2">
        <f t="shared" ref="BD29" si="128">U29</f>
        <v>21286.430188604929</v>
      </c>
      <c r="BE29" s="2">
        <f t="shared" ref="BE29" si="129">V29</f>
        <v>9897.2181522387746</v>
      </c>
      <c r="BF29" s="2"/>
      <c r="BG29" s="2">
        <f t="shared" ref="BG29" si="130">X29</f>
        <v>20629.229969968692</v>
      </c>
      <c r="BH29" s="2">
        <f t="shared" ref="BH29" si="131">Y29</f>
        <v>33009.888384277467</v>
      </c>
      <c r="BI29" s="2">
        <f t="shared" ref="BI29" si="132">Z29</f>
        <v>106721.22870242476</v>
      </c>
      <c r="BJ29" s="2">
        <f t="shared" ref="BJ29" si="133">SUM(BB29:BH29)-Z29</f>
        <v>0</v>
      </c>
      <c r="BK29" s="2"/>
    </row>
    <row r="30" spans="1:63" x14ac:dyDescent="0.25">
      <c r="A30">
        <f t="shared" ref="A30:A31" si="134">A13</f>
        <v>2016</v>
      </c>
      <c r="B30" s="2">
        <f t="shared" ref="B30:B31" si="135">BB29*(1+(B13/100))</f>
        <v>24486.860216601883</v>
      </c>
      <c r="C30" s="2"/>
      <c r="D30" s="2">
        <f t="shared" ref="D30:D31" si="136">BD29*(1+(D13/100))</f>
        <v>23642.838010483494</v>
      </c>
      <c r="E30" s="2">
        <f t="shared" ref="E30:E31" si="137">BE29*(1+(E13/100))</f>
        <v>11695.542690500559</v>
      </c>
      <c r="F30" s="2"/>
      <c r="G30" s="2">
        <f t="shared" ref="G30:G31" si="138">BG29*(1+(G13/100))</f>
        <v>21588.489163572234</v>
      </c>
      <c r="H30" s="2">
        <f t="shared" ref="H30:H31" si="139">BH29*(1+(H13/100))</f>
        <v>33835.135593884399</v>
      </c>
      <c r="I30" s="2">
        <f t="shared" ref="I30:I31" si="140">SUM(B30:H30)</f>
        <v>115248.86567504256</v>
      </c>
      <c r="J30" s="2">
        <f t="shared" ref="J30:J31" si="141">I30-I29</f>
        <v>3687.4347465446335</v>
      </c>
      <c r="K30" s="6">
        <f t="shared" ref="K30:K31" si="142">(J30/I29)</f>
        <v>3.3052953120581506E-2</v>
      </c>
      <c r="L30" s="7">
        <f t="shared" ref="L30:L31" si="143">K30+1</f>
        <v>1.0330529531205814</v>
      </c>
      <c r="N30">
        <f t="shared" ref="N30:N31" si="144">A30</f>
        <v>2016</v>
      </c>
      <c r="O30" s="2">
        <f t="shared" ref="O30:O31" si="145">O29*(1+O13)</f>
        <v>4922.4856639164245</v>
      </c>
      <c r="P30" s="2"/>
      <c r="Q30" s="2"/>
      <c r="R30">
        <f t="shared" ref="R30:R31" si="146">A30</f>
        <v>2016</v>
      </c>
      <c r="S30" s="2">
        <f t="shared" ref="S30:S31" si="147">B30-($O30/5)</f>
        <v>23502.363083818596</v>
      </c>
      <c r="T30" s="2"/>
      <c r="U30" s="2">
        <f t="shared" ref="U30:U31" si="148">D30-($O30/5)</f>
        <v>22658.340877700208</v>
      </c>
      <c r="V30" s="2">
        <f t="shared" ref="V30:V31" si="149">E30-($O30/5)</f>
        <v>10711.045557717274</v>
      </c>
      <c r="W30" s="2"/>
      <c r="X30" s="2">
        <f t="shared" ref="X30:X31" si="150">G30-($O30/5)</f>
        <v>20603.992030788948</v>
      </c>
      <c r="Y30" s="2">
        <f t="shared" ref="Y30:Y31" si="151">H30-($O30/5)</f>
        <v>32850.638461101116</v>
      </c>
      <c r="Z30" s="2">
        <f t="shared" ref="Z30:Z31" si="152">SUM(S30:Y30)</f>
        <v>110326.38001112615</v>
      </c>
      <c r="AA30" s="2">
        <f t="shared" ref="AA30:AA31" si="153">Z30-Z29</f>
        <v>3605.1513087013882</v>
      </c>
      <c r="AB30" s="6">
        <f t="shared" ref="AB30:AB31" si="154">(AA30/Z29)</f>
        <v>3.3781013885754461E-2</v>
      </c>
      <c r="AC30" s="7">
        <f t="shared" ref="AC30:AC31" si="155">AB30+1</f>
        <v>1.0337810138857544</v>
      </c>
      <c r="AD30" s="2">
        <f t="shared" ref="AD30:AD31" si="156">Z30-(I30-O30)</f>
        <v>0</v>
      </c>
      <c r="AE30" s="2"/>
      <c r="AG30">
        <f t="shared" ref="AG30:AG31" si="157">A30</f>
        <v>2016</v>
      </c>
      <c r="AH30" s="6">
        <f t="shared" ref="AH30:AH31" si="158">S30/$Z30</f>
        <v>0.21302577934169906</v>
      </c>
      <c r="AI30" s="6"/>
      <c r="AJ30" s="6">
        <f t="shared" ref="AJ30:AJ31" si="159">U30/$Z30</f>
        <v>0.20537554912447203</v>
      </c>
      <c r="AK30" s="6">
        <f t="shared" ref="AK30:AK31" si="160">V30/$Z30</f>
        <v>9.708508116224869E-2</v>
      </c>
      <c r="AL30" s="7"/>
      <c r="AM30" s="6">
        <f t="shared" ref="AM30:AM31" si="161">X30/$Z30</f>
        <v>0.18675489967776596</v>
      </c>
      <c r="AN30" s="6">
        <f t="shared" ref="AN30:AN31" si="162">Y30/$Z30</f>
        <v>0.29775869069381417</v>
      </c>
      <c r="AO30" s="20">
        <f t="shared" ref="AO30:AO31" si="163">SUM(AH30:AN30)</f>
        <v>0.99999999999999978</v>
      </c>
      <c r="AP30" s="22"/>
      <c r="AQ30">
        <f t="shared" ref="AQ30:AQ31" si="164">AG30</f>
        <v>2016</v>
      </c>
      <c r="AR30" s="1" t="b">
        <f t="shared" ref="AR30:AR31" si="165">AND((S30/$Z30)&gt;0.15,(S30/$Z30)&lt;0.25)</f>
        <v>1</v>
      </c>
      <c r="AS30" s="1"/>
      <c r="AT30" s="1" t="b">
        <f t="shared" ref="AT30:AT31" si="166">AND((U30/$Z30)&gt;0.15,(U30/$Z30)&lt;0.25)</f>
        <v>1</v>
      </c>
      <c r="AU30" s="1" t="b">
        <f t="shared" ref="AU30:AU31" si="167">AND((V30/$Z30)&gt;0.05,(V30/$Z30)&lt;0.15)</f>
        <v>1</v>
      </c>
      <c r="AV30" s="1"/>
      <c r="AW30" s="1" t="b">
        <f t="shared" ref="AW30:AW31" si="168">AND((X30/$Z30)&gt;0.15,(X30/$Z30)&lt;0.25)</f>
        <v>1</v>
      </c>
      <c r="AX30" s="1" t="b">
        <f t="shared" ref="AX30:AX31" si="169">AND((Y30/$Z30)&gt;0.25,(Y30/$Z30)&lt;0.35)</f>
        <v>1</v>
      </c>
      <c r="AY30" s="1" t="b">
        <f t="shared" ref="AY30:AY31" si="170">AND((Z30/$Z30)&gt;0.999,(Z30/$Z30)&lt;1.01)</f>
        <v>1</v>
      </c>
      <c r="BA30">
        <f t="shared" ref="BA30:BA31" si="171">AQ30</f>
        <v>2016</v>
      </c>
      <c r="BB30" s="2">
        <f t="shared" ref="BB30:BB31" si="172">S30</f>
        <v>23502.363083818596</v>
      </c>
      <c r="BC30" s="2"/>
      <c r="BD30" s="2">
        <f t="shared" ref="BD30:BD31" si="173">U30</f>
        <v>22658.340877700208</v>
      </c>
      <c r="BE30" s="2">
        <f t="shared" ref="BE30:BE31" si="174">V30</f>
        <v>10711.045557717274</v>
      </c>
      <c r="BF30" s="2"/>
      <c r="BG30" s="2">
        <f t="shared" ref="BG30:BG31" si="175">X30</f>
        <v>20603.992030788948</v>
      </c>
      <c r="BH30" s="2">
        <f t="shared" ref="BH30:BH31" si="176">Y30</f>
        <v>32850.638461101116</v>
      </c>
      <c r="BI30" s="2">
        <f t="shared" ref="BI30:BI31" si="177">Z30</f>
        <v>110326.38001112615</v>
      </c>
      <c r="BJ30" s="2">
        <f t="shared" ref="BJ30:BJ31" si="178">SUM(BB30:BH30)-Z30</f>
        <v>0</v>
      </c>
      <c r="BK30" s="2"/>
    </row>
    <row r="31" spans="1:63" x14ac:dyDescent="0.25">
      <c r="A31">
        <f t="shared" si="134"/>
        <v>2017</v>
      </c>
      <c r="B31" s="2">
        <f t="shared" si="135"/>
        <v>28595.325164082085</v>
      </c>
      <c r="C31" s="2"/>
      <c r="D31" s="2">
        <f t="shared" si="136"/>
        <v>27099.375689729448</v>
      </c>
      <c r="E31" s="2">
        <f t="shared" si="137"/>
        <v>12435.523892509756</v>
      </c>
      <c r="F31" s="2"/>
      <c r="G31" s="2">
        <f t="shared" si="138"/>
        <v>26249.485847225122</v>
      </c>
      <c r="H31" s="2">
        <f t="shared" si="139"/>
        <v>33987.27055185521</v>
      </c>
      <c r="I31" s="2">
        <f t="shared" si="140"/>
        <v>128366.98114540162</v>
      </c>
      <c r="J31" s="2">
        <f t="shared" si="141"/>
        <v>13118.115470359058</v>
      </c>
      <c r="K31" s="6">
        <f t="shared" si="142"/>
        <v>0.11382424801773837</v>
      </c>
      <c r="L31" s="7">
        <f t="shared" si="143"/>
        <v>1.1138242480177383</v>
      </c>
      <c r="N31">
        <f t="shared" si="144"/>
        <v>2017</v>
      </c>
      <c r="O31" s="2">
        <f t="shared" si="145"/>
        <v>5032.2570942217608</v>
      </c>
      <c r="P31" s="2"/>
      <c r="Q31" s="2"/>
      <c r="R31">
        <f t="shared" si="146"/>
        <v>2017</v>
      </c>
      <c r="S31" s="2">
        <f t="shared" si="147"/>
        <v>27588.873745237732</v>
      </c>
      <c r="T31" s="2"/>
      <c r="U31" s="2">
        <f t="shared" si="148"/>
        <v>26092.924270885094</v>
      </c>
      <c r="V31" s="2">
        <f t="shared" si="149"/>
        <v>11429.072473665405</v>
      </c>
      <c r="W31" s="2"/>
      <c r="X31" s="2">
        <f t="shared" si="150"/>
        <v>25243.034428380768</v>
      </c>
      <c r="Y31" s="2">
        <f t="shared" si="151"/>
        <v>32980.81913301086</v>
      </c>
      <c r="Z31" s="2">
        <f t="shared" si="152"/>
        <v>123334.72405117986</v>
      </c>
      <c r="AA31" s="2">
        <f t="shared" si="153"/>
        <v>13008.344040053707</v>
      </c>
      <c r="AB31" s="6">
        <f t="shared" si="154"/>
        <v>0.11790782982947366</v>
      </c>
      <c r="AC31" s="7">
        <f t="shared" si="155"/>
        <v>1.1179078298294736</v>
      </c>
      <c r="AD31" s="2">
        <f t="shared" si="156"/>
        <v>0</v>
      </c>
      <c r="AE31" s="2"/>
      <c r="AG31">
        <f t="shared" si="157"/>
        <v>2017</v>
      </c>
      <c r="AH31" s="6">
        <f t="shared" si="158"/>
        <v>0.2236910485467925</v>
      </c>
      <c r="AI31" s="6"/>
      <c r="AJ31" s="6">
        <f t="shared" si="159"/>
        <v>0.21156186525424411</v>
      </c>
      <c r="AK31" s="6">
        <f t="shared" si="160"/>
        <v>9.2667110269146216E-2</v>
      </c>
      <c r="AL31" s="7"/>
      <c r="AM31" s="6">
        <f t="shared" si="161"/>
        <v>0.20467094423388613</v>
      </c>
      <c r="AN31" s="6">
        <f t="shared" si="162"/>
        <v>0.267409031695931</v>
      </c>
      <c r="AO31" s="20">
        <f t="shared" si="163"/>
        <v>0.99999999999999989</v>
      </c>
      <c r="AP31" s="22"/>
      <c r="AQ31">
        <f t="shared" si="164"/>
        <v>2017</v>
      </c>
      <c r="AR31" s="1" t="b">
        <f t="shared" si="165"/>
        <v>1</v>
      </c>
      <c r="AS31" s="1"/>
      <c r="AT31" s="1" t="b">
        <f t="shared" si="166"/>
        <v>1</v>
      </c>
      <c r="AU31" s="1" t="b">
        <f t="shared" si="167"/>
        <v>1</v>
      </c>
      <c r="AV31" s="1"/>
      <c r="AW31" s="1" t="b">
        <f t="shared" si="168"/>
        <v>1</v>
      </c>
      <c r="AX31" s="1" t="b">
        <f t="shared" si="169"/>
        <v>1</v>
      </c>
      <c r="AY31" s="1" t="b">
        <f t="shared" si="170"/>
        <v>1</v>
      </c>
      <c r="BA31">
        <f t="shared" si="171"/>
        <v>2017</v>
      </c>
      <c r="BB31" s="2">
        <f t="shared" si="172"/>
        <v>27588.873745237732</v>
      </c>
      <c r="BC31" s="2"/>
      <c r="BD31" s="2">
        <f t="shared" si="173"/>
        <v>26092.924270885094</v>
      </c>
      <c r="BE31" s="2">
        <f t="shared" si="174"/>
        <v>11429.072473665405</v>
      </c>
      <c r="BF31" s="2"/>
      <c r="BG31" s="2">
        <f t="shared" si="175"/>
        <v>25243.034428380768</v>
      </c>
      <c r="BH31" s="2">
        <f t="shared" si="176"/>
        <v>32980.81913301086</v>
      </c>
      <c r="BI31" s="2">
        <f t="shared" si="177"/>
        <v>123334.72405117986</v>
      </c>
      <c r="BJ31" s="2">
        <f t="shared" si="178"/>
        <v>0</v>
      </c>
      <c r="BK31" s="2"/>
    </row>
    <row r="32" spans="1:63" x14ac:dyDescent="0.25">
      <c r="A32" s="9" t="s">
        <v>46</v>
      </c>
      <c r="B32" s="10">
        <f>BB31</f>
        <v>27588.873745237732</v>
      </c>
      <c r="C32" s="10"/>
      <c r="D32" s="10">
        <f>BD31</f>
        <v>26092.924270885094</v>
      </c>
      <c r="E32" s="10">
        <f>BE31</f>
        <v>11429.072473665405</v>
      </c>
      <c r="F32" s="10"/>
      <c r="G32" s="10">
        <f>BG31</f>
        <v>25243.034428380768</v>
      </c>
      <c r="H32" s="10">
        <f>BH31</f>
        <v>32980.81913301086</v>
      </c>
      <c r="I32" s="10">
        <f t="shared" si="7"/>
        <v>123334.72405117986</v>
      </c>
      <c r="J32" s="10"/>
      <c r="K32" s="10"/>
      <c r="N32" t="s">
        <v>77</v>
      </c>
      <c r="O32" s="2">
        <f>O28</f>
        <v>4818.9986320919761</v>
      </c>
      <c r="P32" s="2"/>
      <c r="R32" s="9" t="s">
        <v>46</v>
      </c>
      <c r="S32" s="10">
        <f>S31</f>
        <v>27588.873745237732</v>
      </c>
      <c r="T32" s="10"/>
      <c r="U32" s="10">
        <f>U31</f>
        <v>26092.924270885094</v>
      </c>
      <c r="V32" s="10">
        <f>V31</f>
        <v>11429.072473665405</v>
      </c>
      <c r="W32" s="10"/>
      <c r="X32" s="10">
        <f>X31</f>
        <v>25243.034428380768</v>
      </c>
      <c r="Y32" s="10">
        <f>Y31</f>
        <v>32980.81913301086</v>
      </c>
      <c r="Z32" s="10">
        <f>Z31</f>
        <v>123334.72405117986</v>
      </c>
      <c r="AA32" s="10"/>
      <c r="AB32" s="10"/>
      <c r="AD32" s="40"/>
      <c r="AE32" s="40"/>
      <c r="AK32" s="7"/>
    </row>
    <row r="33" spans="1:28" x14ac:dyDescent="0.25">
      <c r="A33" s="11" t="s">
        <v>92</v>
      </c>
      <c r="I33" s="6">
        <f>(Z32-Z20)/Z20</f>
        <v>0.23334724051179859</v>
      </c>
      <c r="K33" s="6"/>
      <c r="N33" t="s">
        <v>38</v>
      </c>
      <c r="O33" s="2">
        <f>SUM(O21:O31)</f>
        <v>51210.373871708784</v>
      </c>
      <c r="P33" s="2"/>
      <c r="AB33" s="6"/>
    </row>
    <row r="34" spans="1:28" x14ac:dyDescent="0.25">
      <c r="A34" s="1" t="s">
        <v>93</v>
      </c>
      <c r="I34" s="12">
        <f>STDEV(AC21:AC31)</f>
        <v>0.13645572448141824</v>
      </c>
    </row>
    <row r="35" spans="1:28" x14ac:dyDescent="0.25">
      <c r="A35" s="1" t="s">
        <v>94</v>
      </c>
      <c r="I35" s="13">
        <f>((1+I33)^(1/I42))-1</f>
        <v>1.9249454897801499E-2</v>
      </c>
    </row>
    <row r="36" spans="1:28" x14ac:dyDescent="0.25">
      <c r="A36" s="1" t="s">
        <v>50</v>
      </c>
      <c r="I36" s="27">
        <f>AA22</f>
        <v>-31867.716366959998</v>
      </c>
      <c r="O36" s="2"/>
      <c r="P36" s="2"/>
    </row>
    <row r="37" spans="1:28" x14ac:dyDescent="0.25">
      <c r="A37" s="1" t="s">
        <v>51</v>
      </c>
      <c r="I37" s="28">
        <f>AB22</f>
        <v>-0.308571233597978</v>
      </c>
    </row>
    <row r="38" spans="1:28" x14ac:dyDescent="0.25">
      <c r="A38" s="1" t="s">
        <v>79</v>
      </c>
      <c r="I38" s="2">
        <f>O33</f>
        <v>51210.373871708784</v>
      </c>
    </row>
    <row r="39" spans="1:28" x14ac:dyDescent="0.25">
      <c r="A39" s="3" t="s">
        <v>52</v>
      </c>
      <c r="I39" s="29">
        <f>I32-Z31</f>
        <v>0</v>
      </c>
    </row>
    <row r="40" spans="1:28" x14ac:dyDescent="0.25">
      <c r="A40" s="3" t="s">
        <v>141</v>
      </c>
      <c r="I40" s="29">
        <f>((SUM(AA21:AA31)))-(I32-I20)</f>
        <v>0</v>
      </c>
    </row>
    <row r="41" spans="1:28" x14ac:dyDescent="0.25">
      <c r="A41" s="3" t="s">
        <v>142</v>
      </c>
      <c r="I41" s="29">
        <f>(SUM(O21:O31))-I38</f>
        <v>0</v>
      </c>
    </row>
    <row r="42" spans="1:28" x14ac:dyDescent="0.25">
      <c r="A42" s="3" t="s">
        <v>146</v>
      </c>
      <c r="I42" s="3">
        <f>COUNTA(I21:I31)</f>
        <v>11</v>
      </c>
    </row>
    <row r="44" spans="1:28" x14ac:dyDescent="0.25">
      <c r="B44" s="2"/>
      <c r="D44" s="2"/>
      <c r="E44" s="2"/>
      <c r="G44" s="2"/>
      <c r="H44" s="2"/>
      <c r="I44"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X42"/>
  <sheetViews>
    <sheetView zoomScaleNormal="100" workbookViewId="0">
      <selection activeCell="N4" sqref="N4:O14"/>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5" max="26" width="10.85546875" bestFit="1" customWidth="1"/>
    <col min="27" max="31" width="10.85546875" customWidth="1"/>
    <col min="44" max="44" width="10.85546875" bestFit="1" customWidth="1"/>
    <col min="51" max="51" width="9.28515625" bestFit="1" customWidth="1"/>
  </cols>
  <sheetData>
    <row r="1" spans="1:16" x14ac:dyDescent="0.25">
      <c r="A1" s="18" t="s">
        <v>19</v>
      </c>
      <c r="N1" s="18" t="s">
        <v>138</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6"/>
      <c r="O2" s="47"/>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6"/>
      <c r="O3" s="47"/>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 Withdrawals-No Rebalancing'!N4</f>
        <v>2007</v>
      </c>
      <c r="O4" s="47">
        <f>'4%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 Withdrawals-No Rebalancing'!N5</f>
        <v>2008</v>
      </c>
      <c r="O5" s="47">
        <f>'4%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 Withdrawals-No Rebalancing'!N6</f>
        <v>2009</v>
      </c>
      <c r="O6" s="47">
        <f>'4%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 Withdrawals-No Rebalancing'!N7</f>
        <v>2010</v>
      </c>
      <c r="O7" s="47">
        <f>'4%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 Withdrawals-No Rebalancing'!N8</f>
        <v>2011</v>
      </c>
      <c r="O8" s="47">
        <f>'4%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 Withdrawals-No Rebalancing'!N9</f>
        <v>2012</v>
      </c>
      <c r="O9" s="47">
        <f>'4%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 Withdrawals-No Rebalancing'!N10</f>
        <v>2013</v>
      </c>
      <c r="O10" s="47">
        <f>'4%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 Withdrawals-No Rebalancing'!N11</f>
        <v>2014</v>
      </c>
      <c r="O11" s="47">
        <f>'4%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 Withdrawals-No Rebalancing'!N12</f>
        <v>2015</v>
      </c>
      <c r="O12" s="47">
        <f>'4%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 Withdrawals-No Rebalancing'!N13</f>
        <v>2016</v>
      </c>
      <c r="O13" s="47">
        <f>'4%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 Withdrawals-No Rebalancing'!N14</f>
        <v>2017</v>
      </c>
      <c r="O14" s="47">
        <f>'4% Withdrawals-No Rebalancing'!O14</f>
        <v>2.23E-2</v>
      </c>
      <c r="P14" s="41"/>
    </row>
    <row r="17" spans="1:76" x14ac:dyDescent="0.25">
      <c r="A17" s="18" t="s">
        <v>106</v>
      </c>
      <c r="N17" s="18" t="s">
        <v>66</v>
      </c>
      <c r="R17" s="18" t="s">
        <v>108</v>
      </c>
      <c r="AG17" s="18" t="s">
        <v>109</v>
      </c>
      <c r="AQ17" s="18" t="s">
        <v>90</v>
      </c>
      <c r="BB17" s="18"/>
    </row>
    <row r="18" spans="1:76" x14ac:dyDescent="0.25">
      <c r="B18" s="4" t="str">
        <f t="shared" ref="B18:H19" si="0">B2</f>
        <v>LC Stocks</v>
      </c>
      <c r="C18" s="4" t="str">
        <f t="shared" si="0"/>
        <v>Ext Mkt</v>
      </c>
      <c r="D18" s="4" t="str">
        <f t="shared" si="0"/>
        <v>Mcap Stk</v>
      </c>
      <c r="E18" s="4" t="str">
        <f t="shared" si="0"/>
        <v>Small Cap</v>
      </c>
      <c r="F18" s="4" t="str">
        <f t="shared" si="0"/>
        <v>Intl Val</v>
      </c>
      <c r="G18" s="4" t="str">
        <f t="shared" si="0"/>
        <v>Tot Int Stk</v>
      </c>
      <c r="H18" s="4" t="str">
        <f t="shared" si="0"/>
        <v>Bonds</v>
      </c>
      <c r="I18" s="5"/>
      <c r="J18" s="5" t="s">
        <v>44</v>
      </c>
      <c r="K18" s="5" t="s">
        <v>41</v>
      </c>
      <c r="L18" s="5" t="s">
        <v>42</v>
      </c>
      <c r="S18" s="4" t="str">
        <f t="shared" ref="S18:Z20" si="1">B18</f>
        <v>LC Stocks</v>
      </c>
      <c r="T18" s="4" t="str">
        <f t="shared" si="1"/>
        <v>Ext Mkt</v>
      </c>
      <c r="U18" s="4" t="str">
        <f t="shared" si="1"/>
        <v>Mcap Stk</v>
      </c>
      <c r="V18" s="4" t="str">
        <f t="shared" si="1"/>
        <v>Small Cap</v>
      </c>
      <c r="W18" s="4" t="str">
        <f t="shared" si="1"/>
        <v>Intl Val</v>
      </c>
      <c r="X18" s="4" t="str">
        <f t="shared" si="1"/>
        <v>Tot Int Stk</v>
      </c>
      <c r="Y18" s="4" t="str">
        <f t="shared" si="1"/>
        <v>Bonds</v>
      </c>
      <c r="Z18" s="5"/>
      <c r="AA18" s="5" t="s">
        <v>44</v>
      </c>
      <c r="AB18" s="5" t="s">
        <v>41</v>
      </c>
      <c r="AC18" s="5" t="s">
        <v>42</v>
      </c>
      <c r="AD18" s="5" t="s">
        <v>56</v>
      </c>
      <c r="AE18" s="5"/>
      <c r="AH18" s="4" t="str">
        <f t="shared" ref="AH18:AN19" si="2">B18</f>
        <v>LC Stocks</v>
      </c>
      <c r="AI18" s="4" t="str">
        <f t="shared" si="2"/>
        <v>Ext Mkt</v>
      </c>
      <c r="AJ18" s="4" t="str">
        <f t="shared" si="2"/>
        <v>Mcap Stk</v>
      </c>
      <c r="AK18" s="4" t="str">
        <f t="shared" si="2"/>
        <v>Small Cap</v>
      </c>
      <c r="AL18" s="4" t="str">
        <f t="shared" si="2"/>
        <v>Intl Val</v>
      </c>
      <c r="AM18" s="4" t="str">
        <f t="shared" si="2"/>
        <v>Tot Int Stk</v>
      </c>
      <c r="AN18" s="4" t="str">
        <f t="shared" si="2"/>
        <v>Bonds</v>
      </c>
      <c r="AO18" s="5"/>
      <c r="AR18" s="4" t="str">
        <f>AH18</f>
        <v>LC Stocks</v>
      </c>
      <c r="AS18" s="4" t="str">
        <f t="shared" ref="AS18:AY19" si="3">AI18</f>
        <v>Ext Mkt</v>
      </c>
      <c r="AT18" s="4" t="str">
        <f t="shared" si="3"/>
        <v>Mcap Stk</v>
      </c>
      <c r="AU18" s="4" t="str">
        <f t="shared" si="3"/>
        <v>Small Cap</v>
      </c>
      <c r="AV18" s="4" t="str">
        <f t="shared" si="3"/>
        <v>Intl Val</v>
      </c>
      <c r="AW18" s="4" t="str">
        <f t="shared" si="3"/>
        <v>Tot Int Stk</v>
      </c>
      <c r="AX18" s="4" t="str">
        <f t="shared" si="3"/>
        <v>Bonds</v>
      </c>
      <c r="AY18" s="4"/>
      <c r="AZ18" t="s">
        <v>56</v>
      </c>
    </row>
    <row r="19" spans="1:76" x14ac:dyDescent="0.25">
      <c r="A19" t="s">
        <v>40</v>
      </c>
      <c r="B19" s="4" t="str">
        <f t="shared" si="0"/>
        <v>VFINX</v>
      </c>
      <c r="C19" s="4" t="str">
        <f t="shared" si="0"/>
        <v>VEXMX</v>
      </c>
      <c r="D19" s="4" t="str">
        <f t="shared" si="0"/>
        <v>VIMSX</v>
      </c>
      <c r="E19" s="4" t="str">
        <f t="shared" si="0"/>
        <v>NAESX</v>
      </c>
      <c r="F19" s="4" t="str">
        <f t="shared" si="0"/>
        <v>VTRIX</v>
      </c>
      <c r="G19" s="4" t="str">
        <f t="shared" si="0"/>
        <v>VGTSX</v>
      </c>
      <c r="H19" s="4" t="str">
        <f t="shared" si="0"/>
        <v>VBMFX</v>
      </c>
      <c r="I19" s="5" t="s">
        <v>38</v>
      </c>
      <c r="J19" s="5" t="s">
        <v>45</v>
      </c>
      <c r="K19" s="5" t="s">
        <v>43</v>
      </c>
      <c r="L19" s="5" t="s">
        <v>43</v>
      </c>
      <c r="R19" t="str">
        <f>A19</f>
        <v>Fund</v>
      </c>
      <c r="S19" s="4" t="str">
        <f t="shared" si="1"/>
        <v>VFINX</v>
      </c>
      <c r="T19" s="4" t="str">
        <f t="shared" si="1"/>
        <v>VEXMX</v>
      </c>
      <c r="U19" s="4" t="str">
        <f t="shared" si="1"/>
        <v>VIMSX</v>
      </c>
      <c r="V19" s="4" t="str">
        <f t="shared" si="1"/>
        <v>NAESX</v>
      </c>
      <c r="W19" s="4" t="str">
        <f t="shared" si="1"/>
        <v>VTRIX</v>
      </c>
      <c r="X19" s="4" t="str">
        <f t="shared" si="1"/>
        <v>VGTSX</v>
      </c>
      <c r="Y19" s="4" t="str">
        <f t="shared" si="1"/>
        <v>VBMFX</v>
      </c>
      <c r="Z19" s="5" t="str">
        <f t="shared" si="1"/>
        <v>Total</v>
      </c>
      <c r="AA19" s="5" t="s">
        <v>45</v>
      </c>
      <c r="AB19" s="5" t="s">
        <v>43</v>
      </c>
      <c r="AC19" s="5" t="s">
        <v>43</v>
      </c>
      <c r="AD19" s="5" t="s">
        <v>55</v>
      </c>
      <c r="AE19" s="5"/>
      <c r="AG19" t="s">
        <v>40</v>
      </c>
      <c r="AH19" s="4" t="str">
        <f t="shared" si="2"/>
        <v>VFINX</v>
      </c>
      <c r="AI19" s="4" t="str">
        <f t="shared" si="2"/>
        <v>VEXMX</v>
      </c>
      <c r="AJ19" s="4" t="str">
        <f t="shared" si="2"/>
        <v>VIMSX</v>
      </c>
      <c r="AK19" s="4" t="str">
        <f t="shared" si="2"/>
        <v>NAESX</v>
      </c>
      <c r="AL19" s="4" t="str">
        <f t="shared" si="2"/>
        <v>VTRIX</v>
      </c>
      <c r="AM19" s="4" t="str">
        <f t="shared" si="2"/>
        <v>VGTSX</v>
      </c>
      <c r="AN19" s="4" t="str">
        <f t="shared" si="2"/>
        <v>VBMFX</v>
      </c>
      <c r="AO19" s="5" t="s">
        <v>38</v>
      </c>
      <c r="AQ19" t="s">
        <v>40</v>
      </c>
      <c r="AR19" s="4" t="str">
        <f>AH19</f>
        <v>VFINX</v>
      </c>
      <c r="AS19" s="4" t="str">
        <f t="shared" si="3"/>
        <v>VEXMX</v>
      </c>
      <c r="AT19" s="4" t="str">
        <f t="shared" si="3"/>
        <v>VIMSX</v>
      </c>
      <c r="AU19" s="4" t="str">
        <f t="shared" si="3"/>
        <v>NAESX</v>
      </c>
      <c r="AV19" s="4" t="str">
        <f t="shared" si="3"/>
        <v>VTRIX</v>
      </c>
      <c r="AW19" s="4" t="str">
        <f t="shared" si="3"/>
        <v>VGTSX</v>
      </c>
      <c r="AX19" s="4" t="str">
        <f t="shared" si="3"/>
        <v>VBMFX</v>
      </c>
      <c r="AY19" s="4" t="str">
        <f t="shared" si="3"/>
        <v>Total</v>
      </c>
      <c r="AZ19" t="s">
        <v>55</v>
      </c>
    </row>
    <row r="20" spans="1:76" x14ac:dyDescent="0.25">
      <c r="A20" t="s">
        <v>39</v>
      </c>
      <c r="B20" s="2">
        <f>'Non-Rebalanced Strategy'!B20</f>
        <v>20000</v>
      </c>
      <c r="C20" s="2"/>
      <c r="D20" s="2">
        <f>'Non-Rebalanced Strategy'!D20</f>
        <v>20000</v>
      </c>
      <c r="E20" s="2">
        <f>'Non-Rebalanced Strategy'!E20</f>
        <v>10000</v>
      </c>
      <c r="F20" s="2"/>
      <c r="G20" s="2">
        <f>'Non-Rebalanced Strategy'!G20</f>
        <v>20000</v>
      </c>
      <c r="H20" s="2">
        <f>'Non-Rebalanced Strategy'!H20</f>
        <v>30000</v>
      </c>
      <c r="I20" s="2">
        <f>SUM(B20:H20)</f>
        <v>100000</v>
      </c>
      <c r="N20" s="19"/>
      <c r="R20" t="str">
        <f>A20</f>
        <v>Stating Balance</v>
      </c>
      <c r="S20" s="2">
        <f>B20</f>
        <v>20000</v>
      </c>
      <c r="T20" s="2">
        <f t="shared" si="1"/>
        <v>0</v>
      </c>
      <c r="U20" s="2">
        <f t="shared" si="1"/>
        <v>20000</v>
      </c>
      <c r="V20" s="2">
        <f t="shared" si="1"/>
        <v>10000</v>
      </c>
      <c r="W20" s="2">
        <f t="shared" si="1"/>
        <v>0</v>
      </c>
      <c r="X20" s="2">
        <f t="shared" si="1"/>
        <v>20000</v>
      </c>
      <c r="Y20" s="2">
        <f t="shared" si="1"/>
        <v>30000</v>
      </c>
      <c r="Z20" s="2">
        <f t="shared" si="1"/>
        <v>100000</v>
      </c>
      <c r="AD20" s="2"/>
      <c r="AE20" s="2"/>
      <c r="AG20" s="19" t="s">
        <v>54</v>
      </c>
      <c r="AH20" s="6">
        <f t="shared" ref="AH20:AM25" si="4">S20/$Z20</f>
        <v>0.2</v>
      </c>
      <c r="AI20" s="6"/>
      <c r="AJ20" s="6">
        <f t="shared" si="4"/>
        <v>0.2</v>
      </c>
      <c r="AK20" s="6">
        <f t="shared" si="4"/>
        <v>0.1</v>
      </c>
      <c r="AL20" s="6"/>
      <c r="AM20" s="6">
        <f t="shared" si="4"/>
        <v>0.2</v>
      </c>
      <c r="AN20" s="6">
        <f>Y20/$Z20</f>
        <v>0.3</v>
      </c>
      <c r="AO20" s="55">
        <f>SUM(AH20:AN20)</f>
        <v>1</v>
      </c>
      <c r="AQ20" s="19" t="str">
        <f>AG20</f>
        <v>Target Allocation</v>
      </c>
      <c r="AR20" s="22">
        <f>AH20</f>
        <v>0.2</v>
      </c>
      <c r="AS20" s="22"/>
      <c r="AT20" s="22">
        <f>AJ20</f>
        <v>0.2</v>
      </c>
      <c r="AU20" s="22">
        <f>AK20</f>
        <v>0.1</v>
      </c>
      <c r="AV20" s="22"/>
      <c r="AW20" s="22">
        <f>AM20</f>
        <v>0.2</v>
      </c>
      <c r="AX20" s="22">
        <f>AN20</f>
        <v>0.3</v>
      </c>
      <c r="AY20" s="22">
        <f>SUM(AR20:AX20)</f>
        <v>1</v>
      </c>
      <c r="AZ20" s="2"/>
      <c r="BA20" s="2"/>
      <c r="BB20" s="19"/>
      <c r="BC20" s="22"/>
    </row>
    <row r="21" spans="1:76" x14ac:dyDescent="0.25">
      <c r="A21">
        <f t="shared" ref="A21:A29" si="5">A4</f>
        <v>2007</v>
      </c>
      <c r="B21" s="2">
        <f>B20*(1+(B4/100))</f>
        <v>21078</v>
      </c>
      <c r="C21" s="2"/>
      <c r="D21" s="2">
        <f>D20*(1+(D4/100))</f>
        <v>21204.2</v>
      </c>
      <c r="E21" s="2">
        <f>E20*(1+(E4/100))</f>
        <v>10115.6</v>
      </c>
      <c r="F21" s="2"/>
      <c r="G21" s="2">
        <f>G20*(1+(G4/100))</f>
        <v>23104.399999999998</v>
      </c>
      <c r="H21" s="2">
        <f>H20*(1+(H4/100))</f>
        <v>32075.999999999996</v>
      </c>
      <c r="I21" s="2">
        <f>SUM(B21:H21)</f>
        <v>107578.2</v>
      </c>
      <c r="J21" s="2">
        <f>I21-I20</f>
        <v>7578.1999999999971</v>
      </c>
      <c r="K21" s="6">
        <f>(J21/I20)</f>
        <v>7.5781999999999974E-2</v>
      </c>
      <c r="L21" s="7">
        <f>K21+1</f>
        <v>1.075782</v>
      </c>
      <c r="N21">
        <f t="shared" ref="N21:N25" si="6">A21</f>
        <v>2007</v>
      </c>
      <c r="O21" s="2">
        <f>I21*0.04</f>
        <v>4303.1279999999997</v>
      </c>
      <c r="P21" s="2"/>
      <c r="Q21" s="2"/>
      <c r="R21">
        <f t="shared" ref="R21:R25" si="7">A21</f>
        <v>2007</v>
      </c>
      <c r="S21" s="2">
        <f t="shared" ref="S21:S25" si="8">B21-($O21/5)</f>
        <v>20217.374400000001</v>
      </c>
      <c r="T21" s="2"/>
      <c r="U21" s="2">
        <f t="shared" ref="U21:V25" si="9">D21-($O21/5)</f>
        <v>20343.574400000001</v>
      </c>
      <c r="V21" s="2">
        <f t="shared" si="9"/>
        <v>9254.974400000001</v>
      </c>
      <c r="W21" s="2"/>
      <c r="X21" s="2">
        <f t="shared" ref="X21:Y25" si="10">G21-($O21/5)</f>
        <v>22243.774399999998</v>
      </c>
      <c r="Y21" s="2">
        <f t="shared" si="10"/>
        <v>31215.374399999997</v>
      </c>
      <c r="Z21" s="2">
        <f>SUM(S21:Y21)</f>
        <v>103275.072</v>
      </c>
      <c r="AA21" s="2">
        <f>Z21-Z20</f>
        <v>3275.0720000000001</v>
      </c>
      <c r="AB21" s="6">
        <f>(AA21/Z20)</f>
        <v>3.2750720000000004E-2</v>
      </c>
      <c r="AC21" s="7">
        <f>AB21+1</f>
        <v>1.0327507199999999</v>
      </c>
      <c r="AD21" s="2">
        <f>Z21-(I21-O21)</f>
        <v>0</v>
      </c>
      <c r="AE21" s="2"/>
      <c r="AG21">
        <f t="shared" ref="AG21:AG25" si="11">A21</f>
        <v>2007</v>
      </c>
      <c r="AH21" s="6">
        <f t="shared" si="4"/>
        <v>0.19576238494416157</v>
      </c>
      <c r="AI21" s="6"/>
      <c r="AJ21" s="6">
        <f t="shared" si="4"/>
        <v>0.19698436424232171</v>
      </c>
      <c r="AK21" s="6">
        <f t="shared" si="4"/>
        <v>8.9614794942965523E-2</v>
      </c>
      <c r="AL21" s="6"/>
      <c r="AM21" s="6">
        <f t="shared" si="4"/>
        <v>0.21538377044171897</v>
      </c>
      <c r="AN21" s="6">
        <f t="shared" ref="AN21:AN25" si="12">Y21/$Z21</f>
        <v>0.30225468542883221</v>
      </c>
      <c r="AO21" s="55">
        <f t="shared" ref="AO21:AO25" si="13">SUM(AH21:AN21)</f>
        <v>1</v>
      </c>
      <c r="AQ21">
        <f>AG21</f>
        <v>2007</v>
      </c>
      <c r="AR21" s="2">
        <f t="shared" ref="AR21:AX21" si="14">S21</f>
        <v>20217.374400000001</v>
      </c>
      <c r="AS21" s="2"/>
      <c r="AT21" s="2">
        <f t="shared" si="14"/>
        <v>20343.574400000001</v>
      </c>
      <c r="AU21" s="2">
        <f t="shared" si="14"/>
        <v>9254.974400000001</v>
      </c>
      <c r="AV21" s="2"/>
      <c r="AW21" s="2">
        <f t="shared" si="14"/>
        <v>22243.774399999998</v>
      </c>
      <c r="AX21" s="2">
        <f t="shared" si="14"/>
        <v>31215.374399999997</v>
      </c>
      <c r="AY21" s="2">
        <f t="shared" ref="AY21:AY25" si="15">Z21</f>
        <v>103275.072</v>
      </c>
      <c r="AZ21" s="2">
        <f t="shared" ref="AZ21:AZ32" si="16">SUM(AR21:AX21)-Z21</f>
        <v>0</v>
      </c>
      <c r="BA21" s="2"/>
      <c r="BC21" s="22"/>
      <c r="BX21" s="2"/>
    </row>
    <row r="22" spans="1:76" x14ac:dyDescent="0.25">
      <c r="A22">
        <f t="shared" si="5"/>
        <v>2008</v>
      </c>
      <c r="B22" s="2">
        <f t="shared" ref="B22:B29" si="17">AR21*(1+(B5/100))</f>
        <v>12732.902397119999</v>
      </c>
      <c r="C22" s="2"/>
      <c r="D22" s="2">
        <f t="shared" ref="D22:E28" si="18">AT21*(1+(D5/100))</f>
        <v>11835.077842944002</v>
      </c>
      <c r="E22" s="2">
        <f t="shared" si="18"/>
        <v>5916.7051339200007</v>
      </c>
      <c r="F22" s="2"/>
      <c r="G22" s="2">
        <f t="shared" ref="G22:H28" si="19">AW21*(1+(G5/100))</f>
        <v>12434.047451855999</v>
      </c>
      <c r="H22" s="2">
        <f t="shared" si="19"/>
        <v>32791.750807199998</v>
      </c>
      <c r="I22" s="2">
        <f>SUM(B22:H22)</f>
        <v>75710.483633039999</v>
      </c>
      <c r="J22" s="2">
        <f t="shared" ref="J22:J25" si="20">I22-I21</f>
        <v>-31867.716366959998</v>
      </c>
      <c r="K22" s="6">
        <f t="shared" ref="K22:K25" si="21">(J22/I21)</f>
        <v>-0.2962283842540589</v>
      </c>
      <c r="L22" s="7">
        <f t="shared" ref="L22:L25" si="22">K22+1</f>
        <v>0.70377161574594105</v>
      </c>
      <c r="N22">
        <f t="shared" si="6"/>
        <v>2008</v>
      </c>
      <c r="O22" s="2">
        <f t="shared" ref="O22:O29" si="23">O21*(1+O5)</f>
        <v>4303.1279999999997</v>
      </c>
      <c r="P22" s="2"/>
      <c r="Q22" s="2"/>
      <c r="R22">
        <f t="shared" si="7"/>
        <v>2008</v>
      </c>
      <c r="S22" s="2">
        <f t="shared" si="8"/>
        <v>11872.276797119999</v>
      </c>
      <c r="T22" s="2"/>
      <c r="U22" s="2">
        <f t="shared" si="9"/>
        <v>10974.452242944002</v>
      </c>
      <c r="V22" s="2">
        <f t="shared" si="9"/>
        <v>5056.0795339200004</v>
      </c>
      <c r="W22" s="2"/>
      <c r="X22" s="2">
        <f t="shared" si="10"/>
        <v>11573.421851855999</v>
      </c>
      <c r="Y22" s="2">
        <f t="shared" si="10"/>
        <v>31931.125207199999</v>
      </c>
      <c r="Z22" s="2">
        <f>SUM(S22:Y22)</f>
        <v>71407.355633040002</v>
      </c>
      <c r="AA22" s="2">
        <f t="shared" ref="AA22:AA25" si="24">Z22-Z21</f>
        <v>-31867.716366959998</v>
      </c>
      <c r="AB22" s="6">
        <f t="shared" ref="AB22:AB25" si="25">(AA22/Z21)</f>
        <v>-0.308571233597978</v>
      </c>
      <c r="AC22" s="7">
        <f t="shared" ref="AC22:AC25" si="26">AB22+1</f>
        <v>0.691428766402022</v>
      </c>
      <c r="AD22" s="2">
        <f>Z22-(I22-O22)</f>
        <v>0</v>
      </c>
      <c r="AE22" s="2"/>
      <c r="AG22">
        <f t="shared" si="11"/>
        <v>2008</v>
      </c>
      <c r="AH22" s="6">
        <f t="shared" si="4"/>
        <v>0.16626125826772287</v>
      </c>
      <c r="AI22" s="6"/>
      <c r="AJ22" s="6">
        <f t="shared" si="4"/>
        <v>0.15368797997984049</v>
      </c>
      <c r="AK22" s="6">
        <f t="shared" si="4"/>
        <v>7.0806144396426365E-2</v>
      </c>
      <c r="AL22" s="6"/>
      <c r="AM22" s="6">
        <f t="shared" si="4"/>
        <v>0.16207604593750011</v>
      </c>
      <c r="AN22" s="6">
        <f t="shared" si="12"/>
        <v>0.44716857141851013</v>
      </c>
      <c r="AO22" s="55">
        <f t="shared" si="13"/>
        <v>1</v>
      </c>
      <c r="AQ22">
        <f t="shared" ref="AQ22:AQ25" si="27">AG22</f>
        <v>2008</v>
      </c>
      <c r="AR22" s="36">
        <v>0</v>
      </c>
      <c r="AS22" s="36"/>
      <c r="AT22" s="36">
        <v>0</v>
      </c>
      <c r="AU22" s="36">
        <v>0</v>
      </c>
      <c r="AV22" s="36"/>
      <c r="AW22" s="36">
        <v>0</v>
      </c>
      <c r="AX22" s="36">
        <f>Z22</f>
        <v>71407.355633040002</v>
      </c>
      <c r="AY22" s="2">
        <f t="shared" si="15"/>
        <v>71407.355633040002</v>
      </c>
      <c r="AZ22" s="2">
        <f t="shared" si="16"/>
        <v>0</v>
      </c>
      <c r="BA22" s="2"/>
      <c r="BC22" s="22"/>
      <c r="BX22" s="2"/>
    </row>
    <row r="23" spans="1:76" x14ac:dyDescent="0.25">
      <c r="A23">
        <f t="shared" si="5"/>
        <v>2009</v>
      </c>
      <c r="B23" s="2">
        <f t="shared" si="17"/>
        <v>0</v>
      </c>
      <c r="C23" s="2"/>
      <c r="D23" s="2">
        <f t="shared" si="18"/>
        <v>0</v>
      </c>
      <c r="E23" s="2">
        <f t="shared" si="18"/>
        <v>0</v>
      </c>
      <c r="F23" s="2"/>
      <c r="G23" s="2">
        <f t="shared" si="19"/>
        <v>0</v>
      </c>
      <c r="H23" s="2">
        <f t="shared" si="19"/>
        <v>75641.811822079268</v>
      </c>
      <c r="I23" s="2">
        <f t="shared" ref="I23:I25" si="28">SUM(B23:H23)</f>
        <v>75641.811822079268</v>
      </c>
      <c r="J23" s="2">
        <f t="shared" si="20"/>
        <v>-68.671810960731818</v>
      </c>
      <c r="K23" s="6">
        <f t="shared" si="21"/>
        <v>-9.070317301574268E-4</v>
      </c>
      <c r="L23" s="7">
        <f t="shared" si="22"/>
        <v>0.99909296826984262</v>
      </c>
      <c r="N23">
        <f t="shared" si="6"/>
        <v>2009</v>
      </c>
      <c r="O23" s="2">
        <f t="shared" si="23"/>
        <v>4423.6155840000001</v>
      </c>
      <c r="P23" s="2"/>
      <c r="Q23" s="2"/>
      <c r="R23">
        <f t="shared" si="7"/>
        <v>2009</v>
      </c>
      <c r="S23" s="2">
        <v>0</v>
      </c>
      <c r="T23" s="2"/>
      <c r="U23" s="2">
        <v>0</v>
      </c>
      <c r="V23" s="2">
        <v>0</v>
      </c>
      <c r="W23" s="2"/>
      <c r="X23" s="2">
        <v>0</v>
      </c>
      <c r="Y23" s="2">
        <f>H23-($O23)</f>
        <v>71218.196238079268</v>
      </c>
      <c r="Z23" s="2">
        <f t="shared" ref="Z23:Z25" si="29">SUM(S23:Y23)</f>
        <v>71218.196238079268</v>
      </c>
      <c r="AA23" s="2">
        <f t="shared" si="24"/>
        <v>-189.15939496073406</v>
      </c>
      <c r="AB23" s="6">
        <f t="shared" si="25"/>
        <v>-2.6490183438918789E-3</v>
      </c>
      <c r="AC23" s="7">
        <f t="shared" si="26"/>
        <v>0.99735098165610814</v>
      </c>
      <c r="AD23" s="2">
        <f t="shared" ref="AD23:AD25" si="30">Z23-(I23-O23)</f>
        <v>0</v>
      </c>
      <c r="AE23" s="2"/>
      <c r="AG23">
        <f t="shared" si="11"/>
        <v>2009</v>
      </c>
      <c r="AH23" s="6">
        <f t="shared" si="4"/>
        <v>0</v>
      </c>
      <c r="AI23" s="6"/>
      <c r="AJ23" s="6">
        <f t="shared" si="4"/>
        <v>0</v>
      </c>
      <c r="AK23" s="6">
        <f t="shared" si="4"/>
        <v>0</v>
      </c>
      <c r="AL23" s="6"/>
      <c r="AM23" s="6">
        <f t="shared" si="4"/>
        <v>0</v>
      </c>
      <c r="AN23" s="6">
        <f t="shared" si="12"/>
        <v>1</v>
      </c>
      <c r="AO23" s="55">
        <f t="shared" si="13"/>
        <v>1</v>
      </c>
      <c r="AQ23">
        <f t="shared" si="27"/>
        <v>2009</v>
      </c>
      <c r="AR23" s="24">
        <f>$Z23*AR$20</f>
        <v>14243.639247615854</v>
      </c>
      <c r="AS23" s="24"/>
      <c r="AT23" s="24">
        <f>$Z23*AT$20</f>
        <v>14243.639247615854</v>
      </c>
      <c r="AU23" s="24">
        <f>$Z23*AU$20</f>
        <v>7121.8196238079272</v>
      </c>
      <c r="AV23" s="24"/>
      <c r="AW23" s="24">
        <f>$Z23*AW$20</f>
        <v>14243.639247615854</v>
      </c>
      <c r="AX23" s="24">
        <f>$Z23*AX$20</f>
        <v>21365.45887142378</v>
      </c>
      <c r="AY23" s="2">
        <f t="shared" si="15"/>
        <v>71218.196238079268</v>
      </c>
      <c r="AZ23" s="2">
        <f t="shared" si="16"/>
        <v>0</v>
      </c>
      <c r="BA23" s="2"/>
      <c r="BC23" s="22"/>
      <c r="BX23" s="2"/>
    </row>
    <row r="24" spans="1:76" x14ac:dyDescent="0.25">
      <c r="A24">
        <f t="shared" si="5"/>
        <v>2010</v>
      </c>
      <c r="B24" s="2">
        <f t="shared" si="17"/>
        <v>16367.365859435378</v>
      </c>
      <c r="C24" s="2"/>
      <c r="D24" s="2">
        <f t="shared" si="18"/>
        <v>17870.069800058849</v>
      </c>
      <c r="E24" s="2">
        <f t="shared" si="18"/>
        <v>9095.988023527485</v>
      </c>
      <c r="F24" s="2"/>
      <c r="G24" s="2">
        <f t="shared" si="19"/>
        <v>15827.531931950736</v>
      </c>
      <c r="H24" s="2">
        <f t="shared" si="19"/>
        <v>22737.121330969188</v>
      </c>
      <c r="I24" s="2">
        <f t="shared" si="28"/>
        <v>81898.076945941633</v>
      </c>
      <c r="J24" s="2">
        <f t="shared" si="20"/>
        <v>6256.2651238623657</v>
      </c>
      <c r="K24" s="6">
        <f t="shared" si="21"/>
        <v>8.2709086061793793E-2</v>
      </c>
      <c r="L24" s="7">
        <f t="shared" si="22"/>
        <v>1.0827090860617938</v>
      </c>
      <c r="N24">
        <f t="shared" si="6"/>
        <v>2010</v>
      </c>
      <c r="O24" s="2">
        <f t="shared" si="23"/>
        <v>4485.5462021760004</v>
      </c>
      <c r="P24" s="2"/>
      <c r="Q24" s="2"/>
      <c r="R24">
        <f t="shared" si="7"/>
        <v>2010</v>
      </c>
      <c r="S24" s="2">
        <f t="shared" si="8"/>
        <v>15470.256619000178</v>
      </c>
      <c r="T24" s="2"/>
      <c r="U24" s="2">
        <f t="shared" si="9"/>
        <v>16972.960559623651</v>
      </c>
      <c r="V24" s="2">
        <f t="shared" si="9"/>
        <v>8198.8787830922847</v>
      </c>
      <c r="W24" s="2"/>
      <c r="X24" s="2">
        <f t="shared" si="10"/>
        <v>14930.422691515536</v>
      </c>
      <c r="Y24" s="2">
        <f t="shared" si="10"/>
        <v>21840.01209053399</v>
      </c>
      <c r="Z24" s="2">
        <f t="shared" si="29"/>
        <v>77412.530743765645</v>
      </c>
      <c r="AA24" s="2">
        <f t="shared" si="24"/>
        <v>6194.3345056863764</v>
      </c>
      <c r="AB24" s="6">
        <f t="shared" si="25"/>
        <v>8.6976851884580042E-2</v>
      </c>
      <c r="AC24" s="7">
        <f t="shared" si="26"/>
        <v>1.0869768518845802</v>
      </c>
      <c r="AD24" s="2">
        <f t="shared" si="30"/>
        <v>0</v>
      </c>
      <c r="AE24" s="2"/>
      <c r="AG24">
        <f t="shared" si="11"/>
        <v>2010</v>
      </c>
      <c r="AH24" s="6">
        <f t="shared" si="4"/>
        <v>0.19984176295962347</v>
      </c>
      <c r="AI24" s="57"/>
      <c r="AJ24" s="6">
        <f t="shared" si="4"/>
        <v>0.21925339988953343</v>
      </c>
      <c r="AK24" s="6">
        <f t="shared" si="4"/>
        <v>0.10591151980588846</v>
      </c>
      <c r="AL24" s="6"/>
      <c r="AM24" s="6">
        <f t="shared" si="4"/>
        <v>0.19286829338954203</v>
      </c>
      <c r="AN24" s="6">
        <f t="shared" si="12"/>
        <v>0.2821250239554125</v>
      </c>
      <c r="AO24" s="55">
        <f t="shared" si="13"/>
        <v>0.99999999999999989</v>
      </c>
      <c r="AQ24">
        <f t="shared" si="27"/>
        <v>2010</v>
      </c>
      <c r="AR24" s="2">
        <f t="shared" ref="AR24" si="31">S24</f>
        <v>15470.256619000178</v>
      </c>
      <c r="AS24" s="2"/>
      <c r="AT24" s="2">
        <f t="shared" ref="AT24" si="32">U24</f>
        <v>16972.960559623651</v>
      </c>
      <c r="AU24" s="2">
        <f t="shared" ref="AU24" si="33">V24</f>
        <v>8198.8787830922847</v>
      </c>
      <c r="AV24" s="2"/>
      <c r="AW24" s="2">
        <f t="shared" ref="AW24" si="34">X24</f>
        <v>14930.422691515536</v>
      </c>
      <c r="AX24" s="2">
        <f t="shared" ref="AX24" si="35">Y24</f>
        <v>21840.01209053399</v>
      </c>
      <c r="AY24" s="2">
        <f t="shared" si="15"/>
        <v>77412.530743765645</v>
      </c>
      <c r="AZ24" s="2">
        <f t="shared" si="16"/>
        <v>0</v>
      </c>
      <c r="BA24" s="2"/>
      <c r="BC24" s="22"/>
      <c r="BX24" s="2"/>
    </row>
    <row r="25" spans="1:76" x14ac:dyDescent="0.25">
      <c r="A25">
        <f t="shared" si="5"/>
        <v>2011</v>
      </c>
      <c r="B25" s="2">
        <f t="shared" si="17"/>
        <v>15775.020674394482</v>
      </c>
      <c r="C25" s="2"/>
      <c r="D25" s="2">
        <f t="shared" si="18"/>
        <v>16614.831091815591</v>
      </c>
      <c r="E25" s="2">
        <f t="shared" si="18"/>
        <v>7969.3101771657002</v>
      </c>
      <c r="F25" s="2"/>
      <c r="G25" s="2">
        <f t="shared" si="19"/>
        <v>12756.553147630875</v>
      </c>
      <c r="H25" s="2">
        <f t="shared" si="19"/>
        <v>23491.117004578362</v>
      </c>
      <c r="I25" s="2">
        <f t="shared" si="28"/>
        <v>76606.832095585007</v>
      </c>
      <c r="J25" s="2">
        <f t="shared" si="20"/>
        <v>-5291.2448503566266</v>
      </c>
      <c r="K25" s="6">
        <f t="shared" si="21"/>
        <v>-6.4607681250552593E-2</v>
      </c>
      <c r="L25" s="7">
        <f t="shared" si="22"/>
        <v>0.93539231874944739</v>
      </c>
      <c r="N25">
        <f t="shared" si="6"/>
        <v>2011</v>
      </c>
      <c r="O25" s="2">
        <f t="shared" si="23"/>
        <v>4620.1125882412807</v>
      </c>
      <c r="P25" s="2"/>
      <c r="Q25" s="2"/>
      <c r="R25">
        <f t="shared" si="7"/>
        <v>2011</v>
      </c>
      <c r="S25" s="2">
        <f t="shared" si="8"/>
        <v>14850.998156746226</v>
      </c>
      <c r="T25" s="2"/>
      <c r="U25" s="2">
        <f t="shared" si="9"/>
        <v>15690.808574167335</v>
      </c>
      <c r="V25" s="2">
        <f t="shared" si="9"/>
        <v>7045.2876595174439</v>
      </c>
      <c r="W25" s="2"/>
      <c r="X25" s="2">
        <f t="shared" si="10"/>
        <v>11832.530629982619</v>
      </c>
      <c r="Y25" s="2">
        <f t="shared" si="10"/>
        <v>22567.094486930106</v>
      </c>
      <c r="Z25" s="2">
        <f t="shared" si="29"/>
        <v>71986.719507343732</v>
      </c>
      <c r="AA25" s="2">
        <f t="shared" si="24"/>
        <v>-5425.8112364219123</v>
      </c>
      <c r="AB25" s="6">
        <f t="shared" si="25"/>
        <v>-7.0089573151680948E-2</v>
      </c>
      <c r="AC25" s="7">
        <f t="shared" si="26"/>
        <v>0.92991042684831904</v>
      </c>
      <c r="AD25" s="2">
        <f t="shared" si="30"/>
        <v>0</v>
      </c>
      <c r="AE25" s="2"/>
      <c r="AG25">
        <f t="shared" si="11"/>
        <v>2011</v>
      </c>
      <c r="AH25" s="6">
        <f t="shared" si="4"/>
        <v>0.20630191594202593</v>
      </c>
      <c r="AI25" s="57"/>
      <c r="AJ25" s="6">
        <f t="shared" si="4"/>
        <v>0.21796810136023265</v>
      </c>
      <c r="AK25" s="6">
        <f t="shared" si="4"/>
        <v>9.7869269606023906E-2</v>
      </c>
      <c r="AL25" s="57"/>
      <c r="AM25" s="6">
        <f t="shared" si="4"/>
        <v>0.16437102164067252</v>
      </c>
      <c r="AN25" s="6">
        <f t="shared" si="12"/>
        <v>0.31348969145104494</v>
      </c>
      <c r="AO25" s="55">
        <f t="shared" si="13"/>
        <v>1</v>
      </c>
      <c r="AQ25">
        <f t="shared" si="27"/>
        <v>2011</v>
      </c>
      <c r="AR25" s="2">
        <f t="shared" ref="AR25" si="36">S25</f>
        <v>14850.998156746226</v>
      </c>
      <c r="AS25" s="2"/>
      <c r="AT25" s="2">
        <f t="shared" ref="AT25" si="37">U25</f>
        <v>15690.808574167335</v>
      </c>
      <c r="AU25" s="2">
        <f t="shared" ref="AU25" si="38">V25</f>
        <v>7045.2876595174439</v>
      </c>
      <c r="AV25" s="2"/>
      <c r="AW25" s="2">
        <f t="shared" ref="AW25" si="39">X25</f>
        <v>11832.530629982619</v>
      </c>
      <c r="AX25" s="2">
        <f t="shared" ref="AX25" si="40">Y25</f>
        <v>22567.094486930106</v>
      </c>
      <c r="AY25" s="2">
        <f t="shared" si="15"/>
        <v>71986.719507343732</v>
      </c>
      <c r="AZ25" s="2">
        <f t="shared" si="16"/>
        <v>0</v>
      </c>
      <c r="BA25" s="2"/>
      <c r="BC25" s="22"/>
      <c r="BX25" s="2"/>
    </row>
    <row r="26" spans="1:76" x14ac:dyDescent="0.25">
      <c r="A26">
        <f t="shared" si="5"/>
        <v>2012</v>
      </c>
      <c r="B26" s="2">
        <f t="shared" si="17"/>
        <v>17200.426065143478</v>
      </c>
      <c r="C26" s="2"/>
      <c r="D26" s="2">
        <f t="shared" si="18"/>
        <v>18169.956328885772</v>
      </c>
      <c r="E26" s="2">
        <f t="shared" si="18"/>
        <v>8316.257553294392</v>
      </c>
      <c r="F26" s="2"/>
      <c r="G26" s="2">
        <f t="shared" si="19"/>
        <v>13978.951686261466</v>
      </c>
      <c r="H26" s="2">
        <f t="shared" si="19"/>
        <v>23481.061813650773</v>
      </c>
      <c r="I26" s="2">
        <f t="shared" ref="I26:I28" si="41">SUM(B26:H26)</f>
        <v>81146.653447235876</v>
      </c>
      <c r="J26" s="2">
        <f t="shared" ref="J26:J28" si="42">I26-I25</f>
        <v>4539.8213516508695</v>
      </c>
      <c r="K26" s="6">
        <f t="shared" ref="K26:K28" si="43">(J26/I25)</f>
        <v>5.9261311654114301E-2</v>
      </c>
      <c r="L26" s="7">
        <f t="shared" ref="L26:L28" si="44">K26+1</f>
        <v>1.0592613116541143</v>
      </c>
      <c r="N26">
        <f t="shared" ref="N26:N28" si="45">A26</f>
        <v>2012</v>
      </c>
      <c r="O26" s="2">
        <f t="shared" si="23"/>
        <v>4703.2746148296237</v>
      </c>
      <c r="P26" s="2"/>
      <c r="Q26" s="2"/>
      <c r="R26">
        <f t="shared" ref="R26:R28" si="46">A26</f>
        <v>2012</v>
      </c>
      <c r="S26" s="2">
        <f t="shared" ref="S26:S28" si="47">B26-($O26/5)</f>
        <v>16259.771142177553</v>
      </c>
      <c r="T26" s="2"/>
      <c r="U26" s="2">
        <f t="shared" ref="U26:U28" si="48">D26-($O26/5)</f>
        <v>17229.301405919847</v>
      </c>
      <c r="V26" s="2">
        <f t="shared" ref="V26:V28" si="49">E26-($O26/5)</f>
        <v>7375.6026303284671</v>
      </c>
      <c r="W26" s="2"/>
      <c r="X26" s="2">
        <f t="shared" ref="X26:X28" si="50">G26-($O26/5)</f>
        <v>13038.296763295541</v>
      </c>
      <c r="Y26" s="2">
        <f t="shared" ref="Y26:Y28" si="51">H26-($O26/5)</f>
        <v>22540.406890684848</v>
      </c>
      <c r="Z26" s="2">
        <f t="shared" ref="Z26:Z28" si="52">SUM(S26:Y26)</f>
        <v>76443.378832406248</v>
      </c>
      <c r="AA26" s="2">
        <f t="shared" ref="AA26:AA28" si="53">Z26-Z25</f>
        <v>4456.6593250625156</v>
      </c>
      <c r="AB26" s="6">
        <f t="shared" ref="AB26:AB28" si="54">(AA26/Z25)</f>
        <v>6.1909465461999123E-2</v>
      </c>
      <c r="AC26" s="7">
        <f t="shared" ref="AC26:AC28" si="55">AB26+1</f>
        <v>1.0619094654619992</v>
      </c>
      <c r="AD26" s="2">
        <f t="shared" ref="AD26:AD28" si="56">Z26-(I26-O26)</f>
        <v>0</v>
      </c>
      <c r="AE26" s="2"/>
      <c r="AG26">
        <f t="shared" ref="AG26:AG28" si="57">A26</f>
        <v>2012</v>
      </c>
      <c r="AH26" s="6">
        <f t="shared" ref="AH26:AH28" si="58">S26/$Z26</f>
        <v>0.21270345961322987</v>
      </c>
      <c r="AI26" s="57"/>
      <c r="AJ26" s="6">
        <f t="shared" ref="AJ26:AJ28" si="59">U26/$Z26</f>
        <v>0.22538644509282102</v>
      </c>
      <c r="AK26" s="6">
        <f t="shared" ref="AK26:AK28" si="60">V26/$Z26</f>
        <v>9.6484518907761385E-2</v>
      </c>
      <c r="AL26" s="57"/>
      <c r="AM26" s="6">
        <f t="shared" ref="AM26:AM28" si="61">X26/$Z26</f>
        <v>0.17056149221086342</v>
      </c>
      <c r="AN26" s="6">
        <f t="shared" ref="AN26:AN28" si="62">Y26/$Z26</f>
        <v>0.29486408417532439</v>
      </c>
      <c r="AO26" s="55">
        <f t="shared" ref="AO26:AO28" si="63">SUM(AH26:AN26)</f>
        <v>1</v>
      </c>
      <c r="AQ26">
        <f t="shared" ref="AQ26:AQ28" si="64">AG26</f>
        <v>2012</v>
      </c>
      <c r="AR26" s="2">
        <f t="shared" ref="AR26:AR28" si="65">S26</f>
        <v>16259.771142177553</v>
      </c>
      <c r="AS26" s="2"/>
      <c r="AT26" s="2">
        <f t="shared" ref="AT26:AT28" si="66">U26</f>
        <v>17229.301405919847</v>
      </c>
      <c r="AU26" s="2">
        <f t="shared" ref="AU26:AU28" si="67">V26</f>
        <v>7375.6026303284671</v>
      </c>
      <c r="AV26" s="2"/>
      <c r="AW26" s="2">
        <f t="shared" ref="AW26:AW28" si="68">X26</f>
        <v>13038.296763295541</v>
      </c>
      <c r="AX26" s="2">
        <f t="shared" ref="AX26:AX28" si="69">Y26</f>
        <v>22540.406890684848</v>
      </c>
      <c r="AY26" s="2">
        <f t="shared" ref="AY26:AY28" si="70">Z26</f>
        <v>76443.378832406248</v>
      </c>
      <c r="AZ26" s="2">
        <f t="shared" ref="AZ26:AZ28" si="71">SUM(AR26:AX26)-Z26</f>
        <v>0</v>
      </c>
      <c r="BA26" s="2"/>
      <c r="BC26" s="22"/>
      <c r="BX26" s="2"/>
    </row>
    <row r="27" spans="1:76" x14ac:dyDescent="0.25">
      <c r="A27">
        <f t="shared" si="5"/>
        <v>2013</v>
      </c>
      <c r="B27" s="2">
        <f t="shared" si="17"/>
        <v>21492.165495730293</v>
      </c>
      <c r="C27" s="2"/>
      <c r="D27" s="2">
        <f t="shared" si="18"/>
        <v>23259.556897991795</v>
      </c>
      <c r="E27" s="2">
        <f t="shared" si="18"/>
        <v>10150.304339858036</v>
      </c>
      <c r="F27" s="2"/>
      <c r="G27" s="2">
        <f t="shared" si="19"/>
        <v>14999.256596495188</v>
      </c>
      <c r="H27" s="2">
        <f t="shared" si="19"/>
        <v>22030.99369495537</v>
      </c>
      <c r="I27" s="2">
        <f t="shared" si="41"/>
        <v>91932.277025030678</v>
      </c>
      <c r="J27" s="2">
        <f t="shared" si="42"/>
        <v>10785.623577794802</v>
      </c>
      <c r="K27" s="6">
        <f t="shared" si="43"/>
        <v>0.1329151988357469</v>
      </c>
      <c r="L27" s="7">
        <f t="shared" si="44"/>
        <v>1.1329151988357469</v>
      </c>
      <c r="N27">
        <f t="shared" si="45"/>
        <v>2013</v>
      </c>
      <c r="O27" s="2">
        <f t="shared" si="23"/>
        <v>4757.6252661585313</v>
      </c>
      <c r="P27" s="2"/>
      <c r="Q27" s="2"/>
      <c r="R27">
        <f t="shared" si="46"/>
        <v>2013</v>
      </c>
      <c r="S27" s="2">
        <f t="shared" si="47"/>
        <v>20540.640442498585</v>
      </c>
      <c r="T27" s="2"/>
      <c r="U27" s="2">
        <f t="shared" si="48"/>
        <v>22308.031844760088</v>
      </c>
      <c r="V27" s="2">
        <f t="shared" si="49"/>
        <v>9198.7792866263298</v>
      </c>
      <c r="W27" s="2"/>
      <c r="X27" s="2">
        <f t="shared" si="50"/>
        <v>14047.731543263482</v>
      </c>
      <c r="Y27" s="2">
        <f t="shared" si="51"/>
        <v>21079.468641723663</v>
      </c>
      <c r="Z27" s="2">
        <f t="shared" si="52"/>
        <v>87174.651758872147</v>
      </c>
      <c r="AA27" s="2">
        <f t="shared" si="53"/>
        <v>10731.272926465899</v>
      </c>
      <c r="AB27" s="6">
        <f t="shared" si="54"/>
        <v>0.14038198062899657</v>
      </c>
      <c r="AC27" s="7">
        <f t="shared" si="55"/>
        <v>1.1403819806289965</v>
      </c>
      <c r="AD27" s="2">
        <f t="shared" si="56"/>
        <v>0</v>
      </c>
      <c r="AE27" s="2"/>
      <c r="AG27">
        <f t="shared" si="57"/>
        <v>2013</v>
      </c>
      <c r="AH27" s="6">
        <f t="shared" si="58"/>
        <v>0.23562629764572673</v>
      </c>
      <c r="AI27" s="57"/>
      <c r="AJ27" s="6">
        <f t="shared" si="59"/>
        <v>0.25590044117944755</v>
      </c>
      <c r="AK27" s="6">
        <f t="shared" si="60"/>
        <v>0.10552126221358986</v>
      </c>
      <c r="AL27" s="57"/>
      <c r="AM27" s="6">
        <f t="shared" si="61"/>
        <v>0.16114468208166696</v>
      </c>
      <c r="AN27" s="6">
        <f t="shared" si="62"/>
        <v>0.24180731687956886</v>
      </c>
      <c r="AO27" s="55">
        <f t="shared" si="63"/>
        <v>1</v>
      </c>
      <c r="AQ27">
        <f t="shared" si="64"/>
        <v>2013</v>
      </c>
      <c r="AR27" s="2">
        <f t="shared" si="65"/>
        <v>20540.640442498585</v>
      </c>
      <c r="AS27" s="2"/>
      <c r="AT27" s="2">
        <f t="shared" si="66"/>
        <v>22308.031844760088</v>
      </c>
      <c r="AU27" s="2">
        <f t="shared" si="67"/>
        <v>9198.7792866263298</v>
      </c>
      <c r="AV27" s="2"/>
      <c r="AW27" s="2">
        <f t="shared" si="68"/>
        <v>14047.731543263482</v>
      </c>
      <c r="AX27" s="2">
        <f t="shared" si="69"/>
        <v>21079.468641723663</v>
      </c>
      <c r="AY27" s="2">
        <f t="shared" si="70"/>
        <v>87174.651758872147</v>
      </c>
      <c r="AZ27" s="2">
        <f t="shared" si="71"/>
        <v>0</v>
      </c>
      <c r="BA27" s="2"/>
      <c r="BC27" s="22"/>
      <c r="BX27" s="2"/>
    </row>
    <row r="28" spans="1:76" x14ac:dyDescent="0.25">
      <c r="A28">
        <f t="shared" si="5"/>
        <v>2014</v>
      </c>
      <c r="B28" s="2">
        <f t="shared" si="17"/>
        <v>23315.680966280142</v>
      </c>
      <c r="C28" s="2"/>
      <c r="D28" s="2">
        <f t="shared" si="18"/>
        <v>25341.924175647462</v>
      </c>
      <c r="E28" s="2">
        <f t="shared" si="18"/>
        <v>9876.729320050692</v>
      </c>
      <c r="F28" s="2"/>
      <c r="G28" s="2">
        <f t="shared" si="19"/>
        <v>13452.107725829112</v>
      </c>
      <c r="H28" s="2">
        <f t="shared" si="19"/>
        <v>22293.646035486949</v>
      </c>
      <c r="I28" s="2">
        <f t="shared" si="41"/>
        <v>94280.088223294355</v>
      </c>
      <c r="J28" s="2">
        <f t="shared" si="42"/>
        <v>2347.8111982636765</v>
      </c>
      <c r="K28" s="6">
        <f t="shared" si="43"/>
        <v>2.5538486310139264E-2</v>
      </c>
      <c r="L28" s="7">
        <f t="shared" si="44"/>
        <v>1.0255384863101393</v>
      </c>
      <c r="N28">
        <f t="shared" si="45"/>
        <v>2014</v>
      </c>
      <c r="O28" s="2">
        <f t="shared" si="23"/>
        <v>4818.9986320919761</v>
      </c>
      <c r="P28" s="2"/>
      <c r="Q28" s="2"/>
      <c r="R28">
        <f t="shared" si="46"/>
        <v>2014</v>
      </c>
      <c r="S28" s="2">
        <f t="shared" si="47"/>
        <v>22351.881239861748</v>
      </c>
      <c r="T28" s="2"/>
      <c r="U28" s="2">
        <f t="shared" si="48"/>
        <v>24378.124449229068</v>
      </c>
      <c r="V28" s="2">
        <f t="shared" si="49"/>
        <v>8912.929593632296</v>
      </c>
      <c r="W28" s="2"/>
      <c r="X28" s="2">
        <f t="shared" si="50"/>
        <v>12488.307999410716</v>
      </c>
      <c r="Y28" s="2">
        <f t="shared" si="51"/>
        <v>21329.846309068555</v>
      </c>
      <c r="Z28" s="2">
        <f t="shared" si="52"/>
        <v>89461.089591202384</v>
      </c>
      <c r="AA28" s="2">
        <f t="shared" si="53"/>
        <v>2286.4378323302371</v>
      </c>
      <c r="AB28" s="6">
        <f t="shared" si="54"/>
        <v>2.6228241652798301E-2</v>
      </c>
      <c r="AC28" s="7">
        <f t="shared" si="55"/>
        <v>1.0262282416527984</v>
      </c>
      <c r="AD28" s="2">
        <f t="shared" si="56"/>
        <v>0</v>
      </c>
      <c r="AE28" s="2"/>
      <c r="AG28">
        <f t="shared" si="57"/>
        <v>2014</v>
      </c>
      <c r="AH28" s="6">
        <f t="shared" si="58"/>
        <v>0.24985031304671071</v>
      </c>
      <c r="AI28" s="57"/>
      <c r="AJ28" s="6">
        <f t="shared" si="59"/>
        <v>0.2724997488922426</v>
      </c>
      <c r="AK28" s="6">
        <f t="shared" si="60"/>
        <v>9.9629119591103155E-2</v>
      </c>
      <c r="AL28" s="57"/>
      <c r="AM28" s="6">
        <f t="shared" si="61"/>
        <v>0.13959485689786208</v>
      </c>
      <c r="AN28" s="6">
        <f t="shared" si="62"/>
        <v>0.23842596157208143</v>
      </c>
      <c r="AO28" s="55">
        <f t="shared" si="63"/>
        <v>0.99999999999999989</v>
      </c>
      <c r="AQ28">
        <f t="shared" si="64"/>
        <v>2014</v>
      </c>
      <c r="AR28" s="2">
        <f t="shared" si="65"/>
        <v>22351.881239861748</v>
      </c>
      <c r="AS28" s="2"/>
      <c r="AT28" s="2">
        <f t="shared" si="66"/>
        <v>24378.124449229068</v>
      </c>
      <c r="AU28" s="2">
        <f t="shared" si="67"/>
        <v>8912.929593632296</v>
      </c>
      <c r="AV28" s="2"/>
      <c r="AW28" s="2">
        <f t="shared" si="68"/>
        <v>12488.307999410716</v>
      </c>
      <c r="AX28" s="2">
        <f t="shared" si="69"/>
        <v>21329.846309068555</v>
      </c>
      <c r="AY28" s="2">
        <f t="shared" si="70"/>
        <v>89461.089591202384</v>
      </c>
      <c r="AZ28" s="2">
        <f t="shared" si="71"/>
        <v>0</v>
      </c>
      <c r="BA28" s="2"/>
      <c r="BC28" s="22"/>
      <c r="BX28" s="2"/>
    </row>
    <row r="29" spans="1:76" x14ac:dyDescent="0.25">
      <c r="A29">
        <f t="shared" si="5"/>
        <v>2015</v>
      </c>
      <c r="B29" s="2">
        <f t="shared" si="17"/>
        <v>22631.279755360018</v>
      </c>
      <c r="C29" s="2"/>
      <c r="D29" s="2">
        <f t="shared" ref="D29:E29" si="72">AT28*(1+(D12/100))</f>
        <v>24022.203832270327</v>
      </c>
      <c r="E29" s="2">
        <f t="shared" si="72"/>
        <v>8576.0208549929939</v>
      </c>
      <c r="F29" s="2"/>
      <c r="G29" s="2">
        <f t="shared" ref="G29:H29" si="73">AW28*(1+(G12/100))</f>
        <v>11942.568939836468</v>
      </c>
      <c r="H29" s="2">
        <f t="shared" si="73"/>
        <v>21393.835847995757</v>
      </c>
      <c r="I29" s="2">
        <f t="shared" ref="I29" si="74">SUM(B29:H29)</f>
        <v>88565.909230455552</v>
      </c>
      <c r="J29" s="2">
        <f t="shared" ref="J29" si="75">I29-I28</f>
        <v>-5714.1789928388025</v>
      </c>
      <c r="K29" s="6">
        <f t="shared" ref="K29" si="76">(J29/I28)</f>
        <v>-6.0608545245579917E-2</v>
      </c>
      <c r="L29" s="7">
        <f t="shared" ref="L29" si="77">K29+1</f>
        <v>0.9393914547544201</v>
      </c>
      <c r="N29">
        <f t="shared" ref="N29" si="78">A29</f>
        <v>2015</v>
      </c>
      <c r="O29" s="2">
        <f t="shared" si="23"/>
        <v>4840.202226073181</v>
      </c>
      <c r="P29" s="2"/>
      <c r="Q29" s="2"/>
      <c r="R29">
        <f t="shared" ref="R29" si="79">A29</f>
        <v>2015</v>
      </c>
      <c r="S29" s="2">
        <f t="shared" ref="S29" si="80">B29-($O29/5)</f>
        <v>21663.239310145382</v>
      </c>
      <c r="T29" s="2"/>
      <c r="U29" s="2">
        <f t="shared" ref="U29" si="81">D29-($O29/5)</f>
        <v>23054.163387055691</v>
      </c>
      <c r="V29" s="2">
        <f t="shared" ref="V29" si="82">E29-($O29/5)</f>
        <v>7607.9804097783581</v>
      </c>
      <c r="W29" s="2"/>
      <c r="X29" s="2">
        <f t="shared" ref="X29" si="83">G29-($O29/5)</f>
        <v>10974.528494621833</v>
      </c>
      <c r="Y29" s="2">
        <f t="shared" ref="Y29" si="84">H29-($O29/5)</f>
        <v>20425.795402781121</v>
      </c>
      <c r="Z29" s="2">
        <f t="shared" ref="Z29" si="85">SUM(S29:Y29)</f>
        <v>83725.707004382391</v>
      </c>
      <c r="AA29" s="2">
        <f t="shared" ref="AA29" si="86">Z29-Z28</f>
        <v>-5735.3825868199929</v>
      </c>
      <c r="AB29" s="6">
        <f t="shared" ref="AB29" si="87">(AA29/Z28)</f>
        <v>-6.4110359185520258E-2</v>
      </c>
      <c r="AC29" s="7">
        <f t="shared" ref="AC29" si="88">AB29+1</f>
        <v>0.93588964081447978</v>
      </c>
      <c r="AD29" s="2">
        <f t="shared" ref="AD29" si="89">Z29-(I29-O29)</f>
        <v>0</v>
      </c>
      <c r="AE29" s="2"/>
      <c r="AG29">
        <f t="shared" ref="AG29" si="90">A29</f>
        <v>2015</v>
      </c>
      <c r="AH29" s="6">
        <f t="shared" ref="AH29" si="91">S29/$Z29</f>
        <v>0.25874059575288483</v>
      </c>
      <c r="AI29" s="57"/>
      <c r="AJ29" s="6">
        <f t="shared" ref="AJ29" si="92">U29/$Z29</f>
        <v>0.27535346325411125</v>
      </c>
      <c r="AK29" s="6">
        <f t="shared" ref="AK29" si="93">V29/$Z29</f>
        <v>9.0867914789661192E-2</v>
      </c>
      <c r="AL29" s="57"/>
      <c r="AM29" s="6">
        <f t="shared" ref="AM29" si="94">X29/$Z29</f>
        <v>0.13107716718411708</v>
      </c>
      <c r="AN29" s="6">
        <f t="shared" ref="AN29" si="95">Y29/$Z29</f>
        <v>0.2439608590192256</v>
      </c>
      <c r="AO29" s="55">
        <f t="shared" ref="AO29" si="96">SUM(AH29:AN29)</f>
        <v>0.99999999999999989</v>
      </c>
      <c r="AQ29">
        <f t="shared" ref="AQ29" si="97">AG29</f>
        <v>2015</v>
      </c>
      <c r="AR29" s="2">
        <f t="shared" ref="AR29" si="98">S29</f>
        <v>21663.239310145382</v>
      </c>
      <c r="AS29" s="2"/>
      <c r="AT29" s="2">
        <f t="shared" ref="AT29" si="99">U29</f>
        <v>23054.163387055691</v>
      </c>
      <c r="AU29" s="2">
        <f t="shared" ref="AU29" si="100">V29</f>
        <v>7607.9804097783581</v>
      </c>
      <c r="AV29" s="2"/>
      <c r="AW29" s="2">
        <f t="shared" ref="AW29" si="101">X29</f>
        <v>10974.528494621833</v>
      </c>
      <c r="AX29" s="2">
        <f t="shared" ref="AX29" si="102">Y29</f>
        <v>20425.795402781121</v>
      </c>
      <c r="AY29" s="2">
        <f t="shared" ref="AY29" si="103">Z29</f>
        <v>83725.707004382391</v>
      </c>
      <c r="AZ29" s="2">
        <f t="shared" ref="AZ29" si="104">SUM(AR29:AX29)-Z29</f>
        <v>0</v>
      </c>
      <c r="BA29" s="2"/>
      <c r="BC29" s="22"/>
      <c r="BX29" s="2"/>
    </row>
    <row r="30" spans="1:76" x14ac:dyDescent="0.25">
      <c r="A30">
        <f t="shared" ref="A30:A31" si="105">A13</f>
        <v>2016</v>
      </c>
      <c r="B30" s="2">
        <f t="shared" ref="B30:B31" si="106">AR29*(1+(B13/100))</f>
        <v>24223.834196604566</v>
      </c>
      <c r="C30" s="2"/>
      <c r="D30" s="2">
        <f t="shared" ref="D30:D31" si="107">AT29*(1+(D13/100))</f>
        <v>25606.259274002758</v>
      </c>
      <c r="E30" s="2">
        <f t="shared" ref="E30:E31" si="108">AU29*(1+(E13/100))</f>
        <v>8990.3504502350861</v>
      </c>
      <c r="F30" s="2"/>
      <c r="G30" s="2">
        <f t="shared" ref="G30:G31" si="109">AW29*(1+(G13/100))</f>
        <v>11484.844069621748</v>
      </c>
      <c r="H30" s="2">
        <f t="shared" ref="H30:H31" si="110">AX29*(1+(H13/100))</f>
        <v>20936.440287850648</v>
      </c>
      <c r="I30" s="2">
        <f t="shared" ref="I30:I31" si="111">SUM(B30:H30)</f>
        <v>91241.728278314811</v>
      </c>
      <c r="J30" s="2">
        <f t="shared" ref="J30:J31" si="112">I30-I29</f>
        <v>2675.8190478592587</v>
      </c>
      <c r="K30" s="6">
        <f t="shared" ref="K30:K31" si="113">(J30/I29)</f>
        <v>3.0212742929071775E-2</v>
      </c>
      <c r="L30" s="7">
        <f t="shared" ref="L30:L31" si="114">K30+1</f>
        <v>1.0302127429290717</v>
      </c>
      <c r="N30">
        <f t="shared" ref="N30:N31" si="115">A30</f>
        <v>2016</v>
      </c>
      <c r="O30" s="2">
        <f t="shared" ref="O30:O31" si="116">O29*(1+O13)</f>
        <v>4922.4856639164245</v>
      </c>
      <c r="P30" s="2"/>
      <c r="Q30" s="2"/>
      <c r="R30">
        <f t="shared" ref="R30:R31" si="117">A30</f>
        <v>2016</v>
      </c>
      <c r="S30" s="2">
        <f t="shared" ref="S30:S31" si="118">B30-($O30/5)</f>
        <v>23239.33706382128</v>
      </c>
      <c r="T30" s="2"/>
      <c r="U30" s="2">
        <f t="shared" ref="U30:U31" si="119">D30-($O30/5)</f>
        <v>24621.762141219471</v>
      </c>
      <c r="V30" s="2">
        <f t="shared" ref="V30:V31" si="120">E30-($O30/5)</f>
        <v>8005.8533174518016</v>
      </c>
      <c r="W30" s="2"/>
      <c r="X30" s="2">
        <f t="shared" ref="X30:X31" si="121">G30-($O30/5)</f>
        <v>10500.346936838463</v>
      </c>
      <c r="Y30" s="2">
        <f t="shared" ref="Y30:Y31" si="122">H30-($O30/5)</f>
        <v>19951.943155067362</v>
      </c>
      <c r="Z30" s="2">
        <f t="shared" ref="Z30:Z31" si="123">SUM(S30:Y30)</f>
        <v>86319.242614398376</v>
      </c>
      <c r="AA30" s="2">
        <f t="shared" ref="AA30:AA31" si="124">Z30-Z29</f>
        <v>2593.5356100159843</v>
      </c>
      <c r="AB30" s="6">
        <f t="shared" ref="AB30:AB31" si="125">(AA30/Z29)</f>
        <v>3.0976574612624444E-2</v>
      </c>
      <c r="AC30" s="7">
        <f t="shared" ref="AC30:AC31" si="126">AB30+1</f>
        <v>1.0309765746126245</v>
      </c>
      <c r="AD30" s="2">
        <f t="shared" ref="AD30:AD31" si="127">Z30-(I30-O30)</f>
        <v>0</v>
      </c>
      <c r="AE30" s="2"/>
      <c r="AG30">
        <f t="shared" ref="AG30:AG31" si="128">A30</f>
        <v>2016</v>
      </c>
      <c r="AH30" s="6">
        <f t="shared" ref="AH30:AH31" si="129">S30/$Z30</f>
        <v>0.26922545147476618</v>
      </c>
      <c r="AI30" s="57"/>
      <c r="AJ30" s="6">
        <f t="shared" ref="AJ30:AJ31" si="130">U30/$Z30</f>
        <v>0.2852407110568469</v>
      </c>
      <c r="AK30" s="6">
        <f t="shared" ref="AK30:AK31" si="131">V30/$Z30</f>
        <v>9.2747029225166006E-2</v>
      </c>
      <c r="AL30" s="57"/>
      <c r="AM30" s="6">
        <f t="shared" ref="AM30:AM31" si="132">X30/$Z30</f>
        <v>0.12164549431631558</v>
      </c>
      <c r="AN30" s="6">
        <f t="shared" ref="AN30:AN31" si="133">Y30/$Z30</f>
        <v>0.23114131392690535</v>
      </c>
      <c r="AO30" s="55">
        <f t="shared" ref="AO30:AO31" si="134">SUM(AH30:AN30)</f>
        <v>1</v>
      </c>
      <c r="AQ30">
        <f t="shared" ref="AQ30:AQ31" si="135">AG30</f>
        <v>2016</v>
      </c>
      <c r="AR30" s="2">
        <f t="shared" ref="AR30:AR31" si="136">S30</f>
        <v>23239.33706382128</v>
      </c>
      <c r="AS30" s="2"/>
      <c r="AT30" s="2">
        <f t="shared" ref="AT30:AT31" si="137">U30</f>
        <v>24621.762141219471</v>
      </c>
      <c r="AU30" s="2">
        <f t="shared" ref="AU30:AU31" si="138">V30</f>
        <v>8005.8533174518016</v>
      </c>
      <c r="AV30" s="2"/>
      <c r="AW30" s="2">
        <f t="shared" ref="AW30:AW31" si="139">X30</f>
        <v>10500.346936838463</v>
      </c>
      <c r="AX30" s="2">
        <f t="shared" ref="AX30:AX31" si="140">Y30</f>
        <v>19951.943155067362</v>
      </c>
      <c r="AY30" s="2">
        <f t="shared" ref="AY30:AY31" si="141">Z30</f>
        <v>86319.242614398376</v>
      </c>
      <c r="AZ30" s="2">
        <f t="shared" ref="AZ30:AZ31" si="142">SUM(AR30:AX30)-Z30</f>
        <v>0</v>
      </c>
      <c r="BA30" s="2"/>
      <c r="BC30" s="22"/>
      <c r="BX30" s="2"/>
    </row>
    <row r="31" spans="1:76" x14ac:dyDescent="0.25">
      <c r="A31">
        <f t="shared" si="105"/>
        <v>2017</v>
      </c>
      <c r="B31" s="2">
        <f t="shared" si="106"/>
        <v>28275.301405551349</v>
      </c>
      <c r="C31" s="2"/>
      <c r="D31" s="2">
        <f t="shared" si="107"/>
        <v>29447.627520898488</v>
      </c>
      <c r="E31" s="2">
        <f t="shared" si="108"/>
        <v>9294.7957015615411</v>
      </c>
      <c r="F31" s="2"/>
      <c r="G31" s="2">
        <f t="shared" si="109"/>
        <v>13377.441997532202</v>
      </c>
      <c r="H31" s="2">
        <f t="shared" si="110"/>
        <v>20642.280388232692</v>
      </c>
      <c r="I31" s="2">
        <f t="shared" si="111"/>
        <v>101037.44701377628</v>
      </c>
      <c r="J31" s="2">
        <f t="shared" si="112"/>
        <v>9795.7187354614725</v>
      </c>
      <c r="K31" s="6">
        <f t="shared" si="113"/>
        <v>0.10736007439032252</v>
      </c>
      <c r="L31" s="7">
        <f t="shared" si="114"/>
        <v>1.1073600743903225</v>
      </c>
      <c r="N31">
        <f t="shared" si="115"/>
        <v>2017</v>
      </c>
      <c r="O31" s="2">
        <f t="shared" si="116"/>
        <v>5032.2570942217608</v>
      </c>
      <c r="P31" s="2"/>
      <c r="Q31" s="2"/>
      <c r="R31">
        <f t="shared" si="117"/>
        <v>2017</v>
      </c>
      <c r="S31" s="2">
        <f t="shared" si="118"/>
        <v>27268.849986706995</v>
      </c>
      <c r="T31" s="2"/>
      <c r="U31" s="2">
        <f t="shared" si="119"/>
        <v>28441.176102054134</v>
      </c>
      <c r="V31" s="2">
        <f t="shared" si="120"/>
        <v>8288.3442827171893</v>
      </c>
      <c r="W31" s="2"/>
      <c r="X31" s="2">
        <f t="shared" si="121"/>
        <v>12370.99057868785</v>
      </c>
      <c r="Y31" s="2">
        <f t="shared" si="122"/>
        <v>19635.828969388338</v>
      </c>
      <c r="Z31" s="2">
        <f t="shared" si="123"/>
        <v>96005.189919554512</v>
      </c>
      <c r="AA31" s="2">
        <f t="shared" si="124"/>
        <v>9685.9473051561363</v>
      </c>
      <c r="AB31" s="6">
        <f t="shared" si="125"/>
        <v>0.1122107540774516</v>
      </c>
      <c r="AC31" s="7">
        <f t="shared" si="126"/>
        <v>1.1122107540774515</v>
      </c>
      <c r="AD31" s="2">
        <f t="shared" si="127"/>
        <v>0</v>
      </c>
      <c r="AE31" s="2"/>
      <c r="AG31">
        <f t="shared" si="128"/>
        <v>2017</v>
      </c>
      <c r="AH31" s="6">
        <f t="shared" si="129"/>
        <v>0.28403516528175554</v>
      </c>
      <c r="AI31" s="57"/>
      <c r="AJ31" s="6">
        <f t="shared" si="130"/>
        <v>0.29624623549920381</v>
      </c>
      <c r="AK31" s="6">
        <f t="shared" si="131"/>
        <v>8.6332252346589075E-2</v>
      </c>
      <c r="AL31" s="57"/>
      <c r="AM31" s="6">
        <f t="shared" si="132"/>
        <v>0.12885751894302647</v>
      </c>
      <c r="AN31" s="6">
        <f t="shared" si="133"/>
        <v>0.20452882792942506</v>
      </c>
      <c r="AO31" s="55">
        <f t="shared" si="134"/>
        <v>0.99999999999999989</v>
      </c>
      <c r="AQ31">
        <f t="shared" si="135"/>
        <v>2017</v>
      </c>
      <c r="AR31" s="2">
        <f t="shared" si="136"/>
        <v>27268.849986706995</v>
      </c>
      <c r="AS31" s="2"/>
      <c r="AT31" s="2">
        <f t="shared" si="137"/>
        <v>28441.176102054134</v>
      </c>
      <c r="AU31" s="2">
        <f t="shared" si="138"/>
        <v>8288.3442827171893</v>
      </c>
      <c r="AV31" s="2"/>
      <c r="AW31" s="2">
        <f t="shared" si="139"/>
        <v>12370.99057868785</v>
      </c>
      <c r="AX31" s="2">
        <f t="shared" si="140"/>
        <v>19635.828969388338</v>
      </c>
      <c r="AY31" s="2">
        <f t="shared" si="141"/>
        <v>96005.189919554512</v>
      </c>
      <c r="AZ31" s="2">
        <f t="shared" si="142"/>
        <v>0</v>
      </c>
      <c r="BA31" s="2"/>
      <c r="BC31" s="22"/>
      <c r="BX31" s="2"/>
    </row>
    <row r="32" spans="1:76" x14ac:dyDescent="0.25">
      <c r="A32" s="9" t="s">
        <v>46</v>
      </c>
      <c r="B32" s="10">
        <f>AR32</f>
        <v>27268.849986706995</v>
      </c>
      <c r="C32" s="10"/>
      <c r="D32" s="10">
        <f>AT32</f>
        <v>28441.176102054134</v>
      </c>
      <c r="E32" s="10">
        <f>AU32</f>
        <v>8288.3442827171893</v>
      </c>
      <c r="F32" s="10"/>
      <c r="G32" s="10">
        <f>AW32</f>
        <v>12370.99057868785</v>
      </c>
      <c r="H32" s="10">
        <f>AX32</f>
        <v>19635.828969388338</v>
      </c>
      <c r="I32" s="10">
        <f>SUM(B32:H32)</f>
        <v>96005.189919554512</v>
      </c>
      <c r="J32" s="10"/>
      <c r="K32" s="10"/>
      <c r="N32" t="s">
        <v>77</v>
      </c>
      <c r="O32" s="2">
        <f>O28</f>
        <v>4818.9986320919761</v>
      </c>
      <c r="P32" s="2"/>
      <c r="R32" s="9" t="s">
        <v>46</v>
      </c>
      <c r="S32" s="10">
        <f>S31</f>
        <v>27268.849986706995</v>
      </c>
      <c r="T32" s="10"/>
      <c r="U32" s="10">
        <f>U31</f>
        <v>28441.176102054134</v>
      </c>
      <c r="V32" s="10">
        <f>V31</f>
        <v>8288.3442827171893</v>
      </c>
      <c r="W32" s="10"/>
      <c r="X32" s="10">
        <f>X31</f>
        <v>12370.99057868785</v>
      </c>
      <c r="Y32" s="10">
        <f>Y31</f>
        <v>19635.828969388338</v>
      </c>
      <c r="Z32" s="56">
        <f>SUM(S32:Y32)</f>
        <v>96005.189919554512</v>
      </c>
      <c r="AA32" s="40"/>
      <c r="AB32" s="40"/>
      <c r="AC32" s="40"/>
      <c r="AD32" s="40"/>
      <c r="AE32" s="40"/>
      <c r="AK32" s="7"/>
      <c r="AQ32" s="9" t="s">
        <v>46</v>
      </c>
      <c r="AR32" s="10">
        <f>AR31</f>
        <v>27268.849986706995</v>
      </c>
      <c r="AS32" s="10"/>
      <c r="AT32" s="10">
        <f>AT31</f>
        <v>28441.176102054134</v>
      </c>
      <c r="AU32" s="10">
        <f>AU31</f>
        <v>8288.3442827171893</v>
      </c>
      <c r="AV32" s="10"/>
      <c r="AW32" s="10">
        <f>AW31</f>
        <v>12370.99057868785</v>
      </c>
      <c r="AX32" s="10">
        <f>AX31</f>
        <v>19635.828969388338</v>
      </c>
      <c r="AY32" s="56">
        <f>SUM(AR32:AX32)</f>
        <v>96005.189919554512</v>
      </c>
      <c r="AZ32" s="2">
        <f t="shared" si="16"/>
        <v>0</v>
      </c>
    </row>
    <row r="33" spans="1:16" x14ac:dyDescent="0.25">
      <c r="A33" s="11" t="s">
        <v>92</v>
      </c>
      <c r="I33" s="6">
        <f>(Z32-Z20)/Z20</f>
        <v>-3.9948100804454878E-2</v>
      </c>
      <c r="K33" s="6"/>
      <c r="N33" t="s">
        <v>38</v>
      </c>
      <c r="O33" s="2">
        <f>SUM(O21:O31)</f>
        <v>51210.373871708784</v>
      </c>
      <c r="P33" s="2"/>
    </row>
    <row r="34" spans="1:16" x14ac:dyDescent="0.25">
      <c r="A34" s="1" t="s">
        <v>93</v>
      </c>
      <c r="I34" s="12">
        <f>STDEV(AC21:AC31)</f>
        <v>0.12266605593456133</v>
      </c>
    </row>
    <row r="35" spans="1:16" x14ac:dyDescent="0.25">
      <c r="A35" s="1" t="s">
        <v>94</v>
      </c>
      <c r="I35" s="13">
        <f>((1+I33)^(1/I42))-1</f>
        <v>-3.6993164541782031E-3</v>
      </c>
    </row>
    <row r="36" spans="1:16" x14ac:dyDescent="0.25">
      <c r="A36" s="1" t="s">
        <v>50</v>
      </c>
      <c r="I36" s="27">
        <f>AA22</f>
        <v>-31867.716366959998</v>
      </c>
      <c r="O36" s="2"/>
      <c r="P36" s="2"/>
    </row>
    <row r="37" spans="1:16" x14ac:dyDescent="0.25">
      <c r="A37" s="1" t="s">
        <v>51</v>
      </c>
      <c r="I37" s="28">
        <f>AB22</f>
        <v>-0.308571233597978</v>
      </c>
    </row>
    <row r="38" spans="1:16" x14ac:dyDescent="0.25">
      <c r="A38" s="1" t="s">
        <v>79</v>
      </c>
      <c r="I38" s="2">
        <f>O33</f>
        <v>51210.373871708784</v>
      </c>
    </row>
    <row r="39" spans="1:16" x14ac:dyDescent="0.25">
      <c r="A39" s="3" t="s">
        <v>52</v>
      </c>
      <c r="I39" s="29">
        <f>I32-Z28</f>
        <v>6544.1003283521277</v>
      </c>
    </row>
    <row r="40" spans="1:16" x14ac:dyDescent="0.25">
      <c r="A40" s="3" t="s">
        <v>141</v>
      </c>
      <c r="I40" s="29">
        <f>((SUM(AA21:AA31)))-(SUM(AA21:AA31))</f>
        <v>0</v>
      </c>
    </row>
    <row r="41" spans="1:16" x14ac:dyDescent="0.25">
      <c r="A41" s="3" t="s">
        <v>142</v>
      </c>
      <c r="I41" s="29">
        <f>(SUM(O21:O31))-I38</f>
        <v>0</v>
      </c>
    </row>
    <row r="42" spans="1:16" x14ac:dyDescent="0.25">
      <c r="A42" s="3" t="s">
        <v>146</v>
      </c>
      <c r="I42" s="3">
        <f>COUNTA(I21:I31)</f>
        <v>11</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0"/>
  <sheetViews>
    <sheetView topLeftCell="A16" workbookViewId="0">
      <selection activeCell="I42" sqref="I42"/>
    </sheetView>
  </sheetViews>
  <sheetFormatPr defaultColWidth="8.85546875" defaultRowHeight="15" x14ac:dyDescent="0.25"/>
  <sheetData>
    <row r="1" spans="1:2" x14ac:dyDescent="0.25">
      <c r="A1" s="18" t="s">
        <v>58</v>
      </c>
    </row>
    <row r="3" spans="1:2" x14ac:dyDescent="0.25">
      <c r="A3" t="s">
        <v>80</v>
      </c>
    </row>
    <row r="5" spans="1:2" x14ac:dyDescent="0.25">
      <c r="A5" s="33" t="s">
        <v>61</v>
      </c>
    </row>
    <row r="6" spans="1:2" x14ac:dyDescent="0.25">
      <c r="A6" t="s">
        <v>87</v>
      </c>
    </row>
    <row r="7" spans="1:2" x14ac:dyDescent="0.25">
      <c r="A7" t="s">
        <v>88</v>
      </c>
    </row>
    <row r="8" spans="1:2" x14ac:dyDescent="0.25">
      <c r="A8" t="s">
        <v>62</v>
      </c>
    </row>
    <row r="9" spans="1:2" x14ac:dyDescent="0.25">
      <c r="A9" s="31" t="s">
        <v>63</v>
      </c>
    </row>
    <row r="10" spans="1:2" x14ac:dyDescent="0.25">
      <c r="A10" s="31" t="s">
        <v>0</v>
      </c>
    </row>
    <row r="12" spans="1:2" x14ac:dyDescent="0.25">
      <c r="A12" s="33" t="s">
        <v>2</v>
      </c>
    </row>
    <row r="13" spans="1:2" x14ac:dyDescent="0.25">
      <c r="A13" s="31" t="s">
        <v>1</v>
      </c>
      <c r="B13" s="31"/>
    </row>
    <row r="14" spans="1:2" x14ac:dyDescent="0.25">
      <c r="A14" s="32">
        <v>0.2</v>
      </c>
      <c r="B14" s="31" t="s">
        <v>34</v>
      </c>
    </row>
    <row r="15" spans="1:2" x14ac:dyDescent="0.25">
      <c r="A15" s="32">
        <v>0.2</v>
      </c>
      <c r="B15" s="31" t="s">
        <v>35</v>
      </c>
    </row>
    <row r="16" spans="1:2" x14ac:dyDescent="0.25">
      <c r="A16" s="32">
        <v>0.1</v>
      </c>
      <c r="B16" s="31" t="s">
        <v>36</v>
      </c>
    </row>
    <row r="17" spans="1:2" x14ac:dyDescent="0.25">
      <c r="A17" s="32">
        <v>0.15</v>
      </c>
      <c r="B17" s="31" t="s">
        <v>37</v>
      </c>
    </row>
    <row r="18" spans="1:2" x14ac:dyDescent="0.25">
      <c r="A18" s="32">
        <v>0.05</v>
      </c>
      <c r="B18" s="31" t="s">
        <v>12</v>
      </c>
    </row>
    <row r="19" spans="1:2" x14ac:dyDescent="0.25">
      <c r="A19" s="32">
        <v>0.3</v>
      </c>
      <c r="B19" s="31" t="s">
        <v>31</v>
      </c>
    </row>
    <row r="20" spans="1:2" x14ac:dyDescent="0.25">
      <c r="A20" s="32">
        <f>SUM(A14:A19)</f>
        <v>1</v>
      </c>
      <c r="B20" s="31" t="s">
        <v>38</v>
      </c>
    </row>
    <row r="22" spans="1:2" x14ac:dyDescent="0.25">
      <c r="A22" s="33" t="s">
        <v>3</v>
      </c>
    </row>
    <row r="23" spans="1:2" x14ac:dyDescent="0.25">
      <c r="A23" t="s">
        <v>4</v>
      </c>
    </row>
    <row r="24" spans="1:2" x14ac:dyDescent="0.25">
      <c r="A24" t="s">
        <v>5</v>
      </c>
    </row>
    <row r="25" spans="1:2" x14ac:dyDescent="0.25">
      <c r="A25" t="s">
        <v>71</v>
      </c>
    </row>
    <row r="27" spans="1:2" x14ac:dyDescent="0.25">
      <c r="A27" s="44" t="s">
        <v>6</v>
      </c>
    </row>
    <row r="28" spans="1:2" x14ac:dyDescent="0.25">
      <c r="A28" t="s">
        <v>7</v>
      </c>
    </row>
    <row r="29" spans="1:2" x14ac:dyDescent="0.25">
      <c r="A29" t="s">
        <v>8</v>
      </c>
    </row>
    <row r="30" spans="1:2" x14ac:dyDescent="0.25">
      <c r="A30" t="s">
        <v>9</v>
      </c>
    </row>
    <row r="31" spans="1:2" x14ac:dyDescent="0.25">
      <c r="A31" t="s">
        <v>10</v>
      </c>
    </row>
    <row r="33" spans="1:1" x14ac:dyDescent="0.25">
      <c r="A33" s="44" t="s">
        <v>139</v>
      </c>
    </row>
    <row r="34" spans="1:1" x14ac:dyDescent="0.25">
      <c r="A34" s="45" t="s">
        <v>140</v>
      </c>
    </row>
    <row r="35" spans="1:1" x14ac:dyDescent="0.25">
      <c r="A35" t="s">
        <v>81</v>
      </c>
    </row>
    <row r="36" spans="1:1" x14ac:dyDescent="0.25">
      <c r="A36" t="s">
        <v>143</v>
      </c>
    </row>
    <row r="37" spans="1:1" x14ac:dyDescent="0.25">
      <c r="A37" t="s">
        <v>144</v>
      </c>
    </row>
    <row r="38" spans="1:1" x14ac:dyDescent="0.25">
      <c r="A38" t="s">
        <v>145</v>
      </c>
    </row>
    <row r="40" spans="1:1" x14ac:dyDescent="0.25">
      <c r="A40" t="s">
        <v>53</v>
      </c>
    </row>
  </sheetData>
  <hyperlinks>
    <hyperlink ref="A34"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1"/>
  <sheetViews>
    <sheetView workbookViewId="0">
      <selection activeCell="A17" sqref="A17"/>
    </sheetView>
  </sheetViews>
  <sheetFormatPr defaultColWidth="12.42578125" defaultRowHeight="15" x14ac:dyDescent="0.25"/>
  <cols>
    <col min="1" max="1" width="29.42578125" customWidth="1"/>
    <col min="2" max="3" width="14.85546875" customWidth="1"/>
    <col min="4" max="4" width="15.85546875" customWidth="1"/>
    <col min="5" max="5" width="8.140625" customWidth="1"/>
    <col min="6" max="7" width="12.7109375" customWidth="1"/>
    <col min="8" max="8" width="8.140625" customWidth="1"/>
    <col min="12" max="12" width="3.5703125" customWidth="1"/>
    <col min="255" max="255" width="50.140625" customWidth="1"/>
    <col min="256" max="256" width="14.85546875" customWidth="1"/>
    <col min="257" max="257" width="15.85546875" customWidth="1"/>
    <col min="511" max="511" width="50.140625" customWidth="1"/>
    <col min="512" max="512" width="14.85546875" customWidth="1"/>
    <col min="513" max="513" width="15.85546875" customWidth="1"/>
    <col min="767" max="767" width="50.140625" customWidth="1"/>
    <col min="768" max="768" width="14.85546875" customWidth="1"/>
    <col min="769" max="769" width="15.85546875" customWidth="1"/>
    <col min="1023" max="1023" width="50.140625" customWidth="1"/>
    <col min="1024" max="1024" width="14.85546875" customWidth="1"/>
    <col min="1025" max="1025" width="15.85546875" customWidth="1"/>
    <col min="1279" max="1279" width="50.140625" customWidth="1"/>
    <col min="1280" max="1280" width="14.85546875" customWidth="1"/>
    <col min="1281" max="1281" width="15.85546875" customWidth="1"/>
    <col min="1535" max="1535" width="50.140625" customWidth="1"/>
    <col min="1536" max="1536" width="14.85546875" customWidth="1"/>
    <col min="1537" max="1537" width="15.85546875" customWidth="1"/>
    <col min="1791" max="1791" width="50.140625" customWidth="1"/>
    <col min="1792" max="1792" width="14.85546875" customWidth="1"/>
    <col min="1793" max="1793" width="15.85546875" customWidth="1"/>
    <col min="2047" max="2047" width="50.140625" customWidth="1"/>
    <col min="2048" max="2048" width="14.85546875" customWidth="1"/>
    <col min="2049" max="2049" width="15.85546875" customWidth="1"/>
    <col min="2303" max="2303" width="50.140625" customWidth="1"/>
    <col min="2304" max="2304" width="14.85546875" customWidth="1"/>
    <col min="2305" max="2305" width="15.85546875" customWidth="1"/>
    <col min="2559" max="2559" width="50.140625" customWidth="1"/>
    <col min="2560" max="2560" width="14.85546875" customWidth="1"/>
    <col min="2561" max="2561" width="15.85546875" customWidth="1"/>
    <col min="2815" max="2815" width="50.140625" customWidth="1"/>
    <col min="2816" max="2816" width="14.85546875" customWidth="1"/>
    <col min="2817" max="2817" width="15.85546875" customWidth="1"/>
    <col min="3071" max="3071" width="50.140625" customWidth="1"/>
    <col min="3072" max="3072" width="14.85546875" customWidth="1"/>
    <col min="3073" max="3073" width="15.85546875" customWidth="1"/>
    <col min="3327" max="3327" width="50.140625" customWidth="1"/>
    <col min="3328" max="3328" width="14.85546875" customWidth="1"/>
    <col min="3329" max="3329" width="15.85546875" customWidth="1"/>
    <col min="3583" max="3583" width="50.140625" customWidth="1"/>
    <col min="3584" max="3584" width="14.85546875" customWidth="1"/>
    <col min="3585" max="3585" width="15.85546875" customWidth="1"/>
    <col min="3839" max="3839" width="50.140625" customWidth="1"/>
    <col min="3840" max="3840" width="14.85546875" customWidth="1"/>
    <col min="3841" max="3841" width="15.85546875" customWidth="1"/>
    <col min="4095" max="4095" width="50.140625" customWidth="1"/>
    <col min="4096" max="4096" width="14.85546875" customWidth="1"/>
    <col min="4097" max="4097" width="15.85546875" customWidth="1"/>
    <col min="4351" max="4351" width="50.140625" customWidth="1"/>
    <col min="4352" max="4352" width="14.85546875" customWidth="1"/>
    <col min="4353" max="4353" width="15.85546875" customWidth="1"/>
    <col min="4607" max="4607" width="50.140625" customWidth="1"/>
    <col min="4608" max="4608" width="14.85546875" customWidth="1"/>
    <col min="4609" max="4609" width="15.85546875" customWidth="1"/>
    <col min="4863" max="4863" width="50.140625" customWidth="1"/>
    <col min="4864" max="4864" width="14.85546875" customWidth="1"/>
    <col min="4865" max="4865" width="15.85546875" customWidth="1"/>
    <col min="5119" max="5119" width="50.140625" customWidth="1"/>
    <col min="5120" max="5120" width="14.85546875" customWidth="1"/>
    <col min="5121" max="5121" width="15.85546875" customWidth="1"/>
    <col min="5375" max="5375" width="50.140625" customWidth="1"/>
    <col min="5376" max="5376" width="14.85546875" customWidth="1"/>
    <col min="5377" max="5377" width="15.85546875" customWidth="1"/>
    <col min="5631" max="5631" width="50.140625" customWidth="1"/>
    <col min="5632" max="5632" width="14.85546875" customWidth="1"/>
    <col min="5633" max="5633" width="15.85546875" customWidth="1"/>
    <col min="5887" max="5887" width="50.140625" customWidth="1"/>
    <col min="5888" max="5888" width="14.85546875" customWidth="1"/>
    <col min="5889" max="5889" width="15.85546875" customWidth="1"/>
    <col min="6143" max="6143" width="50.140625" customWidth="1"/>
    <col min="6144" max="6144" width="14.85546875" customWidth="1"/>
    <col min="6145" max="6145" width="15.85546875" customWidth="1"/>
    <col min="6399" max="6399" width="50.140625" customWidth="1"/>
    <col min="6400" max="6400" width="14.85546875" customWidth="1"/>
    <col min="6401" max="6401" width="15.85546875" customWidth="1"/>
    <col min="6655" max="6655" width="50.140625" customWidth="1"/>
    <col min="6656" max="6656" width="14.85546875" customWidth="1"/>
    <col min="6657" max="6657" width="15.85546875" customWidth="1"/>
    <col min="6911" max="6911" width="50.140625" customWidth="1"/>
    <col min="6912" max="6912" width="14.85546875" customWidth="1"/>
    <col min="6913" max="6913" width="15.85546875" customWidth="1"/>
    <col min="7167" max="7167" width="50.140625" customWidth="1"/>
    <col min="7168" max="7168" width="14.85546875" customWidth="1"/>
    <col min="7169" max="7169" width="15.85546875" customWidth="1"/>
    <col min="7423" max="7423" width="50.140625" customWidth="1"/>
    <col min="7424" max="7424" width="14.85546875" customWidth="1"/>
    <col min="7425" max="7425" width="15.85546875" customWidth="1"/>
    <col min="7679" max="7679" width="50.140625" customWidth="1"/>
    <col min="7680" max="7680" width="14.85546875" customWidth="1"/>
    <col min="7681" max="7681" width="15.85546875" customWidth="1"/>
    <col min="7935" max="7935" width="50.140625" customWidth="1"/>
    <col min="7936" max="7936" width="14.85546875" customWidth="1"/>
    <col min="7937" max="7937" width="15.85546875" customWidth="1"/>
    <col min="8191" max="8191" width="50.140625" customWidth="1"/>
    <col min="8192" max="8192" width="14.85546875" customWidth="1"/>
    <col min="8193" max="8193" width="15.85546875" customWidth="1"/>
    <col min="8447" max="8447" width="50.140625" customWidth="1"/>
    <col min="8448" max="8448" width="14.85546875" customWidth="1"/>
    <col min="8449" max="8449" width="15.85546875" customWidth="1"/>
    <col min="8703" max="8703" width="50.140625" customWidth="1"/>
    <col min="8704" max="8704" width="14.85546875" customWidth="1"/>
    <col min="8705" max="8705" width="15.85546875" customWidth="1"/>
    <col min="8959" max="8959" width="50.140625" customWidth="1"/>
    <col min="8960" max="8960" width="14.85546875" customWidth="1"/>
    <col min="8961" max="8961" width="15.85546875" customWidth="1"/>
    <col min="9215" max="9215" width="50.140625" customWidth="1"/>
    <col min="9216" max="9216" width="14.85546875" customWidth="1"/>
    <col min="9217" max="9217" width="15.85546875" customWidth="1"/>
    <col min="9471" max="9471" width="50.140625" customWidth="1"/>
    <col min="9472" max="9472" width="14.85546875" customWidth="1"/>
    <col min="9473" max="9473" width="15.85546875" customWidth="1"/>
    <col min="9727" max="9727" width="50.140625" customWidth="1"/>
    <col min="9728" max="9728" width="14.85546875" customWidth="1"/>
    <col min="9729" max="9729" width="15.85546875" customWidth="1"/>
    <col min="9983" max="9983" width="50.140625" customWidth="1"/>
    <col min="9984" max="9984" width="14.85546875" customWidth="1"/>
    <col min="9985" max="9985" width="15.85546875" customWidth="1"/>
    <col min="10239" max="10239" width="50.140625" customWidth="1"/>
    <col min="10240" max="10240" width="14.85546875" customWidth="1"/>
    <col min="10241" max="10241" width="15.85546875" customWidth="1"/>
    <col min="10495" max="10495" width="50.140625" customWidth="1"/>
    <col min="10496" max="10496" width="14.85546875" customWidth="1"/>
    <col min="10497" max="10497" width="15.85546875" customWidth="1"/>
    <col min="10751" max="10751" width="50.140625" customWidth="1"/>
    <col min="10752" max="10752" width="14.85546875" customWidth="1"/>
    <col min="10753" max="10753" width="15.85546875" customWidth="1"/>
    <col min="11007" max="11007" width="50.140625" customWidth="1"/>
    <col min="11008" max="11008" width="14.85546875" customWidth="1"/>
    <col min="11009" max="11009" width="15.85546875" customWidth="1"/>
    <col min="11263" max="11263" width="50.140625" customWidth="1"/>
    <col min="11264" max="11264" width="14.85546875" customWidth="1"/>
    <col min="11265" max="11265" width="15.85546875" customWidth="1"/>
    <col min="11519" max="11519" width="50.140625" customWidth="1"/>
    <col min="11520" max="11520" width="14.85546875" customWidth="1"/>
    <col min="11521" max="11521" width="15.85546875" customWidth="1"/>
    <col min="11775" max="11775" width="50.140625" customWidth="1"/>
    <col min="11776" max="11776" width="14.85546875" customWidth="1"/>
    <col min="11777" max="11777" width="15.85546875" customWidth="1"/>
    <col min="12031" max="12031" width="50.140625" customWidth="1"/>
    <col min="12032" max="12032" width="14.85546875" customWidth="1"/>
    <col min="12033" max="12033" width="15.85546875" customWidth="1"/>
    <col min="12287" max="12287" width="50.140625" customWidth="1"/>
    <col min="12288" max="12288" width="14.85546875" customWidth="1"/>
    <col min="12289" max="12289" width="15.85546875" customWidth="1"/>
    <col min="12543" max="12543" width="50.140625" customWidth="1"/>
    <col min="12544" max="12544" width="14.85546875" customWidth="1"/>
    <col min="12545" max="12545" width="15.85546875" customWidth="1"/>
    <col min="12799" max="12799" width="50.140625" customWidth="1"/>
    <col min="12800" max="12800" width="14.85546875" customWidth="1"/>
    <col min="12801" max="12801" width="15.85546875" customWidth="1"/>
    <col min="13055" max="13055" width="50.140625" customWidth="1"/>
    <col min="13056" max="13056" width="14.85546875" customWidth="1"/>
    <col min="13057" max="13057" width="15.85546875" customWidth="1"/>
    <col min="13311" max="13311" width="50.140625" customWidth="1"/>
    <col min="13312" max="13312" width="14.85546875" customWidth="1"/>
    <col min="13313" max="13313" width="15.85546875" customWidth="1"/>
    <col min="13567" max="13567" width="50.140625" customWidth="1"/>
    <col min="13568" max="13568" width="14.85546875" customWidth="1"/>
    <col min="13569" max="13569" width="15.85546875" customWidth="1"/>
    <col min="13823" max="13823" width="50.140625" customWidth="1"/>
    <col min="13824" max="13824" width="14.85546875" customWidth="1"/>
    <col min="13825" max="13825" width="15.85546875" customWidth="1"/>
    <col min="14079" max="14079" width="50.140625" customWidth="1"/>
    <col min="14080" max="14080" width="14.85546875" customWidth="1"/>
    <col min="14081" max="14081" width="15.85546875" customWidth="1"/>
    <col min="14335" max="14335" width="50.140625" customWidth="1"/>
    <col min="14336" max="14336" width="14.85546875" customWidth="1"/>
    <col min="14337" max="14337" width="15.85546875" customWidth="1"/>
    <col min="14591" max="14591" width="50.140625" customWidth="1"/>
    <col min="14592" max="14592" width="14.85546875" customWidth="1"/>
    <col min="14593" max="14593" width="15.85546875" customWidth="1"/>
    <col min="14847" max="14847" width="50.140625" customWidth="1"/>
    <col min="14848" max="14848" width="14.85546875" customWidth="1"/>
    <col min="14849" max="14849" width="15.85546875" customWidth="1"/>
    <col min="15103" max="15103" width="50.140625" customWidth="1"/>
    <col min="15104" max="15104" width="14.85546875" customWidth="1"/>
    <col min="15105" max="15105" width="15.85546875" customWidth="1"/>
    <col min="15359" max="15359" width="50.140625" customWidth="1"/>
    <col min="15360" max="15360" width="14.85546875" customWidth="1"/>
    <col min="15361" max="15361" width="15.85546875" customWidth="1"/>
    <col min="15615" max="15615" width="50.140625" customWidth="1"/>
    <col min="15616" max="15616" width="14.85546875" customWidth="1"/>
    <col min="15617" max="15617" width="15.85546875" customWidth="1"/>
    <col min="15871" max="15871" width="50.140625" customWidth="1"/>
    <col min="15872" max="15872" width="14.85546875" customWidth="1"/>
    <col min="15873" max="15873" width="15.85546875" customWidth="1"/>
    <col min="16127" max="16127" width="50.140625" customWidth="1"/>
    <col min="16128" max="16128" width="14.85546875" customWidth="1"/>
    <col min="16129" max="16129" width="15.85546875" customWidth="1"/>
  </cols>
  <sheetData>
    <row r="1" spans="1:14" x14ac:dyDescent="0.25">
      <c r="A1" s="18" t="s">
        <v>103</v>
      </c>
    </row>
    <row r="3" spans="1:14" x14ac:dyDescent="0.25">
      <c r="A3" s="62" t="s">
        <v>149</v>
      </c>
    </row>
    <row r="5" spans="1:14" ht="45" x14ac:dyDescent="0.25">
      <c r="A5" t="s">
        <v>72</v>
      </c>
      <c r="B5" s="37" t="s">
        <v>73</v>
      </c>
      <c r="C5" s="37" t="s">
        <v>104</v>
      </c>
      <c r="D5" s="37" t="s">
        <v>102</v>
      </c>
      <c r="F5" s="37" t="s">
        <v>147</v>
      </c>
      <c r="G5" s="37" t="s">
        <v>148</v>
      </c>
      <c r="I5" s="37" t="s">
        <v>99</v>
      </c>
      <c r="J5" s="37" t="s">
        <v>100</v>
      </c>
      <c r="K5" s="37" t="s">
        <v>101</v>
      </c>
      <c r="M5" s="37" t="s">
        <v>99</v>
      </c>
      <c r="N5" s="37" t="s">
        <v>100</v>
      </c>
    </row>
    <row r="6" spans="1:14" x14ac:dyDescent="0.25">
      <c r="A6" s="9" t="s">
        <v>46</v>
      </c>
      <c r="B6" s="10">
        <f>'Rebalanced Strategy'!I32</f>
        <v>204547.68455585343</v>
      </c>
      <c r="C6" s="10">
        <f>'Non-Rebalanced Strategy'!I32</f>
        <v>196202.1455935422</v>
      </c>
      <c r="D6" s="10">
        <f>'Panic Portfolio'!I32</f>
        <v>177190.55464118358</v>
      </c>
      <c r="E6" s="38"/>
      <c r="F6" s="10">
        <f>'60-40 Portfolio'!I32</f>
        <v>210623.44443030283</v>
      </c>
      <c r="G6" s="10">
        <f>'SP500 Only'!I32</f>
        <v>235488.63753527708</v>
      </c>
      <c r="H6" s="38"/>
      <c r="I6" s="6">
        <f>(B6-D6)/D6</f>
        <v>0.15439383871261586</v>
      </c>
      <c r="J6" s="6">
        <f>(C6-D6)/D6</f>
        <v>0.10729460715813934</v>
      </c>
      <c r="K6" s="6">
        <f>(B6-C6)/C6</f>
        <v>4.2535411307886906E-2</v>
      </c>
      <c r="M6" s="2">
        <f>B6-D6</f>
        <v>27357.129914669844</v>
      </c>
      <c r="N6" s="2">
        <f>C6-D6</f>
        <v>19011.590952358616</v>
      </c>
    </row>
    <row r="7" spans="1:14" x14ac:dyDescent="0.25">
      <c r="A7" s="11" t="s">
        <v>74</v>
      </c>
      <c r="B7" s="39">
        <f>'Rebalanced Strategy'!I33</f>
        <v>1.0454768455585342</v>
      </c>
      <c r="C7" s="39">
        <f>'Non-Rebalanced Strategy'!I33</f>
        <v>0.96202145593542199</v>
      </c>
      <c r="D7" s="39">
        <f>'Panic Portfolio'!I33</f>
        <v>0.77190554641183584</v>
      </c>
      <c r="F7" s="39">
        <f>'60-40 Portfolio'!I33</f>
        <v>1.1062344443030283</v>
      </c>
      <c r="G7" s="39">
        <f>'SP500 Only'!I33</f>
        <v>1.3548863753527709</v>
      </c>
      <c r="I7" s="6">
        <f>(B7-D7)/D7</f>
        <v>0.35441032962955216</v>
      </c>
      <c r="J7" s="6">
        <f>(C7-D7)/D7</f>
        <v>0.24629426541541308</v>
      </c>
      <c r="K7" s="6">
        <f t="shared" ref="K7:K11" si="0">(B7-C7)/C7</f>
        <v>8.6750029438755372E-2</v>
      </c>
    </row>
    <row r="8" spans="1:14" x14ac:dyDescent="0.25">
      <c r="A8" s="1" t="s">
        <v>48</v>
      </c>
      <c r="B8" s="39">
        <f>'Rebalanced Strategy'!I34</f>
        <v>0.14127596122862054</v>
      </c>
      <c r="C8" s="39">
        <f>'Non-Rebalanced Strategy'!I34</f>
        <v>0.13418064007969421</v>
      </c>
      <c r="D8" s="39">
        <f>'Panic Portfolio'!I34</f>
        <v>0.12943753696654423</v>
      </c>
      <c r="F8" s="39">
        <f>'60-40 Portfolio'!I34</f>
        <v>0.1069610648617694</v>
      </c>
      <c r="G8" s="39">
        <f>'SP500 Only'!I34</f>
        <v>0.1829339503258437</v>
      </c>
      <c r="I8" s="6">
        <f>(B8-D8)/D8</f>
        <v>9.1460518637157026E-2</v>
      </c>
      <c r="J8" s="6">
        <f>(C8-D8)/D8</f>
        <v>3.6643953711634203E-2</v>
      </c>
      <c r="K8" s="6">
        <f t="shared" si="0"/>
        <v>5.2878873917371325E-2</v>
      </c>
    </row>
    <row r="9" spans="1:14" x14ac:dyDescent="0.25">
      <c r="A9" s="1" t="s">
        <v>75</v>
      </c>
      <c r="B9" s="39">
        <f>'Rebalanced Strategy'!I35</f>
        <v>6.7220236307690584E-2</v>
      </c>
      <c r="C9" s="39">
        <f>'Non-Rebalanced Strategy'!I35</f>
        <v>6.3186447596252027E-2</v>
      </c>
      <c r="D9" s="39">
        <f>'Panic Portfolio'!I35</f>
        <v>5.3381061823676745E-2</v>
      </c>
      <c r="F9" s="39">
        <f>'60-40 Portfolio'!I35</f>
        <v>7.0063870827329122E-2</v>
      </c>
      <c r="G9" s="39">
        <f>'SP500 Only'!I35</f>
        <v>8.0974503718597157E-2</v>
      </c>
      <c r="I9" s="6">
        <f>(B9-D9)/D9</f>
        <v>0.25925251411682454</v>
      </c>
      <c r="J9" s="6">
        <f>(C9-D9)/D9</f>
        <v>0.18368660040827775</v>
      </c>
      <c r="K9" s="6">
        <f t="shared" si="0"/>
        <v>6.3839460278153473E-2</v>
      </c>
    </row>
    <row r="10" spans="1:14" x14ac:dyDescent="0.25">
      <c r="A10" s="1" t="s">
        <v>50</v>
      </c>
      <c r="B10" s="2">
        <f>'Rebalanced Strategy'!I36</f>
        <v>-28889.650571999999</v>
      </c>
      <c r="C10" s="2">
        <f>'Non-Rebalanced Strategy'!I36</f>
        <v>-28889.650571999999</v>
      </c>
      <c r="D10" s="40">
        <f>'Panic Portfolio'!I36</f>
        <v>-28889.650571999999</v>
      </c>
      <c r="F10" s="40">
        <f>'60-40 Portfolio'!I36</f>
        <v>-21403.923840000003</v>
      </c>
      <c r="G10" s="40">
        <f>'SP500 Only'!I36</f>
        <v>-39015.378000000012</v>
      </c>
      <c r="I10" s="2">
        <f>B10-D10</f>
        <v>0</v>
      </c>
      <c r="J10" s="2">
        <f>C10-D10</f>
        <v>0</v>
      </c>
      <c r="K10" s="2">
        <f>B10-C10</f>
        <v>0</v>
      </c>
    </row>
    <row r="11" spans="1:14" x14ac:dyDescent="0.25">
      <c r="A11" s="1" t="s">
        <v>76</v>
      </c>
      <c r="B11" s="6">
        <f>'Rebalanced Strategy'!I37</f>
        <v>-0.26854558425405889</v>
      </c>
      <c r="C11" s="6">
        <f>'Non-Rebalanced Strategy'!I37</f>
        <v>-0.26854558425405889</v>
      </c>
      <c r="D11" s="12">
        <f>'Panic Portfolio'!I37</f>
        <v>-0.26854558425405889</v>
      </c>
      <c r="F11" s="12">
        <f>'60-40 Portfolio'!I37</f>
        <v>-0.20192000000000002</v>
      </c>
      <c r="G11" s="12">
        <f>'SP500 Only'!I37</f>
        <v>-0.37020000000000008</v>
      </c>
      <c r="I11" s="6">
        <f>(B11-D11)/D11</f>
        <v>0</v>
      </c>
      <c r="J11" s="6">
        <f>(C11-D11)/D11</f>
        <v>0</v>
      </c>
      <c r="K11" s="6">
        <f t="shared" si="0"/>
        <v>0</v>
      </c>
    </row>
    <row r="12" spans="1:14" x14ac:dyDescent="0.25">
      <c r="A12" s="1" t="s">
        <v>95</v>
      </c>
      <c r="B12" s="6">
        <f>SUM('Rebalanced Strategy'!P31:U31)</f>
        <v>0.74693129618923715</v>
      </c>
      <c r="C12" s="6">
        <f>SUM('Non-Rebalanced Strategy'!P31:U31)</f>
        <v>0.76176878620851651</v>
      </c>
      <c r="D12" s="12">
        <f>SUM('Panic Portfolio'!P31:U31)</f>
        <v>0.8151930154187278</v>
      </c>
      <c r="F12" s="12">
        <f>'60-40 Portfolio'!P31</f>
        <v>0.63820747294249291</v>
      </c>
      <c r="G12" s="12">
        <f>'SP500 Only'!P31</f>
        <v>1</v>
      </c>
      <c r="I12" s="6">
        <f>B12-D12</f>
        <v>-6.8261719229490647E-2</v>
      </c>
      <c r="J12" s="6">
        <f>(C12-D12)/D12</f>
        <v>-6.5535680752575723E-2</v>
      </c>
    </row>
    <row r="13" spans="1:14" x14ac:dyDescent="0.25">
      <c r="A13" s="1" t="s">
        <v>96</v>
      </c>
      <c r="B13" s="6">
        <f>'Rebalanced Strategy'!V31</f>
        <v>0.25306870381076302</v>
      </c>
      <c r="C13" s="6">
        <f>'Non-Rebalanced Strategy'!V31</f>
        <v>0.23823121379148343</v>
      </c>
      <c r="D13" s="12">
        <f>'Panic Portfolio'!V31</f>
        <v>0.1848069845812722</v>
      </c>
      <c r="F13" s="12">
        <f>'60-40 Portfolio'!V31</f>
        <v>0.36179252705750703</v>
      </c>
      <c r="G13" s="12">
        <f>'SP500 Only'!V31</f>
        <v>0</v>
      </c>
      <c r="I13" s="7">
        <f>B13-D13</f>
        <v>6.8261719229490814E-2</v>
      </c>
      <c r="J13" s="6">
        <f>(C13-D13)/D13</f>
        <v>0.2890812234789587</v>
      </c>
    </row>
    <row r="14" spans="1:14" hidden="1" x14ac:dyDescent="0.25">
      <c r="A14" s="3" t="s">
        <v>97</v>
      </c>
      <c r="B14" s="59">
        <f>SUM(B12:B13)</f>
        <v>1.0000000000000002</v>
      </c>
      <c r="C14" s="59">
        <f>SUM(C12:C13)</f>
        <v>1</v>
      </c>
      <c r="D14" s="59">
        <f>SUM(D12:D13)</f>
        <v>1</v>
      </c>
    </row>
    <row r="15" spans="1:14" x14ac:dyDescent="0.25">
      <c r="B15" s="6"/>
      <c r="C15" s="6"/>
    </row>
    <row r="16" spans="1:14" x14ac:dyDescent="0.25">
      <c r="A16" s="62" t="s">
        <v>150</v>
      </c>
    </row>
    <row r="18" spans="1:14" ht="45" x14ac:dyDescent="0.25">
      <c r="A18" t="s">
        <v>72</v>
      </c>
      <c r="B18" s="37" t="s">
        <v>73</v>
      </c>
      <c r="C18" s="37" t="s">
        <v>104</v>
      </c>
      <c r="D18" s="37" t="s">
        <v>102</v>
      </c>
      <c r="F18" s="37" t="s">
        <v>147</v>
      </c>
      <c r="G18" s="37" t="s">
        <v>148</v>
      </c>
      <c r="I18" s="37" t="s">
        <v>99</v>
      </c>
      <c r="J18" s="37" t="s">
        <v>100</v>
      </c>
      <c r="K18" s="37" t="s">
        <v>101</v>
      </c>
      <c r="M18" s="37" t="s">
        <v>99</v>
      </c>
      <c r="N18" s="37" t="s">
        <v>100</v>
      </c>
    </row>
    <row r="19" spans="1:14" x14ac:dyDescent="0.25">
      <c r="A19" s="9" t="s">
        <v>46</v>
      </c>
      <c r="B19" s="10">
        <f>'4.5% Withdrawals-Rebalanced'!I32</f>
        <v>113047.16677155909</v>
      </c>
      <c r="C19" s="10">
        <f>'4.5% Withdrawals-No Rebalancing'!I32</f>
        <v>98633.202627253399</v>
      </c>
      <c r="D19" s="10">
        <f>'4.5% Withdrawals-Panic'!I32</f>
        <v>85857.019329350878</v>
      </c>
      <c r="F19" s="10">
        <f>'4.5% 60-40 Portfolio'!I32</f>
        <v>119402.43574972436</v>
      </c>
      <c r="G19" s="10">
        <f>'4.5% SP500'!I32</f>
        <v>124502.42395445847</v>
      </c>
      <c r="I19" s="6">
        <f>(B19-D19)/D19</f>
        <v>0.31669102485267681</v>
      </c>
      <c r="J19" s="6">
        <f>(C19-D19)/D19</f>
        <v>0.14880767347504323</v>
      </c>
      <c r="K19" s="6">
        <f>(B19-C19)/C19</f>
        <v>0.14613703864790617</v>
      </c>
      <c r="M19" s="2">
        <f>B19-D19</f>
        <v>27190.14744220821</v>
      </c>
      <c r="N19" s="2">
        <f>C19-D19</f>
        <v>12776.18329790252</v>
      </c>
    </row>
    <row r="20" spans="1:14" x14ac:dyDescent="0.25">
      <c r="A20" s="11" t="s">
        <v>74</v>
      </c>
      <c r="B20" s="39">
        <f>'4.5% Withdrawals-Rebalanced'!I33</f>
        <v>0.13047166771559088</v>
      </c>
      <c r="C20" s="39">
        <f>'4.5% Withdrawals-No Rebalancing'!I33</f>
        <v>-1.3667973727466014E-2</v>
      </c>
      <c r="D20" s="39">
        <f>'4.5% Withdrawals-Panic'!I33</f>
        <v>-0.14142980670649122</v>
      </c>
      <c r="F20" s="39">
        <f>'4.5% 60-40 Portfolio'!I33</f>
        <v>0.19402435749724362</v>
      </c>
      <c r="G20" s="39">
        <f>'4.5% SP500'!I33</f>
        <v>0.24502423954458472</v>
      </c>
      <c r="I20" s="6">
        <f>(B20-D20)/D20</f>
        <v>-1.9225188858976403</v>
      </c>
      <c r="J20" s="6">
        <f>(C20-D20)/D20</f>
        <v>-0.90335860561677006</v>
      </c>
      <c r="K20" s="6">
        <f t="shared" ref="K20:K22" si="1">(B20-C20)/C20</f>
        <v>-10.5457944474539</v>
      </c>
    </row>
    <row r="21" spans="1:14" x14ac:dyDescent="0.25">
      <c r="A21" s="1" t="s">
        <v>48</v>
      </c>
      <c r="B21" s="39">
        <f>'4.5% Withdrawals-Rebalanced'!I34</f>
        <v>0.13541319897759535</v>
      </c>
      <c r="C21" s="39">
        <f>'4.5% Withdrawals-No Rebalancing'!I34</f>
        <v>0.1421499420252732</v>
      </c>
      <c r="D21" s="39">
        <f>'4.5% Withdrawals-Panic'!I34</f>
        <v>0.12077118414491278</v>
      </c>
      <c r="F21" s="39">
        <f>'4.5% 60-40 Portfolio'!I34</f>
        <v>0.10356319219497963</v>
      </c>
      <c r="G21" s="39">
        <f>'4.5% SP500'!I34</f>
        <v>0.17642392132787477</v>
      </c>
      <c r="I21" s="6">
        <f>(B21-D21)/D21</f>
        <v>0.12123765231210853</v>
      </c>
      <c r="J21" s="6">
        <f>(C21-D21)/D21</f>
        <v>0.1770186988868814</v>
      </c>
      <c r="K21" s="6">
        <f t="shared" si="1"/>
        <v>-4.739181002606465E-2</v>
      </c>
    </row>
    <row r="22" spans="1:14" x14ac:dyDescent="0.25">
      <c r="A22" s="1" t="s">
        <v>75</v>
      </c>
      <c r="B22" s="39">
        <f>'4.5% Withdrawals-Rebalanced'!I35</f>
        <v>1.1211009470333932E-2</v>
      </c>
      <c r="C22" s="39">
        <f>'4.5% Withdrawals-No Rebalancing'!I35</f>
        <v>-1.2503304503845847E-3</v>
      </c>
      <c r="D22" s="39">
        <f>'4.5% Withdrawals-Panic'!I35</f>
        <v>-1.3766798763129917E-2</v>
      </c>
      <c r="F22" s="39">
        <f>'4.5% 60-40 Portfolio'!I35</f>
        <v>1.6251497953378324E-2</v>
      </c>
      <c r="G22" s="39">
        <f>'4.5% SP500'!I35</f>
        <v>2.0122972954369267E-2</v>
      </c>
      <c r="I22" s="6">
        <f>(B22-D22)/D22</f>
        <v>-1.8143512274152747</v>
      </c>
      <c r="J22" s="6">
        <f>(C22-D22)/D22</f>
        <v>-0.90917783633670846</v>
      </c>
      <c r="K22" s="6">
        <f t="shared" si="1"/>
        <v>-9.9664372061686404</v>
      </c>
    </row>
    <row r="23" spans="1:14" x14ac:dyDescent="0.25">
      <c r="A23" s="1" t="s">
        <v>50</v>
      </c>
      <c r="B23" s="2">
        <f>'4.5% Withdrawals-Rebalanced'!I36</f>
        <v>-32239.974591329999</v>
      </c>
      <c r="C23" s="2">
        <f>'4.5% Withdrawals-No Rebalancing'!I36</f>
        <v>-32239.974591329999</v>
      </c>
      <c r="D23" s="40">
        <f>'4.5% Withdrawals-Panic'!I36</f>
        <v>-32239.974591329999</v>
      </c>
      <c r="F23" s="40">
        <f>'4.5% 60-40 Portfolio'!I36</f>
        <v>-25210.837267200011</v>
      </c>
      <c r="G23" s="40">
        <f>'4.5% SP500'!I36</f>
        <v>-42002.235990000008</v>
      </c>
      <c r="I23" s="2">
        <f>B23-D23</f>
        <v>0</v>
      </c>
      <c r="J23" s="2">
        <f>C23-D23</f>
        <v>0</v>
      </c>
      <c r="K23" s="2">
        <f>B23-C23</f>
        <v>0</v>
      </c>
    </row>
    <row r="24" spans="1:14" x14ac:dyDescent="0.25">
      <c r="A24" s="1" t="s">
        <v>76</v>
      </c>
      <c r="B24" s="6">
        <f>'4.5% Withdrawals-Rebalanced'!I37</f>
        <v>-0.31381019293618734</v>
      </c>
      <c r="C24" s="39">
        <f>'4.5% Withdrawals-No Rebalancing'!I37</f>
        <v>-0.2996887342540589</v>
      </c>
      <c r="D24" s="39">
        <f>'4.5% Withdrawals-Panic'!I37</f>
        <v>-0.31381019293618734</v>
      </c>
      <c r="F24" s="39">
        <f>'4.5% 60-40 Portfolio'!I37</f>
        <v>-0.24904041884816763</v>
      </c>
      <c r="G24" s="39">
        <f>'4.5% SP500'!I37</f>
        <v>-0.41732041884816762</v>
      </c>
      <c r="I24" s="6">
        <f>(B24-D24)/D24</f>
        <v>0</v>
      </c>
      <c r="J24" s="6">
        <f>(C24-D24)/D24</f>
        <v>-4.5000000000000033E-2</v>
      </c>
      <c r="K24" s="6">
        <f t="shared" ref="K24" si="2">(B24-C24)/C24</f>
        <v>4.7120418848167575E-2</v>
      </c>
    </row>
    <row r="25" spans="1:14" x14ac:dyDescent="0.25">
      <c r="A25" s="1" t="s">
        <v>79</v>
      </c>
      <c r="B25" s="2">
        <f>'4.5% Withdrawals-Rebalanced'!I38</f>
        <v>57611.670605672363</v>
      </c>
      <c r="C25" s="2">
        <f>'4.5% Withdrawals-No Rebalancing'!I38</f>
        <v>57611.670605672363</v>
      </c>
      <c r="D25" s="40">
        <f>'4.5% Withdrawals-Panic'!I38</f>
        <v>57611.670605672363</v>
      </c>
      <c r="F25" s="40">
        <f>'4.5% 60-40 Portfolio'!I38</f>
        <v>56767.563572754363</v>
      </c>
      <c r="G25" s="40">
        <f>'4.5% SP500'!I38</f>
        <v>56439.817408469477</v>
      </c>
      <c r="I25" s="2">
        <f>B25-D25</f>
        <v>0</v>
      </c>
      <c r="J25" s="2">
        <f>C25-D25</f>
        <v>0</v>
      </c>
    </row>
    <row r="26" spans="1:14" x14ac:dyDescent="0.25">
      <c r="A26" s="1" t="s">
        <v>95</v>
      </c>
      <c r="B26" s="6">
        <f>SUM('4.5% Withdrawals-Rebalanced'!AH31:AM31)</f>
        <v>0.73013992226438773</v>
      </c>
      <c r="C26" s="6">
        <f>SUM('4.5% Withdrawals-No Rebalancing'!AH31:AM31)</f>
        <v>0.66239525374712649</v>
      </c>
      <c r="D26" s="12">
        <f>SUM('4.5% Withdrawals-Panic'!AH31:AM31)</f>
        <v>0.79038346289329642</v>
      </c>
      <c r="F26" s="12">
        <f>'4.5% 60-40 Portfolio'!AH31</f>
        <v>0.63999248131388553</v>
      </c>
      <c r="G26" s="12">
        <f>'4.5% SP500'!AH31</f>
        <v>1</v>
      </c>
    </row>
    <row r="27" spans="1:14" x14ac:dyDescent="0.25">
      <c r="A27" s="1" t="s">
        <v>96</v>
      </c>
      <c r="B27" s="6">
        <f>'4.5% Withdrawals-Rebalanced'!AN31</f>
        <v>0.26986007773561221</v>
      </c>
      <c r="C27" s="6">
        <f>'4.5% Withdrawals-No Rebalancing'!AN31</f>
        <v>0.33760474625287373</v>
      </c>
      <c r="D27" s="12">
        <f>'4.5% Withdrawals-Panic'!AN31</f>
        <v>0.20961653710670361</v>
      </c>
      <c r="F27" s="12">
        <f>'4.5% 60-40 Portfolio'!AN31</f>
        <v>0.36000751868611436</v>
      </c>
      <c r="G27" s="12">
        <f>'4.5% SP500'!AN31</f>
        <v>0</v>
      </c>
    </row>
    <row r="28" spans="1:14" x14ac:dyDescent="0.25">
      <c r="A28" s="3" t="s">
        <v>97</v>
      </c>
      <c r="B28" s="59">
        <f>SUM(B26:B27)</f>
        <v>1</v>
      </c>
      <c r="C28" s="59">
        <f>SUM(C26:C27)</f>
        <v>1.0000000000000002</v>
      </c>
      <c r="D28" s="59">
        <f>SUM(D26:D27)</f>
        <v>1</v>
      </c>
      <c r="F28" s="59">
        <f>SUM(F26:F27)</f>
        <v>0.99999999999999989</v>
      </c>
      <c r="G28" s="59">
        <f>SUM(G26:G27)</f>
        <v>1</v>
      </c>
    </row>
    <row r="30" spans="1:14" x14ac:dyDescent="0.25">
      <c r="I30" s="6">
        <f>B30-D30</f>
        <v>0</v>
      </c>
      <c r="J30" s="6" t="e">
        <f>(C30-D30)/D30</f>
        <v>#DIV/0!</v>
      </c>
    </row>
    <row r="31" spans="1:14" x14ac:dyDescent="0.25">
      <c r="I31" s="7">
        <f>B31-D31</f>
        <v>0</v>
      </c>
      <c r="J31" s="6" t="e">
        <f>(C31-D31)/D31</f>
        <v>#DIV/0!</v>
      </c>
    </row>
  </sheetData>
  <phoneticPr fontId="10" type="noConversion"/>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40"/>
  <sheetViews>
    <sheetView workbookViewId="0">
      <selection activeCell="J31" sqref="J31"/>
    </sheetView>
  </sheetViews>
  <sheetFormatPr defaultColWidth="8.85546875" defaultRowHeight="15" x14ac:dyDescent="0.25"/>
  <cols>
    <col min="1" max="1" width="25.42578125" customWidth="1"/>
    <col min="9" max="9" width="11.7109375" customWidth="1"/>
    <col min="10" max="10" width="10" bestFit="1" customWidth="1"/>
  </cols>
  <sheetData>
    <row r="1" spans="1:17" x14ac:dyDescent="0.25">
      <c r="A1" s="18" t="s">
        <v>19</v>
      </c>
      <c r="J1" s="18" t="s">
        <v>98</v>
      </c>
    </row>
    <row r="2" spans="1:17" x14ac:dyDescent="0.25">
      <c r="A2" s="14"/>
      <c r="B2" s="14" t="s">
        <v>20</v>
      </c>
      <c r="C2" s="14" t="s">
        <v>21</v>
      </c>
      <c r="D2" s="14" t="s">
        <v>22</v>
      </c>
      <c r="E2" s="14" t="s">
        <v>23</v>
      </c>
      <c r="F2" s="14" t="s">
        <v>28</v>
      </c>
      <c r="G2" s="14" t="s">
        <v>30</v>
      </c>
      <c r="H2" s="14" t="s">
        <v>31</v>
      </c>
      <c r="J2" s="16"/>
      <c r="K2" s="16" t="s">
        <v>20</v>
      </c>
      <c r="L2" s="16" t="s">
        <v>21</v>
      </c>
      <c r="M2" s="16" t="s">
        <v>22</v>
      </c>
      <c r="N2" s="16" t="s">
        <v>23</v>
      </c>
      <c r="O2" s="16" t="s">
        <v>28</v>
      </c>
      <c r="P2" s="16" t="s">
        <v>30</v>
      </c>
      <c r="Q2" s="16" t="s">
        <v>31</v>
      </c>
    </row>
    <row r="3" spans="1:17" x14ac:dyDescent="0.25">
      <c r="A3" s="14" t="s">
        <v>18</v>
      </c>
      <c r="B3" s="14" t="s">
        <v>24</v>
      </c>
      <c r="C3" s="14" t="s">
        <v>25</v>
      </c>
      <c r="D3" s="14" t="s">
        <v>26</v>
      </c>
      <c r="E3" s="14" t="s">
        <v>27</v>
      </c>
      <c r="F3" s="14" t="s">
        <v>29</v>
      </c>
      <c r="G3" s="14" t="s">
        <v>32</v>
      </c>
      <c r="H3" s="14" t="s">
        <v>33</v>
      </c>
      <c r="J3" s="16" t="s">
        <v>18</v>
      </c>
      <c r="K3" s="16" t="s">
        <v>24</v>
      </c>
      <c r="L3" s="16" t="s">
        <v>25</v>
      </c>
      <c r="M3" s="16" t="s">
        <v>26</v>
      </c>
      <c r="N3" s="16" t="s">
        <v>27</v>
      </c>
      <c r="O3" s="16" t="s">
        <v>29</v>
      </c>
      <c r="P3" s="16" t="s">
        <v>32</v>
      </c>
      <c r="Q3" s="16" t="s">
        <v>33</v>
      </c>
    </row>
    <row r="4" spans="1:17" x14ac:dyDescent="0.25">
      <c r="A4" s="14">
        <v>2007</v>
      </c>
      <c r="B4" s="14">
        <v>5.39</v>
      </c>
      <c r="C4" s="14"/>
      <c r="D4" s="14">
        <v>6.0209999999999999</v>
      </c>
      <c r="E4" s="14">
        <v>1.1559999999999999</v>
      </c>
      <c r="F4" s="14"/>
      <c r="G4" s="14">
        <v>15.522</v>
      </c>
      <c r="H4" s="14">
        <v>6.92</v>
      </c>
      <c r="J4" s="16">
        <f>A4</f>
        <v>2007</v>
      </c>
      <c r="K4" s="60">
        <f>(B4/100)+1</f>
        <v>1.0539000000000001</v>
      </c>
      <c r="L4" s="16"/>
      <c r="M4" s="60">
        <f t="shared" ref="M4:N11" si="0">(D4/100)+1</f>
        <v>1.0602100000000001</v>
      </c>
      <c r="N4" s="60">
        <f t="shared" si="0"/>
        <v>1.01156</v>
      </c>
      <c r="O4" s="16"/>
      <c r="P4" s="60">
        <f t="shared" ref="P4:Q11" si="1">(G4/100)+1</f>
        <v>1.1552199999999999</v>
      </c>
      <c r="Q4" s="60">
        <f t="shared" si="1"/>
        <v>1.0691999999999999</v>
      </c>
    </row>
    <row r="5" spans="1:17" x14ac:dyDescent="0.25">
      <c r="A5" s="14">
        <v>2008</v>
      </c>
      <c r="B5" s="14">
        <v>-37.020000000000003</v>
      </c>
      <c r="C5" s="14"/>
      <c r="D5" s="14">
        <v>-41.823999999999998</v>
      </c>
      <c r="E5" s="14">
        <v>-36.07</v>
      </c>
      <c r="F5" s="14"/>
      <c r="G5" s="14">
        <v>-44.100999999999999</v>
      </c>
      <c r="H5" s="14">
        <v>5.05</v>
      </c>
      <c r="J5" s="16">
        <f t="shared" ref="J5:J11" si="2">A5</f>
        <v>2008</v>
      </c>
      <c r="K5" s="60">
        <f t="shared" ref="K5:K11" si="3">(B5/100)+1</f>
        <v>0.62979999999999992</v>
      </c>
      <c r="L5" s="16"/>
      <c r="M5" s="60">
        <f t="shared" si="0"/>
        <v>0.58176000000000005</v>
      </c>
      <c r="N5" s="60">
        <f t="shared" si="0"/>
        <v>0.63929999999999998</v>
      </c>
      <c r="O5" s="16"/>
      <c r="P5" s="60">
        <f t="shared" si="1"/>
        <v>0.55898999999999999</v>
      </c>
      <c r="Q5" s="60">
        <f t="shared" si="1"/>
        <v>1.0505</v>
      </c>
    </row>
    <row r="6" spans="1:17" x14ac:dyDescent="0.25">
      <c r="A6" s="14">
        <v>2009</v>
      </c>
      <c r="B6" s="14">
        <v>26.49</v>
      </c>
      <c r="C6" s="14"/>
      <c r="D6" s="14">
        <v>40.218000000000004</v>
      </c>
      <c r="E6" s="14">
        <v>36.118000000000002</v>
      </c>
      <c r="F6" s="14"/>
      <c r="G6" s="14">
        <v>36.726999999999997</v>
      </c>
      <c r="H6" s="14">
        <v>5.93</v>
      </c>
      <c r="J6" s="16">
        <f t="shared" si="2"/>
        <v>2009</v>
      </c>
      <c r="K6" s="60">
        <f t="shared" si="3"/>
        <v>1.2648999999999999</v>
      </c>
      <c r="L6" s="16"/>
      <c r="M6" s="60">
        <f t="shared" si="0"/>
        <v>1.40218</v>
      </c>
      <c r="N6" s="60">
        <f t="shared" si="0"/>
        <v>1.3611800000000001</v>
      </c>
      <c r="O6" s="16"/>
      <c r="P6" s="60">
        <f t="shared" si="1"/>
        <v>1.36727</v>
      </c>
      <c r="Q6" s="60">
        <f t="shared" si="1"/>
        <v>1.0592999999999999</v>
      </c>
    </row>
    <row r="7" spans="1:17" x14ac:dyDescent="0.25">
      <c r="A7" s="14">
        <v>2010</v>
      </c>
      <c r="B7" s="14">
        <v>14.91</v>
      </c>
      <c r="C7" s="14"/>
      <c r="D7" s="14">
        <v>25.46</v>
      </c>
      <c r="E7" s="14">
        <v>27.72</v>
      </c>
      <c r="F7" s="14"/>
      <c r="G7" s="14">
        <v>11.12</v>
      </c>
      <c r="H7" s="14">
        <v>6.42</v>
      </c>
      <c r="J7" s="16">
        <f t="shared" si="2"/>
        <v>2010</v>
      </c>
      <c r="K7" s="60">
        <f t="shared" si="3"/>
        <v>1.1491</v>
      </c>
      <c r="L7" s="16"/>
      <c r="M7" s="60">
        <f t="shared" si="0"/>
        <v>1.2545999999999999</v>
      </c>
      <c r="N7" s="60">
        <f t="shared" si="0"/>
        <v>1.2772000000000001</v>
      </c>
      <c r="O7" s="16"/>
      <c r="P7" s="60">
        <f t="shared" si="1"/>
        <v>1.1112</v>
      </c>
      <c r="Q7" s="60">
        <f t="shared" si="1"/>
        <v>1.0642</v>
      </c>
    </row>
    <row r="8" spans="1:17" x14ac:dyDescent="0.25">
      <c r="A8" s="14">
        <v>2011</v>
      </c>
      <c r="B8" s="14">
        <v>1.97</v>
      </c>
      <c r="C8" s="14"/>
      <c r="D8" s="14">
        <v>-2.11</v>
      </c>
      <c r="E8" s="15">
        <v>-2.8</v>
      </c>
      <c r="F8" s="14"/>
      <c r="G8" s="14">
        <v>-14.56</v>
      </c>
      <c r="H8" s="14">
        <v>7.56</v>
      </c>
      <c r="J8" s="16">
        <f t="shared" si="2"/>
        <v>2011</v>
      </c>
      <c r="K8" s="60">
        <f t="shared" si="3"/>
        <v>1.0197000000000001</v>
      </c>
      <c r="L8" s="16"/>
      <c r="M8" s="60">
        <f t="shared" si="0"/>
        <v>0.97889999999999999</v>
      </c>
      <c r="N8" s="60">
        <f t="shared" si="0"/>
        <v>0.97199999999999998</v>
      </c>
      <c r="O8" s="16"/>
      <c r="P8" s="60">
        <f t="shared" si="1"/>
        <v>0.85440000000000005</v>
      </c>
      <c r="Q8" s="60">
        <f t="shared" si="1"/>
        <v>1.0756000000000001</v>
      </c>
    </row>
    <row r="9" spans="1:17" x14ac:dyDescent="0.25">
      <c r="A9" s="14">
        <v>2012</v>
      </c>
      <c r="B9" s="15">
        <v>15.82</v>
      </c>
      <c r="C9" s="15"/>
      <c r="D9" s="15">
        <v>15.8</v>
      </c>
      <c r="E9" s="15">
        <v>18.04</v>
      </c>
      <c r="F9" s="15"/>
      <c r="G9" s="15">
        <v>18.14</v>
      </c>
      <c r="H9" s="15">
        <v>4.05</v>
      </c>
      <c r="J9" s="16">
        <f t="shared" si="2"/>
        <v>2012</v>
      </c>
      <c r="K9" s="60">
        <f t="shared" si="3"/>
        <v>1.1581999999999999</v>
      </c>
      <c r="L9" s="16"/>
      <c r="M9" s="60">
        <f t="shared" si="0"/>
        <v>1.1579999999999999</v>
      </c>
      <c r="N9" s="60">
        <f t="shared" si="0"/>
        <v>1.1804000000000001</v>
      </c>
      <c r="O9" s="16"/>
      <c r="P9" s="60">
        <f t="shared" si="1"/>
        <v>1.1814</v>
      </c>
      <c r="Q9" s="60">
        <f t="shared" si="1"/>
        <v>1.0405</v>
      </c>
    </row>
    <row r="10" spans="1:17" x14ac:dyDescent="0.25">
      <c r="A10" s="14">
        <v>2013</v>
      </c>
      <c r="B10" s="15">
        <v>32.18</v>
      </c>
      <c r="C10" s="15"/>
      <c r="D10" s="15">
        <v>35</v>
      </c>
      <c r="E10" s="15">
        <v>37.619999999999997</v>
      </c>
      <c r="F10" s="15"/>
      <c r="G10" s="15">
        <v>15.04</v>
      </c>
      <c r="H10" s="15">
        <v>-2.2599999999999998</v>
      </c>
      <c r="J10" s="16">
        <f t="shared" ref="J10" si="4">A10</f>
        <v>2013</v>
      </c>
      <c r="K10" s="60">
        <f t="shared" ref="K10" si="5">(B10/100)+1</f>
        <v>1.3218000000000001</v>
      </c>
      <c r="L10" s="16"/>
      <c r="M10" s="60">
        <f t="shared" ref="M10" si="6">(D10/100)+1</f>
        <v>1.35</v>
      </c>
      <c r="N10" s="60">
        <f t="shared" ref="N10" si="7">(E10/100)+1</f>
        <v>1.3761999999999999</v>
      </c>
      <c r="O10" s="16"/>
      <c r="P10" s="60">
        <f t="shared" ref="P10" si="8">(G10/100)+1</f>
        <v>1.1503999999999999</v>
      </c>
      <c r="Q10" s="60">
        <f t="shared" ref="Q10" si="9">(H10/100)+1</f>
        <v>0.97740000000000005</v>
      </c>
    </row>
    <row r="11" spans="1:17" x14ac:dyDescent="0.25">
      <c r="A11" s="14">
        <v>2014</v>
      </c>
      <c r="B11" s="15">
        <v>13.51</v>
      </c>
      <c r="C11" s="15"/>
      <c r="D11" s="15">
        <v>13.6</v>
      </c>
      <c r="E11" s="15">
        <v>7.37</v>
      </c>
      <c r="F11" s="15"/>
      <c r="G11" s="15">
        <v>-4.24</v>
      </c>
      <c r="H11" s="15">
        <v>5.76</v>
      </c>
      <c r="J11" s="16">
        <f t="shared" si="2"/>
        <v>2014</v>
      </c>
      <c r="K11" s="60">
        <f t="shared" si="3"/>
        <v>1.1351</v>
      </c>
      <c r="L11" s="16"/>
      <c r="M11" s="60">
        <f t="shared" si="0"/>
        <v>1.1360000000000001</v>
      </c>
      <c r="N11" s="60">
        <f t="shared" si="0"/>
        <v>1.0737000000000001</v>
      </c>
      <c r="O11" s="16"/>
      <c r="P11" s="60">
        <f t="shared" si="1"/>
        <v>0.95760000000000001</v>
      </c>
      <c r="Q11" s="60">
        <f t="shared" si="1"/>
        <v>1.0576000000000001</v>
      </c>
    </row>
    <row r="12" spans="1:17" x14ac:dyDescent="0.25">
      <c r="A12" s="14">
        <v>2015</v>
      </c>
      <c r="B12" s="15">
        <v>1.25</v>
      </c>
      <c r="C12" s="15"/>
      <c r="D12" s="15">
        <v>-1.46</v>
      </c>
      <c r="E12" s="15">
        <v>-3.78</v>
      </c>
      <c r="F12" s="15"/>
      <c r="G12" s="15">
        <v>-4.37</v>
      </c>
      <c r="H12" s="15">
        <v>0.3</v>
      </c>
      <c r="J12" s="16">
        <f t="shared" ref="J12" si="10">A12</f>
        <v>2015</v>
      </c>
      <c r="K12" s="60">
        <f t="shared" ref="K12" si="11">(B12/100)+1</f>
        <v>1.0125</v>
      </c>
      <c r="L12" s="16"/>
      <c r="M12" s="60">
        <f t="shared" ref="M12" si="12">(D12/100)+1</f>
        <v>0.98540000000000005</v>
      </c>
      <c r="N12" s="60">
        <f t="shared" ref="N12" si="13">(E12/100)+1</f>
        <v>0.96219999999999994</v>
      </c>
      <c r="O12" s="16"/>
      <c r="P12" s="60">
        <f t="shared" ref="P12" si="14">(G12/100)+1</f>
        <v>0.95630000000000004</v>
      </c>
      <c r="Q12" s="60">
        <f t="shared" ref="Q12" si="15">(H12/100)+1</f>
        <v>1.0029999999999999</v>
      </c>
    </row>
    <row r="13" spans="1:17" x14ac:dyDescent="0.25">
      <c r="A13" s="14">
        <v>2016</v>
      </c>
      <c r="B13" s="15">
        <v>11.82</v>
      </c>
      <c r="C13" s="15"/>
      <c r="D13" s="15">
        <v>11.07</v>
      </c>
      <c r="E13" s="15">
        <v>18.170000000000002</v>
      </c>
      <c r="F13" s="15"/>
      <c r="G13" s="15">
        <v>4.6500000000000004</v>
      </c>
      <c r="H13" s="15">
        <v>2.5</v>
      </c>
      <c r="J13" s="16">
        <f t="shared" ref="J13:J14" si="16">A13</f>
        <v>2016</v>
      </c>
      <c r="K13" s="60">
        <f t="shared" ref="K13:K14" si="17">(B13/100)+1</f>
        <v>1.1182000000000001</v>
      </c>
      <c r="L13" s="16"/>
      <c r="M13" s="60">
        <f t="shared" ref="M13:M14" si="18">(D13/100)+1</f>
        <v>1.1107</v>
      </c>
      <c r="N13" s="60">
        <f t="shared" ref="N13:N14" si="19">(E13/100)+1</f>
        <v>1.1817</v>
      </c>
      <c r="O13" s="16"/>
      <c r="P13" s="60">
        <f t="shared" ref="P13:P14" si="20">(G13/100)+1</f>
        <v>1.0465</v>
      </c>
      <c r="Q13" s="60">
        <f t="shared" ref="Q13:Q14" si="21">(H13/100)+1</f>
        <v>1.0249999999999999</v>
      </c>
    </row>
    <row r="14" spans="1:17" x14ac:dyDescent="0.25">
      <c r="A14" s="14">
        <v>2017</v>
      </c>
      <c r="B14" s="15">
        <v>21.67</v>
      </c>
      <c r="C14" s="15"/>
      <c r="D14" s="15">
        <v>19.600000000000001</v>
      </c>
      <c r="E14" s="15">
        <v>16.100000000000001</v>
      </c>
      <c r="F14" s="15"/>
      <c r="G14" s="15">
        <v>27.4</v>
      </c>
      <c r="H14" s="15">
        <v>3.46</v>
      </c>
      <c r="J14" s="16">
        <f t="shared" si="16"/>
        <v>2017</v>
      </c>
      <c r="K14" s="60">
        <f t="shared" si="17"/>
        <v>1.2166999999999999</v>
      </c>
      <c r="L14" s="16"/>
      <c r="M14" s="60">
        <f t="shared" si="18"/>
        <v>1.196</v>
      </c>
      <c r="N14" s="60">
        <f t="shared" si="19"/>
        <v>1.161</v>
      </c>
      <c r="O14" s="16"/>
      <c r="P14" s="60">
        <f t="shared" si="20"/>
        <v>1.274</v>
      </c>
      <c r="Q14" s="60">
        <f t="shared" si="21"/>
        <v>1.0346</v>
      </c>
    </row>
    <row r="15" spans="1:17" x14ac:dyDescent="0.25">
      <c r="J15" s="61" t="s">
        <v>48</v>
      </c>
      <c r="K15" s="60">
        <f>STDEV(K4:K14)</f>
        <v>0.1829339503258437</v>
      </c>
      <c r="L15" s="60"/>
      <c r="M15" s="60">
        <f>STDEV(M4:M14)</f>
        <v>0.22101638755778091</v>
      </c>
      <c r="N15" s="60">
        <f>STDEV(N4:N14)</f>
        <v>0.21167107979556127</v>
      </c>
      <c r="O15" s="60"/>
      <c r="P15" s="60">
        <f>STDEV(P4:P14)</f>
        <v>0.22120463576023408</v>
      </c>
      <c r="Q15" s="60">
        <f>STDEV(Q4:Q14)</f>
        <v>3.0023899571084142E-2</v>
      </c>
    </row>
    <row r="17" spans="1:24" x14ac:dyDescent="0.25">
      <c r="A17" s="18" t="s">
        <v>105</v>
      </c>
      <c r="O17" s="18" t="s">
        <v>119</v>
      </c>
    </row>
    <row r="18" spans="1:24" x14ac:dyDescent="0.25">
      <c r="B18" s="4" t="str">
        <f t="shared" ref="B18:H19" si="22">B2</f>
        <v>LC Stocks</v>
      </c>
      <c r="C18" s="4" t="str">
        <f t="shared" si="22"/>
        <v>Ext Mkt</v>
      </c>
      <c r="D18" s="4" t="str">
        <f t="shared" si="22"/>
        <v>Mcap Stk</v>
      </c>
      <c r="E18" s="4" t="str">
        <f t="shared" si="22"/>
        <v>Small Cap</v>
      </c>
      <c r="F18" s="4" t="str">
        <f t="shared" si="22"/>
        <v>Intl Val</v>
      </c>
      <c r="G18" s="4" t="str">
        <f t="shared" si="22"/>
        <v>Tot Int Stk</v>
      </c>
      <c r="H18" s="4" t="str">
        <f t="shared" si="22"/>
        <v>Bonds</v>
      </c>
      <c r="I18" s="5"/>
      <c r="J18" s="5" t="s">
        <v>44</v>
      </c>
      <c r="K18" s="5" t="s">
        <v>41</v>
      </c>
      <c r="L18" s="5" t="s">
        <v>42</v>
      </c>
      <c r="P18" s="4" t="str">
        <f>B18</f>
        <v>LC Stocks</v>
      </c>
      <c r="Q18" s="4" t="str">
        <f t="shared" ref="Q18:V19" si="23">C18</f>
        <v>Ext Mkt</v>
      </c>
      <c r="R18" s="4" t="str">
        <f t="shared" si="23"/>
        <v>Mcap Stk</v>
      </c>
      <c r="S18" s="4" t="str">
        <f t="shared" si="23"/>
        <v>Small Cap</v>
      </c>
      <c r="T18" s="4" t="str">
        <f t="shared" si="23"/>
        <v>Intl Val</v>
      </c>
      <c r="U18" s="4" t="str">
        <f t="shared" si="23"/>
        <v>Tot Int Stk</v>
      </c>
      <c r="V18" s="4" t="str">
        <f t="shared" si="23"/>
        <v>Bonds</v>
      </c>
      <c r="W18" s="5"/>
    </row>
    <row r="19" spans="1:24" x14ac:dyDescent="0.25">
      <c r="A19" t="s">
        <v>40</v>
      </c>
      <c r="B19" s="4" t="str">
        <f t="shared" si="22"/>
        <v>VFINX</v>
      </c>
      <c r="C19" s="4" t="str">
        <f t="shared" si="22"/>
        <v>VEXMX</v>
      </c>
      <c r="D19" s="4" t="str">
        <f t="shared" si="22"/>
        <v>VIMSX</v>
      </c>
      <c r="E19" s="4" t="str">
        <f t="shared" si="22"/>
        <v>NAESX</v>
      </c>
      <c r="F19" s="4" t="str">
        <f t="shared" si="22"/>
        <v>VTRIX</v>
      </c>
      <c r="G19" s="4" t="str">
        <f t="shared" si="22"/>
        <v>VGTSX</v>
      </c>
      <c r="H19" s="4" t="str">
        <f t="shared" si="22"/>
        <v>VBMFX</v>
      </c>
      <c r="I19" s="5" t="s">
        <v>38</v>
      </c>
      <c r="J19" s="5" t="s">
        <v>45</v>
      </c>
      <c r="K19" s="5" t="s">
        <v>43</v>
      </c>
      <c r="L19" s="5" t="s">
        <v>43</v>
      </c>
      <c r="O19" t="s">
        <v>40</v>
      </c>
      <c r="P19" s="4" t="str">
        <f>B19</f>
        <v>VFINX</v>
      </c>
      <c r="Q19" s="4" t="str">
        <f t="shared" si="23"/>
        <v>VEXMX</v>
      </c>
      <c r="R19" s="4" t="str">
        <f t="shared" si="23"/>
        <v>VIMSX</v>
      </c>
      <c r="S19" s="4" t="str">
        <f t="shared" si="23"/>
        <v>NAESX</v>
      </c>
      <c r="T19" s="4" t="str">
        <f t="shared" si="23"/>
        <v>VTRIX</v>
      </c>
      <c r="U19" s="4" t="str">
        <f t="shared" si="23"/>
        <v>VGTSX</v>
      </c>
      <c r="V19" s="4" t="str">
        <f t="shared" si="23"/>
        <v>VBMFX</v>
      </c>
      <c r="W19" s="5" t="s">
        <v>38</v>
      </c>
    </row>
    <row r="20" spans="1:24" x14ac:dyDescent="0.25">
      <c r="A20" t="s">
        <v>39</v>
      </c>
      <c r="B20" s="27">
        <v>20000</v>
      </c>
      <c r="C20" s="54"/>
      <c r="D20" s="27">
        <v>20000</v>
      </c>
      <c r="E20" s="27">
        <v>10000</v>
      </c>
      <c r="F20" s="54"/>
      <c r="G20" s="27">
        <v>20000</v>
      </c>
      <c r="H20" s="27">
        <v>30000</v>
      </c>
      <c r="I20" s="2">
        <f>SUM(B20:H20)</f>
        <v>100000</v>
      </c>
      <c r="O20" s="19" t="s">
        <v>54</v>
      </c>
      <c r="P20" s="20">
        <f>B20/$I20</f>
        <v>0.2</v>
      </c>
      <c r="Q20" s="20"/>
      <c r="R20" s="21">
        <v>0.2</v>
      </c>
      <c r="S20" s="21">
        <v>0.1</v>
      </c>
      <c r="T20" s="20"/>
      <c r="U20" s="21">
        <v>0.2</v>
      </c>
      <c r="V20" s="20">
        <f>H20/$I20</f>
        <v>0.3</v>
      </c>
      <c r="W20" s="20">
        <f>I20/$I20</f>
        <v>1</v>
      </c>
      <c r="X20" s="22"/>
    </row>
    <row r="21" spans="1:24" x14ac:dyDescent="0.25">
      <c r="A21">
        <f t="shared" ref="A21:A31" si="24">A4</f>
        <v>2007</v>
      </c>
      <c r="B21" s="2">
        <f>B$20*(1+(B4/100))</f>
        <v>21078</v>
      </c>
      <c r="C21" s="2"/>
      <c r="D21" s="2">
        <f>D$20*(1+(D4/100))</f>
        <v>21204.2</v>
      </c>
      <c r="E21" s="2">
        <f>E$20*(1+(E4/100))</f>
        <v>10115.6</v>
      </c>
      <c r="F21" s="2"/>
      <c r="G21" s="2">
        <f>G$20*(1+(G4/100))</f>
        <v>23104.399999999998</v>
      </c>
      <c r="H21" s="2">
        <f>H$20*(1+(H4/100))</f>
        <v>32075.999999999996</v>
      </c>
      <c r="I21" s="2">
        <f t="shared" ref="I21:I23" si="25">SUM(B21:H21)</f>
        <v>107578.2</v>
      </c>
      <c r="J21" s="2">
        <f t="shared" ref="J21" si="26">I21-I20</f>
        <v>7578.1999999999971</v>
      </c>
      <c r="K21" s="6">
        <f t="shared" ref="K21" si="27">(J21/I20)</f>
        <v>7.5781999999999974E-2</v>
      </c>
      <c r="L21" s="7">
        <f t="shared" ref="L21" si="28">K21+1</f>
        <v>1.075782</v>
      </c>
      <c r="O21">
        <f t="shared" ref="O21:O26" si="29">A21</f>
        <v>2007</v>
      </c>
      <c r="P21" s="6">
        <f t="shared" ref="P21:P26" si="30">B21/$I21</f>
        <v>0.19593188954639509</v>
      </c>
      <c r="Q21" s="6"/>
      <c r="R21" s="6">
        <f t="shared" ref="R21" si="31">D21/$I21</f>
        <v>0.19710498967262885</v>
      </c>
      <c r="S21" s="6">
        <f t="shared" ref="S21" si="32">E21/$I21</f>
        <v>9.4030203145246904E-2</v>
      </c>
      <c r="T21" s="6"/>
      <c r="U21" s="6">
        <f t="shared" ref="U21:U26" si="33">G21/$I21</f>
        <v>0.21476841962405022</v>
      </c>
      <c r="V21" s="6">
        <f t="shared" ref="V21:V26" si="34">H21/$I21</f>
        <v>0.29816449801167894</v>
      </c>
      <c r="W21" s="20">
        <f>SUM(P21:V21)</f>
        <v>1</v>
      </c>
      <c r="X21" s="22"/>
    </row>
    <row r="22" spans="1:24" x14ac:dyDescent="0.25">
      <c r="A22">
        <f t="shared" si="24"/>
        <v>2008</v>
      </c>
      <c r="B22" s="2">
        <f t="shared" ref="B22:B31" si="35">B21*(1+(B5/100))</f>
        <v>13274.924399999998</v>
      </c>
      <c r="C22" s="2"/>
      <c r="D22" s="2">
        <f t="shared" ref="D22:D31" si="36">D21*(1+(D5/100))</f>
        <v>12335.755392000001</v>
      </c>
      <c r="E22" s="2">
        <f t="shared" ref="E22:E31" si="37">E21*(1+(E5/100))</f>
        <v>6466.90308</v>
      </c>
      <c r="F22" s="2"/>
      <c r="G22" s="2">
        <f t="shared" ref="G22:G31" si="38">G21*(1+(G5/100))</f>
        <v>12915.128555999998</v>
      </c>
      <c r="H22" s="2">
        <f t="shared" ref="H22:H31" si="39">H21*(1+(H5/100))</f>
        <v>33695.837999999996</v>
      </c>
      <c r="I22" s="2">
        <f t="shared" si="25"/>
        <v>78688.549427999998</v>
      </c>
      <c r="J22" s="2">
        <f t="shared" ref="J22:J25" si="40">I22-I21</f>
        <v>-28889.650571999999</v>
      </c>
      <c r="K22" s="6">
        <f t="shared" ref="K22:K23" si="41">(J22/I21)</f>
        <v>-0.26854558425405889</v>
      </c>
      <c r="L22" s="7">
        <f t="shared" ref="L22:L25" si="42">K22+1</f>
        <v>0.73145441574594106</v>
      </c>
      <c r="O22">
        <f t="shared" si="29"/>
        <v>2008</v>
      </c>
      <c r="P22" s="6">
        <f t="shared" si="30"/>
        <v>0.16870211099960039</v>
      </c>
      <c r="Q22" s="6"/>
      <c r="R22" s="6">
        <f t="shared" ref="R22:R26" si="43">D22/$I22</f>
        <v>0.15676684195693827</v>
      </c>
      <c r="S22" s="6">
        <f t="shared" ref="S22:S26" si="44">E22/$I22</f>
        <v>8.2183534033972938E-2</v>
      </c>
      <c r="T22" s="6"/>
      <c r="U22" s="6">
        <f t="shared" si="33"/>
        <v>0.1641297069253683</v>
      </c>
      <c r="V22" s="6">
        <f t="shared" si="34"/>
        <v>0.42821780608412002</v>
      </c>
      <c r="W22" s="20">
        <f t="shared" ref="W22:W26" si="45">SUM(P22:V22)</f>
        <v>1</v>
      </c>
      <c r="X22" s="22"/>
    </row>
    <row r="23" spans="1:24" x14ac:dyDescent="0.25">
      <c r="A23">
        <f t="shared" si="24"/>
        <v>2009</v>
      </c>
      <c r="B23" s="2">
        <f t="shared" si="35"/>
        <v>16791.451873559996</v>
      </c>
      <c r="C23" s="2"/>
      <c r="D23" s="2">
        <f t="shared" si="36"/>
        <v>17296.94949555456</v>
      </c>
      <c r="E23" s="2">
        <f t="shared" si="37"/>
        <v>8802.6191344344006</v>
      </c>
      <c r="F23" s="2"/>
      <c r="G23" s="2">
        <f t="shared" si="38"/>
        <v>17658.467820762118</v>
      </c>
      <c r="H23" s="2">
        <f t="shared" si="39"/>
        <v>35694.001193399992</v>
      </c>
      <c r="I23" s="2">
        <f t="shared" si="25"/>
        <v>96243.489517711059</v>
      </c>
      <c r="J23" s="2">
        <f t="shared" si="40"/>
        <v>17554.940089711061</v>
      </c>
      <c r="K23" s="6">
        <f t="shared" si="41"/>
        <v>0.22309395988769404</v>
      </c>
      <c r="L23" s="7">
        <f t="shared" si="42"/>
        <v>1.223093959887694</v>
      </c>
      <c r="O23">
        <f t="shared" si="29"/>
        <v>2009</v>
      </c>
      <c r="P23" s="6">
        <f t="shared" si="30"/>
        <v>0.17446844412753731</v>
      </c>
      <c r="Q23" s="6"/>
      <c r="R23" s="6">
        <f t="shared" si="43"/>
        <v>0.17972072274427991</v>
      </c>
      <c r="S23" s="6">
        <f t="shared" si="44"/>
        <v>9.1461969828250167E-2</v>
      </c>
      <c r="T23" s="6"/>
      <c r="U23" s="6">
        <f t="shared" si="33"/>
        <v>0.18347701137241648</v>
      </c>
      <c r="V23" s="6">
        <f t="shared" si="34"/>
        <v>0.37087185192751621</v>
      </c>
      <c r="W23" s="20">
        <f t="shared" si="45"/>
        <v>1</v>
      </c>
      <c r="X23" s="22"/>
    </row>
    <row r="24" spans="1:24" x14ac:dyDescent="0.25">
      <c r="A24">
        <f t="shared" si="24"/>
        <v>2010</v>
      </c>
      <c r="B24" s="2">
        <f t="shared" si="35"/>
        <v>19295.05734790779</v>
      </c>
      <c r="C24" s="2"/>
      <c r="D24" s="2">
        <f t="shared" si="36"/>
        <v>21700.752837122749</v>
      </c>
      <c r="E24" s="2">
        <f t="shared" si="37"/>
        <v>11242.705158499617</v>
      </c>
      <c r="F24" s="2"/>
      <c r="G24" s="2">
        <f t="shared" si="38"/>
        <v>19622.089442430864</v>
      </c>
      <c r="H24" s="2">
        <f t="shared" si="39"/>
        <v>37985.556070016275</v>
      </c>
      <c r="I24" s="2">
        <f t="shared" ref="I24:I25" si="46">SUM(B24:H24)</f>
        <v>109846.16085597729</v>
      </c>
      <c r="J24" s="2">
        <f t="shared" si="40"/>
        <v>13602.671338266227</v>
      </c>
      <c r="K24" s="6">
        <f t="shared" ref="K24:K25" si="47">(J24/I23)</f>
        <v>0.14133601562485967</v>
      </c>
      <c r="L24" s="7">
        <f t="shared" si="42"/>
        <v>1.1413360156248598</v>
      </c>
      <c r="O24">
        <f t="shared" si="29"/>
        <v>2010</v>
      </c>
      <c r="P24" s="6">
        <f t="shared" si="30"/>
        <v>0.17565527277012566</v>
      </c>
      <c r="Q24" s="6"/>
      <c r="R24" s="6">
        <f t="shared" si="43"/>
        <v>0.19755586056007254</v>
      </c>
      <c r="S24" s="6">
        <f t="shared" si="44"/>
        <v>0.10234955023362426</v>
      </c>
      <c r="T24" s="6"/>
      <c r="U24" s="6">
        <f t="shared" si="33"/>
        <v>0.17863245551347029</v>
      </c>
      <c r="V24" s="6">
        <f t="shared" si="34"/>
        <v>0.34580686092270735</v>
      </c>
      <c r="W24" s="20">
        <f t="shared" si="45"/>
        <v>1</v>
      </c>
      <c r="X24" s="22"/>
    </row>
    <row r="25" spans="1:24" x14ac:dyDescent="0.25">
      <c r="A25">
        <f t="shared" si="24"/>
        <v>2011</v>
      </c>
      <c r="B25" s="2">
        <f t="shared" si="35"/>
        <v>19675.169977661575</v>
      </c>
      <c r="C25" s="2"/>
      <c r="D25" s="2">
        <f t="shared" si="36"/>
        <v>21242.866952259457</v>
      </c>
      <c r="E25" s="2">
        <f t="shared" si="37"/>
        <v>10927.909414061627</v>
      </c>
      <c r="F25" s="2"/>
      <c r="G25" s="2">
        <f t="shared" si="38"/>
        <v>16765.113219612933</v>
      </c>
      <c r="H25" s="2">
        <f t="shared" si="39"/>
        <v>40857.264108909512</v>
      </c>
      <c r="I25" s="2">
        <f t="shared" si="46"/>
        <v>109468.32367250511</v>
      </c>
      <c r="J25" s="2">
        <f t="shared" si="40"/>
        <v>-377.83718347217655</v>
      </c>
      <c r="K25" s="6">
        <f t="shared" si="47"/>
        <v>-3.4396940277919281E-3</v>
      </c>
      <c r="L25" s="7">
        <f t="shared" si="42"/>
        <v>0.99656030597220813</v>
      </c>
      <c r="O25">
        <f t="shared" si="29"/>
        <v>2011</v>
      </c>
      <c r="P25" s="6">
        <f t="shared" si="30"/>
        <v>0.17973391130500466</v>
      </c>
      <c r="Q25" s="6"/>
      <c r="R25" s="6">
        <f t="shared" si="43"/>
        <v>0.1940549214566531</v>
      </c>
      <c r="S25" s="6">
        <f t="shared" si="44"/>
        <v>9.9827137636221641E-2</v>
      </c>
      <c r="T25" s="7"/>
      <c r="U25" s="6">
        <f t="shared" si="33"/>
        <v>0.15315036037063007</v>
      </c>
      <c r="V25" s="6">
        <f t="shared" si="34"/>
        <v>0.37323366923149048</v>
      </c>
      <c r="W25" s="20">
        <f t="shared" si="45"/>
        <v>0.99999999999999989</v>
      </c>
      <c r="X25" s="22"/>
    </row>
    <row r="26" spans="1:24" x14ac:dyDescent="0.25">
      <c r="A26">
        <f t="shared" si="24"/>
        <v>2012</v>
      </c>
      <c r="B26" s="2">
        <f t="shared" si="35"/>
        <v>22787.781868127633</v>
      </c>
      <c r="C26" s="2"/>
      <c r="D26" s="2">
        <f t="shared" si="36"/>
        <v>24599.239930716449</v>
      </c>
      <c r="E26" s="2">
        <f t="shared" si="37"/>
        <v>12899.304272358346</v>
      </c>
      <c r="F26" s="2"/>
      <c r="G26" s="2">
        <f t="shared" si="38"/>
        <v>19806.30475765072</v>
      </c>
      <c r="H26" s="2">
        <f t="shared" si="39"/>
        <v>42511.983305320347</v>
      </c>
      <c r="I26" s="2">
        <f t="shared" ref="I26:I28" si="48">SUM(B26:H26)</f>
        <v>122604.61413417351</v>
      </c>
      <c r="J26" s="2">
        <f t="shared" ref="J26:J28" si="49">I26-I25</f>
        <v>13136.290461668395</v>
      </c>
      <c r="K26" s="6">
        <f t="shared" ref="K26:K28" si="50">(J26/I25)</f>
        <v>0.12000083696328498</v>
      </c>
      <c r="L26" s="7">
        <f t="shared" ref="L26:L28" si="51">K26+1</f>
        <v>1.120000836963285</v>
      </c>
      <c r="O26">
        <f t="shared" si="29"/>
        <v>2012</v>
      </c>
      <c r="P26" s="6">
        <f t="shared" si="30"/>
        <v>0.18586398260011333</v>
      </c>
      <c r="Q26" s="7"/>
      <c r="R26" s="6">
        <f t="shared" si="43"/>
        <v>0.20063877778528008</v>
      </c>
      <c r="S26" s="6">
        <f t="shared" si="44"/>
        <v>0.10521059393606404</v>
      </c>
      <c r="T26" s="7"/>
      <c r="U26" s="6">
        <f t="shared" si="33"/>
        <v>0.16154616119076484</v>
      </c>
      <c r="V26" s="6">
        <f t="shared" si="34"/>
        <v>0.34674048448777761</v>
      </c>
      <c r="W26" s="20">
        <f t="shared" si="45"/>
        <v>0.99999999999999989</v>
      </c>
      <c r="X26" s="22"/>
    </row>
    <row r="27" spans="1:24" x14ac:dyDescent="0.25">
      <c r="A27">
        <f t="shared" si="24"/>
        <v>2013</v>
      </c>
      <c r="B27" s="2">
        <f t="shared" si="35"/>
        <v>30120.890073291106</v>
      </c>
      <c r="C27" s="2"/>
      <c r="D27" s="2">
        <f t="shared" si="36"/>
        <v>33208.97390646721</v>
      </c>
      <c r="E27" s="2">
        <f t="shared" si="37"/>
        <v>17752.022539619553</v>
      </c>
      <c r="F27" s="2"/>
      <c r="G27" s="2">
        <f t="shared" si="38"/>
        <v>22785.172993201384</v>
      </c>
      <c r="H27" s="2">
        <f t="shared" si="39"/>
        <v>41551.212482620111</v>
      </c>
      <c r="I27" s="2">
        <f t="shared" si="48"/>
        <v>145418.27199519938</v>
      </c>
      <c r="J27" s="2">
        <f t="shared" si="49"/>
        <v>22813.657861025873</v>
      </c>
      <c r="K27" s="6">
        <f t="shared" si="50"/>
        <v>0.18607503495797909</v>
      </c>
      <c r="L27" s="7">
        <f t="shared" si="51"/>
        <v>1.1860750349579792</v>
      </c>
      <c r="O27">
        <f t="shared" ref="O27:O28" si="52">A27</f>
        <v>2013</v>
      </c>
      <c r="P27" s="6">
        <f t="shared" ref="P27:P28" si="53">B27/$I27</f>
        <v>0.2071327740319007</v>
      </c>
      <c r="Q27" s="7"/>
      <c r="R27" s="6">
        <f t="shared" ref="R27:R28" si="54">D27/$I27</f>
        <v>0.22836864618748545</v>
      </c>
      <c r="S27" s="6">
        <f t="shared" ref="S27:S28" si="55">E27/$I27</f>
        <v>0.12207559817658672</v>
      </c>
      <c r="T27" s="7"/>
      <c r="U27" s="6">
        <f t="shared" ref="U27:U28" si="56">G27/$I27</f>
        <v>0.15668713897214773</v>
      </c>
      <c r="V27" s="6">
        <f t="shared" ref="V27:V28" si="57">H27/$I27</f>
        <v>0.28573584263187929</v>
      </c>
      <c r="W27" s="20">
        <f t="shared" ref="W27:W28" si="58">SUM(P27:V27)</f>
        <v>0.99999999999999978</v>
      </c>
      <c r="X27" s="22"/>
    </row>
    <row r="28" spans="1:24" x14ac:dyDescent="0.25">
      <c r="A28">
        <f t="shared" si="24"/>
        <v>2014</v>
      </c>
      <c r="B28" s="2">
        <f t="shared" si="35"/>
        <v>34190.222322192734</v>
      </c>
      <c r="C28" s="2"/>
      <c r="D28" s="2">
        <f t="shared" si="36"/>
        <v>37725.394357746758</v>
      </c>
      <c r="E28" s="2">
        <f t="shared" si="37"/>
        <v>19060.346600789515</v>
      </c>
      <c r="F28" s="2"/>
      <c r="G28" s="2">
        <f t="shared" si="38"/>
        <v>21819.081658289644</v>
      </c>
      <c r="H28" s="2">
        <f t="shared" si="39"/>
        <v>43944.562321619036</v>
      </c>
      <c r="I28" s="2">
        <f t="shared" si="48"/>
        <v>156739.60726063771</v>
      </c>
      <c r="J28" s="2">
        <f t="shared" si="49"/>
        <v>11321.335265438334</v>
      </c>
      <c r="K28" s="6">
        <f t="shared" si="50"/>
        <v>7.7853595081999599E-2</v>
      </c>
      <c r="L28" s="7">
        <f t="shared" si="51"/>
        <v>1.0778535950819996</v>
      </c>
      <c r="O28">
        <f t="shared" si="52"/>
        <v>2014</v>
      </c>
      <c r="P28" s="6">
        <f t="shared" si="53"/>
        <v>0.21813390322803866</v>
      </c>
      <c r="Q28" s="7"/>
      <c r="R28" s="6">
        <f t="shared" si="54"/>
        <v>0.24068833026367292</v>
      </c>
      <c r="S28" s="6">
        <f t="shared" si="55"/>
        <v>0.12160517009012675</v>
      </c>
      <c r="T28" s="7"/>
      <c r="U28" s="6">
        <f t="shared" si="56"/>
        <v>0.1392059227378778</v>
      </c>
      <c r="V28" s="6">
        <f t="shared" si="57"/>
        <v>0.28036667368028367</v>
      </c>
      <c r="W28" s="20">
        <f t="shared" si="58"/>
        <v>0.99999999999999978</v>
      </c>
      <c r="X28" s="22"/>
    </row>
    <row r="29" spans="1:24" x14ac:dyDescent="0.25">
      <c r="A29">
        <f t="shared" si="24"/>
        <v>2015</v>
      </c>
      <c r="B29" s="2">
        <f t="shared" si="35"/>
        <v>34617.600101220145</v>
      </c>
      <c r="C29" s="2"/>
      <c r="D29" s="2">
        <f t="shared" si="36"/>
        <v>37174.603600123657</v>
      </c>
      <c r="E29" s="2">
        <f t="shared" si="37"/>
        <v>18339.865499279669</v>
      </c>
      <c r="F29" s="2"/>
      <c r="G29" s="2">
        <f t="shared" si="38"/>
        <v>20865.587789822388</v>
      </c>
      <c r="H29" s="2">
        <f t="shared" si="39"/>
        <v>44076.396008583892</v>
      </c>
      <c r="I29" s="2">
        <f t="shared" ref="I29" si="59">SUM(B29:H29)</f>
        <v>155074.05299902975</v>
      </c>
      <c r="J29" s="2">
        <f t="shared" ref="J29" si="60">I29-I28</f>
        <v>-1665.554261607962</v>
      </c>
      <c r="K29" s="6">
        <f t="shared" ref="K29" si="61">(J29/I28)</f>
        <v>-1.0626250063510497E-2</v>
      </c>
      <c r="L29" s="7">
        <f t="shared" ref="L29" si="62">K29+1</f>
        <v>0.98937374993648952</v>
      </c>
      <c r="O29">
        <f t="shared" ref="O29" si="63">A29</f>
        <v>2015</v>
      </c>
      <c r="P29" s="6">
        <f t="shared" ref="P29" si="64">B29/$I29</f>
        <v>0.22323270354865063</v>
      </c>
      <c r="Q29" s="7"/>
      <c r="R29" s="6">
        <f t="shared" ref="R29" si="65">D29/$I29</f>
        <v>0.23972162254865581</v>
      </c>
      <c r="S29" s="6">
        <f t="shared" ref="S29" si="66">E29/$I29</f>
        <v>0.11826521035981703</v>
      </c>
      <c r="T29" s="7"/>
      <c r="U29" s="6">
        <f t="shared" ref="U29" si="67">G29/$I29</f>
        <v>0.13455241148532396</v>
      </c>
      <c r="V29" s="6">
        <f t="shared" ref="V29" si="68">H29/$I29</f>
        <v>0.28422805205755253</v>
      </c>
      <c r="W29" s="20">
        <f t="shared" ref="W29" si="69">SUM(P29:V29)</f>
        <v>1</v>
      </c>
      <c r="X29" s="22"/>
    </row>
    <row r="30" spans="1:24" x14ac:dyDescent="0.25">
      <c r="A30">
        <f t="shared" si="24"/>
        <v>2016</v>
      </c>
      <c r="B30" s="2">
        <f t="shared" si="35"/>
        <v>38709.400433184368</v>
      </c>
      <c r="C30" s="2"/>
      <c r="D30" s="2">
        <f t="shared" si="36"/>
        <v>41289.83221865735</v>
      </c>
      <c r="E30" s="2">
        <f t="shared" si="37"/>
        <v>21672.219060498785</v>
      </c>
      <c r="F30" s="2"/>
      <c r="G30" s="2">
        <f t="shared" si="38"/>
        <v>21835.83762204913</v>
      </c>
      <c r="H30" s="2">
        <f t="shared" si="39"/>
        <v>45178.305908798488</v>
      </c>
      <c r="I30" s="2">
        <f t="shared" ref="I30:I31" si="70">SUM(B30:H30)</f>
        <v>168685.59524318812</v>
      </c>
      <c r="J30" s="2">
        <f t="shared" ref="J30:J31" si="71">I30-I29</f>
        <v>13611.542244158365</v>
      </c>
      <c r="K30" s="6">
        <f t="shared" ref="K30:K31" si="72">(J30/I29)</f>
        <v>8.7774466333471843E-2</v>
      </c>
      <c r="L30" s="7">
        <f t="shared" ref="L30:L31" si="73">K30+1</f>
        <v>1.0877744663334719</v>
      </c>
      <c r="O30">
        <f t="shared" ref="O30:O31" si="74">A30</f>
        <v>2016</v>
      </c>
      <c r="P30" s="6">
        <f t="shared" ref="P30:P31" si="75">B30/$I30</f>
        <v>0.22947662115059902</v>
      </c>
      <c r="Q30" s="7"/>
      <c r="R30" s="6">
        <f t="shared" ref="R30:R31" si="76">D30/$I30</f>
        <v>0.24477390709699454</v>
      </c>
      <c r="S30" s="6">
        <f t="shared" ref="S30:S31" si="77">E30/$I30</f>
        <v>0.12847699905409649</v>
      </c>
      <c r="T30" s="7"/>
      <c r="U30" s="6">
        <f t="shared" ref="U30:U31" si="78">G30/$I30</f>
        <v>0.12944696072340478</v>
      </c>
      <c r="V30" s="6">
        <f t="shared" ref="V30:V31" si="79">H30/$I30</f>
        <v>0.26782551197490517</v>
      </c>
      <c r="W30" s="20">
        <f t="shared" ref="W30:W31" si="80">SUM(P30:V30)</f>
        <v>1</v>
      </c>
      <c r="X30" s="22"/>
    </row>
    <row r="31" spans="1:24" x14ac:dyDescent="0.25">
      <c r="A31">
        <f t="shared" si="24"/>
        <v>2017</v>
      </c>
      <c r="B31" s="2">
        <f t="shared" si="35"/>
        <v>47097.727507055417</v>
      </c>
      <c r="C31" s="2"/>
      <c r="D31" s="2">
        <f t="shared" si="36"/>
        <v>49382.639333514191</v>
      </c>
      <c r="E31" s="2">
        <f t="shared" si="37"/>
        <v>25161.44632923909</v>
      </c>
      <c r="F31" s="2"/>
      <c r="G31" s="2">
        <f t="shared" si="38"/>
        <v>27818.857130490593</v>
      </c>
      <c r="H31" s="2">
        <f t="shared" si="39"/>
        <v>46741.475293242911</v>
      </c>
      <c r="I31" s="2">
        <f t="shared" si="70"/>
        <v>196202.1455935422</v>
      </c>
      <c r="J31" s="2">
        <f t="shared" si="71"/>
        <v>27516.550350354082</v>
      </c>
      <c r="K31" s="6">
        <f t="shared" si="72"/>
        <v>0.16312329639459988</v>
      </c>
      <c r="L31" s="7">
        <f t="shared" si="73"/>
        <v>1.1631232963945999</v>
      </c>
      <c r="O31">
        <f t="shared" si="74"/>
        <v>2017</v>
      </c>
      <c r="P31" s="6">
        <f t="shared" si="75"/>
        <v>0.24004695445392515</v>
      </c>
      <c r="Q31" s="7"/>
      <c r="R31" s="6">
        <f t="shared" si="76"/>
        <v>0.25169265699987114</v>
      </c>
      <c r="S31" s="6">
        <f t="shared" si="77"/>
        <v>0.12824246265565434</v>
      </c>
      <c r="T31" s="7"/>
      <c r="U31" s="6">
        <f t="shared" si="78"/>
        <v>0.14178671209906596</v>
      </c>
      <c r="V31" s="6">
        <f t="shared" si="79"/>
        <v>0.23823121379148343</v>
      </c>
      <c r="W31" s="20">
        <f t="shared" si="80"/>
        <v>1</v>
      </c>
      <c r="X31" s="22"/>
    </row>
    <row r="32" spans="1:24" x14ac:dyDescent="0.25">
      <c r="A32" s="9" t="s">
        <v>46</v>
      </c>
      <c r="B32" s="10">
        <f>B31</f>
        <v>47097.727507055417</v>
      </c>
      <c r="C32" s="10"/>
      <c r="D32" s="10">
        <f>D31</f>
        <v>49382.639333514191</v>
      </c>
      <c r="E32" s="10">
        <f>E31</f>
        <v>25161.44632923909</v>
      </c>
      <c r="F32" s="10"/>
      <c r="G32" s="10">
        <f>G31</f>
        <v>27818.857130490593</v>
      </c>
      <c r="H32" s="10">
        <f>H31</f>
        <v>46741.475293242911</v>
      </c>
      <c r="I32" s="49">
        <f>SUM(B32:H32)</f>
        <v>196202.1455935422</v>
      </c>
      <c r="J32" s="10"/>
      <c r="K32" s="10"/>
      <c r="S32" s="7"/>
    </row>
    <row r="33" spans="1:11" x14ac:dyDescent="0.25">
      <c r="A33" s="11" t="s">
        <v>47</v>
      </c>
      <c r="I33" s="48">
        <f>(I32-I20)/I20</f>
        <v>0.96202145593542199</v>
      </c>
      <c r="K33" s="6"/>
    </row>
    <row r="34" spans="1:11" x14ac:dyDescent="0.25">
      <c r="A34" s="1" t="s">
        <v>48</v>
      </c>
      <c r="I34" s="25">
        <f>STDEV(L21:L31)</f>
        <v>0.13418064007969421</v>
      </c>
    </row>
    <row r="35" spans="1:11" x14ac:dyDescent="0.25">
      <c r="A35" s="1" t="s">
        <v>49</v>
      </c>
      <c r="I35" s="13">
        <f>((1+I33)^(1/I40))-1</f>
        <v>6.3186447596252027E-2</v>
      </c>
    </row>
    <row r="36" spans="1:11" x14ac:dyDescent="0.25">
      <c r="A36" s="1" t="s">
        <v>50</v>
      </c>
      <c r="I36" s="27">
        <f>J22</f>
        <v>-28889.650571999999</v>
      </c>
    </row>
    <row r="37" spans="1:11" x14ac:dyDescent="0.25">
      <c r="A37" s="1" t="s">
        <v>51</v>
      </c>
      <c r="I37" s="28">
        <f>K22</f>
        <v>-0.26854558425405889</v>
      </c>
    </row>
    <row r="38" spans="1:11" x14ac:dyDescent="0.25">
      <c r="A38" s="3" t="s">
        <v>52</v>
      </c>
      <c r="I38" s="29">
        <f>I32-I31</f>
        <v>0</v>
      </c>
    </row>
    <row r="39" spans="1:11" x14ac:dyDescent="0.25">
      <c r="A39" s="3" t="s">
        <v>141</v>
      </c>
      <c r="I39" s="29">
        <f>((SUM(J21:J31))-(I32-I20))</f>
        <v>0</v>
      </c>
    </row>
    <row r="40" spans="1:11" x14ac:dyDescent="0.25">
      <c r="A40" s="3" t="s">
        <v>146</v>
      </c>
      <c r="I40" s="3">
        <f>COUNTA(I21:I31)</f>
        <v>11</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0"/>
  <sheetViews>
    <sheetView topLeftCell="N7" zoomScaleNormal="100" workbookViewId="0">
      <selection activeCell="N31" sqref="N31"/>
    </sheetView>
  </sheetViews>
  <sheetFormatPr defaultColWidth="8.85546875" defaultRowHeight="15" x14ac:dyDescent="0.25"/>
  <cols>
    <col min="1" max="1" width="25.42578125" customWidth="1"/>
    <col min="9" max="9" width="10.7109375" customWidth="1"/>
    <col min="10" max="10" width="10" bestFit="1" customWidth="1"/>
    <col min="36" max="37" width="10.85546875" bestFit="1" customWidth="1"/>
    <col min="40" max="40" width="10.85546875" bestFit="1" customWidth="1"/>
    <col min="42" max="42" width="10.85546875" bestFit="1" customWidth="1"/>
    <col min="43" max="43" width="11.42578125" customWidth="1"/>
  </cols>
  <sheetData>
    <row r="1" spans="1:8" x14ac:dyDescent="0.25">
      <c r="A1" s="18" t="s">
        <v>19</v>
      </c>
    </row>
    <row r="2" spans="1:8"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8"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8"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8"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8"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8"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8"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8"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8"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5">
      <c r="A15" s="1"/>
    </row>
    <row r="16" spans="1:8" x14ac:dyDescent="0.25">
      <c r="A16" s="1"/>
    </row>
    <row r="17" spans="1:44" x14ac:dyDescent="0.25">
      <c r="A17" s="18" t="s">
        <v>110</v>
      </c>
      <c r="O17" s="18" t="s">
        <v>116</v>
      </c>
      <c r="Y17" s="18" t="s">
        <v>117</v>
      </c>
      <c r="AI17" s="18" t="s">
        <v>118</v>
      </c>
    </row>
    <row r="18" spans="1:44" x14ac:dyDescent="0.25">
      <c r="B18" s="4" t="str">
        <f t="shared" ref="B18:H19" si="0">B2</f>
        <v>LC Stocks</v>
      </c>
      <c r="C18" s="4" t="str">
        <f t="shared" si="0"/>
        <v>Ext Mkt</v>
      </c>
      <c r="D18" s="4" t="str">
        <f t="shared" si="0"/>
        <v>Mcap Stk</v>
      </c>
      <c r="E18" s="4" t="str">
        <f t="shared" si="0"/>
        <v>Small Cap</v>
      </c>
      <c r="F18" s="4" t="str">
        <f t="shared" si="0"/>
        <v>Intl Val</v>
      </c>
      <c r="G18" s="4" t="str">
        <f t="shared" si="0"/>
        <v>Tot Int Stk</v>
      </c>
      <c r="H18" s="4" t="str">
        <f t="shared" si="0"/>
        <v>Bonds</v>
      </c>
      <c r="I18" s="5"/>
      <c r="J18" s="5" t="s">
        <v>44</v>
      </c>
      <c r="K18" s="5" t="s">
        <v>41</v>
      </c>
      <c r="L18" s="5" t="s">
        <v>42</v>
      </c>
      <c r="P18" s="4" t="str">
        <f>B18</f>
        <v>LC Stocks</v>
      </c>
      <c r="Q18" s="4" t="str">
        <f t="shared" ref="Q18:V19" si="1">C18</f>
        <v>Ext Mkt</v>
      </c>
      <c r="R18" s="4" t="str">
        <f t="shared" si="1"/>
        <v>Mcap Stk</v>
      </c>
      <c r="S18" s="4" t="str">
        <f t="shared" si="1"/>
        <v>Small Cap</v>
      </c>
      <c r="T18" s="4" t="str">
        <f t="shared" si="1"/>
        <v>Intl Val</v>
      </c>
      <c r="U18" s="4" t="str">
        <f t="shared" si="1"/>
        <v>Tot Int Stk</v>
      </c>
      <c r="V18" s="4" t="str">
        <f t="shared" si="1"/>
        <v>Bonds</v>
      </c>
      <c r="W18" s="5"/>
      <c r="Z18" s="4" t="str">
        <f>P18</f>
        <v>LC Stocks</v>
      </c>
      <c r="AA18" s="4" t="str">
        <f t="shared" ref="AA18:AG20" si="2">Q18</f>
        <v>Ext Mkt</v>
      </c>
      <c r="AB18" s="4" t="str">
        <f t="shared" si="2"/>
        <v>Mcap Stk</v>
      </c>
      <c r="AC18" s="4" t="str">
        <f t="shared" si="2"/>
        <v>Small Cap</v>
      </c>
      <c r="AD18" s="4" t="str">
        <f t="shared" si="2"/>
        <v>Intl Val</v>
      </c>
      <c r="AE18" s="4" t="str">
        <f t="shared" si="2"/>
        <v>Tot Int Stk</v>
      </c>
      <c r="AF18" s="4" t="str">
        <f t="shared" si="2"/>
        <v>Bonds</v>
      </c>
      <c r="AG18" s="5"/>
      <c r="AJ18" s="4" t="str">
        <f>Z18</f>
        <v>LC Stocks</v>
      </c>
      <c r="AK18" s="4" t="str">
        <f t="shared" ref="AK18:AQ20" si="3">AA18</f>
        <v>Ext Mkt</v>
      </c>
      <c r="AL18" s="4" t="str">
        <f t="shared" si="3"/>
        <v>Mcap Stk</v>
      </c>
      <c r="AM18" s="4" t="str">
        <f t="shared" si="3"/>
        <v>Small Cap</v>
      </c>
      <c r="AN18" s="4" t="str">
        <f t="shared" si="3"/>
        <v>Intl Val</v>
      </c>
      <c r="AO18" s="4" t="str">
        <f t="shared" si="3"/>
        <v>Tot Int Stk</v>
      </c>
      <c r="AP18" s="4" t="str">
        <f t="shared" si="3"/>
        <v>Bonds</v>
      </c>
      <c r="AQ18" s="4"/>
      <c r="AR18" t="s">
        <v>56</v>
      </c>
    </row>
    <row r="19" spans="1:44" x14ac:dyDescent="0.25">
      <c r="A19" t="s">
        <v>40</v>
      </c>
      <c r="B19" s="4" t="str">
        <f t="shared" si="0"/>
        <v>VFINX</v>
      </c>
      <c r="C19" s="4" t="str">
        <f t="shared" si="0"/>
        <v>VEXMX</v>
      </c>
      <c r="D19" s="4" t="str">
        <f t="shared" si="0"/>
        <v>VIMSX</v>
      </c>
      <c r="E19" s="4" t="str">
        <f t="shared" si="0"/>
        <v>NAESX</v>
      </c>
      <c r="F19" s="4" t="str">
        <f t="shared" si="0"/>
        <v>VTRIX</v>
      </c>
      <c r="G19" s="4" t="str">
        <f t="shared" si="0"/>
        <v>VGTSX</v>
      </c>
      <c r="H19" s="4" t="str">
        <f t="shared" si="0"/>
        <v>VBMFX</v>
      </c>
      <c r="I19" s="5" t="s">
        <v>38</v>
      </c>
      <c r="J19" s="5" t="s">
        <v>45</v>
      </c>
      <c r="K19" s="5" t="s">
        <v>43</v>
      </c>
      <c r="L19" s="5" t="s">
        <v>43</v>
      </c>
      <c r="O19" t="s">
        <v>40</v>
      </c>
      <c r="P19" s="4" t="str">
        <f>B19</f>
        <v>VFINX</v>
      </c>
      <c r="Q19" s="4" t="str">
        <f t="shared" si="1"/>
        <v>VEXMX</v>
      </c>
      <c r="R19" s="4" t="str">
        <f t="shared" si="1"/>
        <v>VIMSX</v>
      </c>
      <c r="S19" s="4" t="str">
        <f t="shared" si="1"/>
        <v>NAESX</v>
      </c>
      <c r="T19" s="4" t="str">
        <f t="shared" si="1"/>
        <v>VTRIX</v>
      </c>
      <c r="U19" s="4" t="str">
        <f t="shared" si="1"/>
        <v>VGTSX</v>
      </c>
      <c r="V19" s="4" t="str">
        <f t="shared" si="1"/>
        <v>VBMFX</v>
      </c>
      <c r="W19" s="5" t="s">
        <v>38</v>
      </c>
      <c r="Y19" t="str">
        <f>O19</f>
        <v>Fund</v>
      </c>
      <c r="Z19" s="4" t="str">
        <f>P19</f>
        <v>VFINX</v>
      </c>
      <c r="AA19" s="4" t="str">
        <f t="shared" si="2"/>
        <v>VEXMX</v>
      </c>
      <c r="AB19" s="4" t="str">
        <f t="shared" si="2"/>
        <v>VIMSX</v>
      </c>
      <c r="AC19" s="4" t="str">
        <f t="shared" si="2"/>
        <v>NAESX</v>
      </c>
      <c r="AD19" s="4" t="str">
        <f t="shared" si="2"/>
        <v>VTRIX</v>
      </c>
      <c r="AE19" s="4" t="str">
        <f t="shared" si="2"/>
        <v>VGTSX</v>
      </c>
      <c r="AF19" s="4" t="str">
        <f t="shared" si="2"/>
        <v>VBMFX</v>
      </c>
      <c r="AG19" s="4" t="str">
        <f t="shared" si="2"/>
        <v>Total</v>
      </c>
      <c r="AI19" t="s">
        <v>40</v>
      </c>
      <c r="AJ19" s="4" t="str">
        <f>Z19</f>
        <v>VFINX</v>
      </c>
      <c r="AK19" s="4" t="str">
        <f t="shared" si="3"/>
        <v>VEXMX</v>
      </c>
      <c r="AL19" s="4" t="str">
        <f t="shared" si="3"/>
        <v>VIMSX</v>
      </c>
      <c r="AM19" s="4" t="str">
        <f t="shared" si="3"/>
        <v>NAESX</v>
      </c>
      <c r="AN19" s="4" t="str">
        <f t="shared" si="3"/>
        <v>VTRIX</v>
      </c>
      <c r="AO19" s="4" t="str">
        <f t="shared" si="3"/>
        <v>VGTSX</v>
      </c>
      <c r="AP19" s="4" t="str">
        <f t="shared" si="3"/>
        <v>VBMFX</v>
      </c>
      <c r="AQ19" s="4" t="str">
        <f t="shared" si="3"/>
        <v>Total</v>
      </c>
      <c r="AR19" t="s">
        <v>55</v>
      </c>
    </row>
    <row r="20" spans="1:44" x14ac:dyDescent="0.25">
      <c r="A20" t="s">
        <v>39</v>
      </c>
      <c r="B20" s="2">
        <f>'Non-Rebalanced Strategy'!B20</f>
        <v>20000</v>
      </c>
      <c r="C20" s="2"/>
      <c r="D20" s="2">
        <f>'Non-Rebalanced Strategy'!D20</f>
        <v>20000</v>
      </c>
      <c r="E20" s="2">
        <f>'Non-Rebalanced Strategy'!E20</f>
        <v>10000</v>
      </c>
      <c r="F20" s="2"/>
      <c r="G20" s="2">
        <f>'Non-Rebalanced Strategy'!G20</f>
        <v>20000</v>
      </c>
      <c r="H20" s="2">
        <f>'Non-Rebalanced Strategy'!H20</f>
        <v>30000</v>
      </c>
      <c r="I20" s="2">
        <f>SUM(B20:H20)</f>
        <v>100000</v>
      </c>
      <c r="O20" s="19" t="s">
        <v>54</v>
      </c>
      <c r="P20" s="20">
        <f>B20/$I20</f>
        <v>0.2</v>
      </c>
      <c r="Q20" s="20"/>
      <c r="R20" s="53">
        <f>'Non-Rebalanced Strategy'!R20</f>
        <v>0.2</v>
      </c>
      <c r="S20" s="53">
        <f>'Non-Rebalanced Strategy'!S20</f>
        <v>0.1</v>
      </c>
      <c r="T20" s="20"/>
      <c r="U20" s="53">
        <f>'Non-Rebalanced Strategy'!U20</f>
        <v>0.2</v>
      </c>
      <c r="V20" s="20">
        <f>H20/$I20</f>
        <v>0.3</v>
      </c>
      <c r="W20" s="20">
        <f>I20/$I20</f>
        <v>1</v>
      </c>
      <c r="Y20" s="19" t="str">
        <f>O20</f>
        <v>Target Allocation</v>
      </c>
      <c r="Z20" s="22">
        <f>P20</f>
        <v>0.2</v>
      </c>
      <c r="AA20" s="22">
        <f t="shared" si="2"/>
        <v>0</v>
      </c>
      <c r="AB20" s="23">
        <f t="shared" si="2"/>
        <v>0.2</v>
      </c>
      <c r="AC20" s="23">
        <f t="shared" si="2"/>
        <v>0.1</v>
      </c>
      <c r="AD20" s="22">
        <f t="shared" si="2"/>
        <v>0</v>
      </c>
      <c r="AE20" s="23">
        <f t="shared" si="2"/>
        <v>0.2</v>
      </c>
      <c r="AF20" s="22">
        <f t="shared" si="2"/>
        <v>0.3</v>
      </c>
      <c r="AG20" s="22">
        <f t="shared" si="2"/>
        <v>1</v>
      </c>
      <c r="AI20" s="19" t="str">
        <f>Y20</f>
        <v>Target Allocation</v>
      </c>
      <c r="AJ20" s="22">
        <f>Z20</f>
        <v>0.2</v>
      </c>
      <c r="AK20" s="22"/>
      <c r="AL20" s="23">
        <f t="shared" si="3"/>
        <v>0.2</v>
      </c>
      <c r="AM20" s="23">
        <f t="shared" si="3"/>
        <v>0.1</v>
      </c>
      <c r="AN20" s="22"/>
      <c r="AO20" s="23">
        <f t="shared" si="3"/>
        <v>0.2</v>
      </c>
      <c r="AP20" s="22">
        <f t="shared" si="3"/>
        <v>0.3</v>
      </c>
      <c r="AQ20" s="22">
        <f t="shared" si="3"/>
        <v>1</v>
      </c>
      <c r="AR20" s="2"/>
    </row>
    <row r="21" spans="1:44" x14ac:dyDescent="0.25">
      <c r="A21">
        <f t="shared" ref="A21:A29" si="4">A4</f>
        <v>2007</v>
      </c>
      <c r="B21" s="2">
        <f>B$20*(1+(B4/100))</f>
        <v>21078</v>
      </c>
      <c r="C21" s="2"/>
      <c r="D21" s="2">
        <f>D$20*(1+(D4/100))</f>
        <v>21204.2</v>
      </c>
      <c r="E21" s="2">
        <f>E$20*(1+(E4/100))</f>
        <v>10115.6</v>
      </c>
      <c r="F21" s="2"/>
      <c r="G21" s="2">
        <f>G$20*(1+(G4/100))</f>
        <v>23104.399999999998</v>
      </c>
      <c r="H21" s="2">
        <f>H$20*(1+(H4/100))</f>
        <v>32075.999999999996</v>
      </c>
      <c r="I21" s="2">
        <f t="shared" ref="I21:I23" si="5">SUM(B21:H21)</f>
        <v>107578.2</v>
      </c>
      <c r="J21" s="2">
        <f t="shared" ref="J21" si="6">I21-I20</f>
        <v>7578.1999999999971</v>
      </c>
      <c r="K21" s="6">
        <f t="shared" ref="K21" si="7">(J21/I20)</f>
        <v>7.5781999999999974E-2</v>
      </c>
      <c r="L21" s="7">
        <f t="shared" ref="L21" si="8">K21+1</f>
        <v>1.075782</v>
      </c>
      <c r="O21">
        <f t="shared" ref="O21:O25" si="9">A21</f>
        <v>2007</v>
      </c>
      <c r="P21" s="6">
        <f t="shared" ref="P21:U25" si="10">B21/$I21</f>
        <v>0.19593188954639509</v>
      </c>
      <c r="Q21" s="6"/>
      <c r="R21" s="6">
        <f t="shared" ref="R21:S25" si="11">D21/$I21</f>
        <v>0.19710498967262885</v>
      </c>
      <c r="S21" s="6">
        <f t="shared" si="11"/>
        <v>9.4030203145246904E-2</v>
      </c>
      <c r="T21" s="6"/>
      <c r="U21" s="6">
        <f t="shared" si="10"/>
        <v>0.21476841962405022</v>
      </c>
      <c r="V21" s="6">
        <f t="shared" ref="V21:V25" si="12">H21/$I21</f>
        <v>0.29816449801167894</v>
      </c>
      <c r="W21" s="20">
        <f>SUM(P21:V21)</f>
        <v>1</v>
      </c>
      <c r="Y21">
        <f t="shared" ref="Y21:Y25" si="13">O21</f>
        <v>2007</v>
      </c>
      <c r="Z21" s="1" t="b">
        <f t="shared" ref="Z21:Z25" si="14">AND((B21/$I21)&gt;0.15,(B21/$I21)&lt;0.25)</f>
        <v>1</v>
      </c>
      <c r="AB21" s="1" t="b">
        <f t="shared" ref="AB21:AB25" si="15">AND((D21/$I21)&gt;0.15,(D21/$I21)&lt;0.25)</f>
        <v>1</v>
      </c>
      <c r="AC21" s="1" t="b">
        <f t="shared" ref="AC21:AC25" si="16">AND((E21/$I21)&gt;0.05,(E21/$I21)&lt;0.15)</f>
        <v>1</v>
      </c>
      <c r="AE21" s="1" t="b">
        <f t="shared" ref="AE21:AE25" si="17">AND((G21/$I21)&gt;0.15,(G21/$I21)&lt;0.25)</f>
        <v>1</v>
      </c>
      <c r="AF21" s="1" t="b">
        <f t="shared" ref="AF21:AF27" si="18">AND((H21/$I21)&gt;0.25,(H21/$I21)&lt;0.35)</f>
        <v>1</v>
      </c>
      <c r="AG21" s="1" t="b">
        <f t="shared" ref="AG21:AG25" si="19">AND((I21/$I21)&gt;0.999,(I21/$I21)&lt;1.01)</f>
        <v>1</v>
      </c>
      <c r="AI21">
        <f t="shared" ref="AI21:AI25" si="20">A21</f>
        <v>2007</v>
      </c>
      <c r="AJ21" s="2">
        <f t="shared" ref="AJ21" si="21">B21</f>
        <v>21078</v>
      </c>
      <c r="AK21" s="2"/>
      <c r="AL21" s="2">
        <f t="shared" ref="AL21" si="22">D21</f>
        <v>21204.2</v>
      </c>
      <c r="AM21" s="2">
        <f t="shared" ref="AM21" si="23">E21</f>
        <v>10115.6</v>
      </c>
      <c r="AN21" s="2"/>
      <c r="AO21" s="2">
        <f t="shared" ref="AO21" si="24">G21</f>
        <v>23104.399999999998</v>
      </c>
      <c r="AP21" s="2">
        <f t="shared" ref="AP21" si="25">H21</f>
        <v>32075.999999999996</v>
      </c>
      <c r="AQ21" s="2">
        <f t="shared" ref="AQ21:AQ25" si="26">I21</f>
        <v>107578.2</v>
      </c>
      <c r="AR21" s="2">
        <f t="shared" ref="AR21:AR25" si="27">(SUM(AJ21:AP21))-AQ21</f>
        <v>0</v>
      </c>
    </row>
    <row r="22" spans="1:44" x14ac:dyDescent="0.25">
      <c r="A22">
        <f t="shared" si="4"/>
        <v>2008</v>
      </c>
      <c r="B22" s="2">
        <f t="shared" ref="B22:B29" si="28">AJ21*(1+(B5/100))</f>
        <v>13274.924399999998</v>
      </c>
      <c r="C22" s="2"/>
      <c r="D22" s="2">
        <f t="shared" ref="D22:E28" si="29">AL21*(1+(D5/100))</f>
        <v>12335.755392000001</v>
      </c>
      <c r="E22" s="2">
        <f t="shared" si="29"/>
        <v>6466.90308</v>
      </c>
      <c r="F22" s="2"/>
      <c r="G22" s="2">
        <f t="shared" ref="G22:H28" si="30">AO21*(1+(G5/100))</f>
        <v>12915.128555999998</v>
      </c>
      <c r="H22" s="2">
        <f t="shared" si="30"/>
        <v>33695.837999999996</v>
      </c>
      <c r="I22" s="2">
        <f t="shared" si="5"/>
        <v>78688.549427999998</v>
      </c>
      <c r="J22" s="2">
        <f t="shared" ref="J22:J25" si="31">I22-I21</f>
        <v>-28889.650571999999</v>
      </c>
      <c r="K22" s="6">
        <f t="shared" ref="K22:K25" si="32">(J22/I21)</f>
        <v>-0.26854558425405889</v>
      </c>
      <c r="L22" s="7">
        <f t="shared" ref="L22:L25" si="33">K22+1</f>
        <v>0.73145441574594106</v>
      </c>
      <c r="O22">
        <f t="shared" si="9"/>
        <v>2008</v>
      </c>
      <c r="P22" s="6">
        <f t="shared" si="10"/>
        <v>0.16870211099960039</v>
      </c>
      <c r="Q22" s="6"/>
      <c r="R22" s="6">
        <f t="shared" si="11"/>
        <v>0.15676684195693827</v>
      </c>
      <c r="S22" s="6">
        <f t="shared" si="11"/>
        <v>8.2183534033972938E-2</v>
      </c>
      <c r="T22" s="6"/>
      <c r="U22" s="6">
        <f t="shared" si="10"/>
        <v>0.1641297069253683</v>
      </c>
      <c r="V22" s="6">
        <f t="shared" si="12"/>
        <v>0.42821780608412002</v>
      </c>
      <c r="W22" s="20">
        <f t="shared" ref="W22:W25" si="34">SUM(P22:V22)</f>
        <v>1</v>
      </c>
      <c r="Y22">
        <f t="shared" si="13"/>
        <v>2008</v>
      </c>
      <c r="Z22" s="1" t="b">
        <f t="shared" si="14"/>
        <v>1</v>
      </c>
      <c r="AB22" s="1" t="b">
        <f t="shared" si="15"/>
        <v>1</v>
      </c>
      <c r="AC22" s="1" t="b">
        <f t="shared" si="16"/>
        <v>1</v>
      </c>
      <c r="AE22" s="1" t="b">
        <f t="shared" si="17"/>
        <v>1</v>
      </c>
      <c r="AF22" s="1" t="b">
        <f t="shared" si="18"/>
        <v>0</v>
      </c>
      <c r="AG22" s="1" t="b">
        <f t="shared" si="19"/>
        <v>1</v>
      </c>
      <c r="AI22">
        <f t="shared" si="20"/>
        <v>2008</v>
      </c>
      <c r="AJ22" s="24">
        <f>AJ$20*$AQ22</f>
        <v>15737.709885600001</v>
      </c>
      <c r="AK22" s="2"/>
      <c r="AL22" s="24">
        <f>AL$20*$AQ22</f>
        <v>15737.709885600001</v>
      </c>
      <c r="AM22" s="24">
        <f>AM$20*$AQ22</f>
        <v>7868.8549428000006</v>
      </c>
      <c r="AN22" s="2"/>
      <c r="AO22" s="24">
        <f>AO$20*$AQ22</f>
        <v>15737.709885600001</v>
      </c>
      <c r="AP22" s="24">
        <f>AP$20*$AQ22</f>
        <v>23606.564828399998</v>
      </c>
      <c r="AQ22" s="2">
        <f t="shared" si="26"/>
        <v>78688.549427999998</v>
      </c>
      <c r="AR22" s="2">
        <f t="shared" si="27"/>
        <v>0</v>
      </c>
    </row>
    <row r="23" spans="1:44" x14ac:dyDescent="0.25">
      <c r="A23">
        <f t="shared" si="4"/>
        <v>2009</v>
      </c>
      <c r="B23" s="2">
        <f t="shared" si="28"/>
        <v>19906.62923429544</v>
      </c>
      <c r="C23" s="2"/>
      <c r="D23" s="2">
        <f t="shared" si="29"/>
        <v>22067.10204739061</v>
      </c>
      <c r="E23" s="2">
        <f t="shared" si="29"/>
        <v>10710.927971040504</v>
      </c>
      <c r="F23" s="2"/>
      <c r="G23" s="2">
        <f t="shared" si="30"/>
        <v>21517.698595284313</v>
      </c>
      <c r="H23" s="2">
        <f t="shared" si="30"/>
        <v>25006.434122724117</v>
      </c>
      <c r="I23" s="2">
        <f t="shared" si="5"/>
        <v>99208.791970734979</v>
      </c>
      <c r="J23" s="2">
        <f t="shared" si="31"/>
        <v>20520.242542734981</v>
      </c>
      <c r="K23" s="6">
        <f t="shared" si="32"/>
        <v>0.26077799999999995</v>
      </c>
      <c r="L23" s="7">
        <f t="shared" si="33"/>
        <v>1.260778</v>
      </c>
      <c r="O23">
        <f t="shared" si="9"/>
        <v>2009</v>
      </c>
      <c r="P23" s="6">
        <f t="shared" si="10"/>
        <v>0.20065388196811812</v>
      </c>
      <c r="Q23" s="6"/>
      <c r="R23" s="6">
        <f t="shared" si="11"/>
        <v>0.22243091170689847</v>
      </c>
      <c r="S23" s="6">
        <f t="shared" si="11"/>
        <v>0.10796349555591865</v>
      </c>
      <c r="T23" s="6"/>
      <c r="U23" s="6">
        <f t="shared" si="10"/>
        <v>0.21689306126851834</v>
      </c>
      <c r="V23" s="34">
        <f t="shared" si="12"/>
        <v>0.25205864950054646</v>
      </c>
      <c r="W23" s="20">
        <f t="shared" si="34"/>
        <v>1</v>
      </c>
      <c r="Y23">
        <f t="shared" si="13"/>
        <v>2009</v>
      </c>
      <c r="Z23" s="1" t="b">
        <f t="shared" si="14"/>
        <v>1</v>
      </c>
      <c r="AB23" s="1" t="b">
        <f t="shared" si="15"/>
        <v>1</v>
      </c>
      <c r="AC23" s="1" t="b">
        <f t="shared" si="16"/>
        <v>1</v>
      </c>
      <c r="AE23" s="1" t="b">
        <f t="shared" si="17"/>
        <v>1</v>
      </c>
      <c r="AF23" s="1" t="b">
        <f t="shared" si="18"/>
        <v>1</v>
      </c>
      <c r="AG23" s="1" t="b">
        <f t="shared" si="19"/>
        <v>1</v>
      </c>
      <c r="AI23">
        <f t="shared" si="20"/>
        <v>2009</v>
      </c>
      <c r="AJ23" s="2">
        <f t="shared" ref="AJ23" si="35">B23</f>
        <v>19906.62923429544</v>
      </c>
      <c r="AK23" s="2"/>
      <c r="AL23" s="2">
        <f t="shared" ref="AL23" si="36">D23</f>
        <v>22067.10204739061</v>
      </c>
      <c r="AM23" s="2">
        <f t="shared" ref="AM23" si="37">E23</f>
        <v>10710.927971040504</v>
      </c>
      <c r="AN23" s="2"/>
      <c r="AO23" s="2">
        <f t="shared" ref="AO23" si="38">G23</f>
        <v>21517.698595284313</v>
      </c>
      <c r="AP23" s="2">
        <f t="shared" ref="AP23" si="39">H23</f>
        <v>25006.434122724117</v>
      </c>
      <c r="AQ23" s="2">
        <f t="shared" ref="AQ23" si="40">I23</f>
        <v>99208.791970734979</v>
      </c>
      <c r="AR23" s="2">
        <f t="shared" si="27"/>
        <v>0</v>
      </c>
    </row>
    <row r="24" spans="1:44" x14ac:dyDescent="0.25">
      <c r="A24">
        <f t="shared" si="4"/>
        <v>2010</v>
      </c>
      <c r="B24" s="2">
        <f t="shared" si="28"/>
        <v>22874.707653128891</v>
      </c>
      <c r="C24" s="2"/>
      <c r="D24" s="2">
        <f t="shared" si="29"/>
        <v>27685.386228656258</v>
      </c>
      <c r="E24" s="2">
        <f t="shared" si="29"/>
        <v>13679.997204612933</v>
      </c>
      <c r="F24" s="2"/>
      <c r="G24" s="2">
        <f t="shared" si="30"/>
        <v>23910.466679079927</v>
      </c>
      <c r="H24" s="2">
        <f t="shared" si="30"/>
        <v>26611.847193403006</v>
      </c>
      <c r="I24" s="2">
        <f t="shared" ref="I24:I25" si="41">SUM(B24:H24)</f>
        <v>114762.40495888102</v>
      </c>
      <c r="J24" s="2">
        <f t="shared" si="31"/>
        <v>15553.612988146037</v>
      </c>
      <c r="K24" s="6">
        <f t="shared" si="32"/>
        <v>0.15677655860111778</v>
      </c>
      <c r="L24" s="7">
        <f t="shared" si="33"/>
        <v>1.1567765586011178</v>
      </c>
      <c r="O24">
        <f t="shared" si="9"/>
        <v>2010</v>
      </c>
      <c r="P24" s="6">
        <f t="shared" si="10"/>
        <v>0.19932230996139216</v>
      </c>
      <c r="Q24" s="6"/>
      <c r="R24" s="6">
        <f t="shared" si="11"/>
        <v>0.24124090322589387</v>
      </c>
      <c r="S24" s="6">
        <f t="shared" si="11"/>
        <v>0.11920277559113919</v>
      </c>
      <c r="T24" s="6"/>
      <c r="U24" s="6">
        <f t="shared" si="10"/>
        <v>0.20834755674253225</v>
      </c>
      <c r="V24" s="6">
        <f t="shared" si="12"/>
        <v>0.23188645447904252</v>
      </c>
      <c r="W24" s="20">
        <f t="shared" si="34"/>
        <v>1</v>
      </c>
      <c r="Y24">
        <f t="shared" si="13"/>
        <v>2010</v>
      </c>
      <c r="Z24" s="1" t="b">
        <f t="shared" si="14"/>
        <v>1</v>
      </c>
      <c r="AB24" s="1" t="b">
        <f t="shared" si="15"/>
        <v>1</v>
      </c>
      <c r="AC24" s="1" t="b">
        <f t="shared" si="16"/>
        <v>1</v>
      </c>
      <c r="AE24" s="1" t="b">
        <f t="shared" si="17"/>
        <v>1</v>
      </c>
      <c r="AF24" s="35" t="b">
        <f t="shared" si="18"/>
        <v>0</v>
      </c>
      <c r="AG24" s="1" t="b">
        <f t="shared" si="19"/>
        <v>1</v>
      </c>
      <c r="AI24">
        <f t="shared" si="20"/>
        <v>2010</v>
      </c>
      <c r="AJ24" s="24">
        <f>AJ$20*$AQ24</f>
        <v>22952.480991776203</v>
      </c>
      <c r="AK24" s="2"/>
      <c r="AL24" s="24">
        <f>AL$20*$AQ24</f>
        <v>22952.480991776203</v>
      </c>
      <c r="AM24" s="24">
        <f>AM$20*$AQ24</f>
        <v>11476.240495888102</v>
      </c>
      <c r="AN24" s="58"/>
      <c r="AO24" s="24">
        <f>AO$20*$AQ24</f>
        <v>22952.480991776203</v>
      </c>
      <c r="AP24" s="24">
        <f>AP$20*$AQ24</f>
        <v>34428.721487664305</v>
      </c>
      <c r="AQ24" s="2">
        <f t="shared" si="26"/>
        <v>114762.40495888102</v>
      </c>
      <c r="AR24" s="2">
        <f t="shared" si="27"/>
        <v>0</v>
      </c>
    </row>
    <row r="25" spans="1:44" x14ac:dyDescent="0.25">
      <c r="A25">
        <f t="shared" si="4"/>
        <v>2011</v>
      </c>
      <c r="B25" s="2">
        <f t="shared" si="28"/>
        <v>23404.644867314197</v>
      </c>
      <c r="C25" s="2"/>
      <c r="D25" s="2">
        <f t="shared" si="29"/>
        <v>22468.183642849726</v>
      </c>
      <c r="E25" s="2">
        <f t="shared" si="29"/>
        <v>11154.905762003234</v>
      </c>
      <c r="F25" s="2"/>
      <c r="G25" s="2">
        <f t="shared" si="30"/>
        <v>19610.599759373588</v>
      </c>
      <c r="H25" s="2">
        <f t="shared" si="30"/>
        <v>37031.532832131728</v>
      </c>
      <c r="I25" s="2">
        <f t="shared" si="41"/>
        <v>113669.86686367248</v>
      </c>
      <c r="J25" s="2">
        <f t="shared" si="31"/>
        <v>-1092.5380952085397</v>
      </c>
      <c r="K25" s="6">
        <f t="shared" si="32"/>
        <v>-9.5199999999999348E-3</v>
      </c>
      <c r="L25" s="7">
        <f t="shared" si="33"/>
        <v>0.99048000000000003</v>
      </c>
      <c r="O25">
        <f t="shared" si="9"/>
        <v>2011</v>
      </c>
      <c r="P25" s="34">
        <f t="shared" si="10"/>
        <v>0.20590016961473226</v>
      </c>
      <c r="Q25" s="6"/>
      <c r="R25" s="6">
        <f t="shared" si="11"/>
        <v>0.19766173976253937</v>
      </c>
      <c r="S25" s="6">
        <f t="shared" si="11"/>
        <v>9.8134237945238664E-2</v>
      </c>
      <c r="T25" s="7"/>
      <c r="U25" s="6">
        <f t="shared" si="10"/>
        <v>0.17252241337533317</v>
      </c>
      <c r="V25" s="6">
        <f t="shared" si="12"/>
        <v>0.32578143930215653</v>
      </c>
      <c r="W25" s="20">
        <f t="shared" si="34"/>
        <v>1</v>
      </c>
      <c r="Y25">
        <f t="shared" si="13"/>
        <v>2011</v>
      </c>
      <c r="Z25" s="1" t="b">
        <f t="shared" si="14"/>
        <v>1</v>
      </c>
      <c r="AB25" s="1" t="b">
        <f t="shared" si="15"/>
        <v>1</v>
      </c>
      <c r="AC25" s="1" t="b">
        <f t="shared" si="16"/>
        <v>1</v>
      </c>
      <c r="AE25" s="1" t="b">
        <f t="shared" si="17"/>
        <v>1</v>
      </c>
      <c r="AF25" s="1" t="b">
        <f t="shared" si="18"/>
        <v>1</v>
      </c>
      <c r="AG25" s="1" t="b">
        <f t="shared" si="19"/>
        <v>1</v>
      </c>
      <c r="AI25">
        <f t="shared" si="20"/>
        <v>2011</v>
      </c>
      <c r="AJ25" s="58">
        <f t="shared" ref="AJ25" si="42">B25</f>
        <v>23404.644867314197</v>
      </c>
      <c r="AK25" s="58"/>
      <c r="AL25" s="58">
        <f t="shared" ref="AL25" si="43">D25</f>
        <v>22468.183642849726</v>
      </c>
      <c r="AM25" s="58">
        <f t="shared" ref="AM25" si="44">E25</f>
        <v>11154.905762003234</v>
      </c>
      <c r="AN25" s="58"/>
      <c r="AO25" s="2">
        <f t="shared" ref="AO25" si="45">G25</f>
        <v>19610.599759373588</v>
      </c>
      <c r="AP25" s="2">
        <f t="shared" ref="AP25" si="46">H25</f>
        <v>37031.532832131728</v>
      </c>
      <c r="AQ25" s="2">
        <f t="shared" si="26"/>
        <v>113669.86686367248</v>
      </c>
      <c r="AR25" s="2">
        <f t="shared" si="27"/>
        <v>0</v>
      </c>
    </row>
    <row r="26" spans="1:44" x14ac:dyDescent="0.25">
      <c r="A26">
        <f t="shared" si="4"/>
        <v>2012</v>
      </c>
      <c r="B26" s="2">
        <f t="shared" si="28"/>
        <v>27107.259685323301</v>
      </c>
      <c r="C26" s="2"/>
      <c r="D26" s="2">
        <f t="shared" si="29"/>
        <v>26018.156658419983</v>
      </c>
      <c r="E26" s="2">
        <f t="shared" si="29"/>
        <v>13167.25076146862</v>
      </c>
      <c r="F26" s="2"/>
      <c r="G26" s="2">
        <f t="shared" si="30"/>
        <v>23167.962555723956</v>
      </c>
      <c r="H26" s="2">
        <f t="shared" si="30"/>
        <v>38531.309911833065</v>
      </c>
      <c r="I26" s="2">
        <f t="shared" ref="I26:I28" si="47">SUM(B26:H26)</f>
        <v>127991.93957276893</v>
      </c>
      <c r="J26" s="2">
        <f t="shared" ref="J26:J28" si="48">I26-I25</f>
        <v>14322.07270909645</v>
      </c>
      <c r="K26" s="6">
        <f t="shared" ref="K26:K28" si="49">(J26/I25)</f>
        <v>0.12599709231887568</v>
      </c>
      <c r="L26" s="7">
        <f t="shared" ref="L26:L28" si="50">K26+1</f>
        <v>1.1259970923188756</v>
      </c>
      <c r="O26">
        <f t="shared" ref="O26:O28" si="51">A26</f>
        <v>2012</v>
      </c>
      <c r="P26" s="6">
        <f t="shared" ref="P26:P28" si="52">B26/$I26</f>
        <v>0.21178880307467843</v>
      </c>
      <c r="Q26" s="6"/>
      <c r="R26" s="6">
        <f t="shared" ref="R26:R28" si="53">D26/$I26</f>
        <v>0.20327964983785202</v>
      </c>
      <c r="S26" s="6">
        <f t="shared" ref="S26:S28" si="54">E26/$I26</f>
        <v>0.1028756248668493</v>
      </c>
      <c r="T26" s="6"/>
      <c r="U26" s="6">
        <f t="shared" ref="U26:U28" si="55">G26/$I26</f>
        <v>0.18101110611385002</v>
      </c>
      <c r="V26" s="6">
        <f t="shared" ref="V26:V28" si="56">H26/$I26</f>
        <v>0.3010448161067702</v>
      </c>
      <c r="W26" s="20">
        <f t="shared" ref="W26:W28" si="57">SUM(P26:V26)</f>
        <v>1</v>
      </c>
      <c r="Y26">
        <f t="shared" ref="Y26:Y28" si="58">O26</f>
        <v>2012</v>
      </c>
      <c r="Z26" s="1" t="b">
        <f t="shared" ref="Z26:Z28" si="59">AND((B26/$I26)&gt;0.15,(B26/$I26)&lt;0.25)</f>
        <v>1</v>
      </c>
      <c r="AB26" s="1" t="b">
        <f t="shared" ref="AB26:AB28" si="60">AND((D26/$I26)&gt;0.15,(D26/$I26)&lt;0.25)</f>
        <v>1</v>
      </c>
      <c r="AC26" s="1" t="b">
        <f t="shared" ref="AC26:AC28" si="61">AND((E26/$I26)&gt;0.05,(E26/$I26)&lt;0.15)</f>
        <v>1</v>
      </c>
      <c r="AE26" s="1" t="b">
        <f t="shared" ref="AE26:AE28" si="62">AND((G26/$I26)&gt;0.15,(G26/$I26)&lt;0.25)</f>
        <v>1</v>
      </c>
      <c r="AF26" s="1" t="b">
        <f t="shared" ref="AF26:AF28" si="63">AND((H26/$I26)&gt;0.25,(H26/$I26)&lt;0.35)</f>
        <v>1</v>
      </c>
      <c r="AG26" s="1" t="b">
        <f t="shared" ref="AG26:AG28" si="64">AND((I26/$I26)&gt;0.999,(I26/$I26)&lt;1.01)</f>
        <v>1</v>
      </c>
      <c r="AI26">
        <f t="shared" ref="AI26:AI28" si="65">A26</f>
        <v>2012</v>
      </c>
      <c r="AJ26" s="58">
        <f t="shared" ref="AJ26:AJ28" si="66">B26</f>
        <v>27107.259685323301</v>
      </c>
      <c r="AK26" s="58"/>
      <c r="AL26" s="58">
        <f t="shared" ref="AL26:AL28" si="67">D26</f>
        <v>26018.156658419983</v>
      </c>
      <c r="AM26" s="58">
        <f t="shared" ref="AM26:AM28" si="68">E26</f>
        <v>13167.25076146862</v>
      </c>
      <c r="AN26" s="58"/>
      <c r="AO26" s="2">
        <f t="shared" ref="AO26:AO28" si="69">G26</f>
        <v>23167.962555723956</v>
      </c>
      <c r="AP26" s="2">
        <f t="shared" ref="AP26:AP28" si="70">H26</f>
        <v>38531.309911833065</v>
      </c>
      <c r="AQ26" s="2">
        <f t="shared" ref="AQ26:AQ28" si="71">I26</f>
        <v>127991.93957276893</v>
      </c>
      <c r="AR26" s="2">
        <f t="shared" ref="AR26:AR28" si="72">(SUM(AJ26:AP26))-AQ26</f>
        <v>0</v>
      </c>
    </row>
    <row r="27" spans="1:44" x14ac:dyDescent="0.25">
      <c r="A27">
        <f t="shared" si="4"/>
        <v>2013</v>
      </c>
      <c r="B27" s="2">
        <f t="shared" si="28"/>
        <v>35830.375852060344</v>
      </c>
      <c r="C27" s="2"/>
      <c r="D27" s="2">
        <f t="shared" si="29"/>
        <v>35124.511488866978</v>
      </c>
      <c r="E27" s="2">
        <f t="shared" si="29"/>
        <v>18120.770497933114</v>
      </c>
      <c r="F27" s="2"/>
      <c r="G27" s="2">
        <f t="shared" si="30"/>
        <v>26652.424124104837</v>
      </c>
      <c r="H27" s="2">
        <f t="shared" si="30"/>
        <v>37660.502307825642</v>
      </c>
      <c r="I27" s="2">
        <f t="shared" si="47"/>
        <v>153388.58427079092</v>
      </c>
      <c r="J27" s="2">
        <f t="shared" si="48"/>
        <v>25396.644698021992</v>
      </c>
      <c r="K27" s="6">
        <f t="shared" si="49"/>
        <v>0.19842378186309853</v>
      </c>
      <c r="L27" s="7">
        <f t="shared" si="50"/>
        <v>1.1984237818630985</v>
      </c>
      <c r="O27">
        <f t="shared" si="51"/>
        <v>2013</v>
      </c>
      <c r="P27" s="6">
        <f t="shared" si="52"/>
        <v>0.23359219346340468</v>
      </c>
      <c r="Q27" s="6"/>
      <c r="R27" s="6">
        <f t="shared" si="53"/>
        <v>0.22899038840373193</v>
      </c>
      <c r="S27" s="6">
        <f t="shared" si="54"/>
        <v>0.11813636969191174</v>
      </c>
      <c r="T27" s="6"/>
      <c r="U27" s="6">
        <f t="shared" si="55"/>
        <v>0.17375754689183956</v>
      </c>
      <c r="V27" s="6">
        <f t="shared" si="56"/>
        <v>0.24552350154911207</v>
      </c>
      <c r="W27" s="20">
        <f t="shared" si="57"/>
        <v>1</v>
      </c>
      <c r="Y27">
        <f t="shared" si="58"/>
        <v>2013</v>
      </c>
      <c r="Z27" s="1" t="b">
        <f t="shared" si="59"/>
        <v>1</v>
      </c>
      <c r="AB27" s="1" t="b">
        <f t="shared" si="60"/>
        <v>1</v>
      </c>
      <c r="AC27" s="1" t="b">
        <f t="shared" si="61"/>
        <v>1</v>
      </c>
      <c r="AE27" s="1" t="b">
        <f t="shared" si="62"/>
        <v>1</v>
      </c>
      <c r="AF27" s="35" t="b">
        <f t="shared" si="18"/>
        <v>0</v>
      </c>
      <c r="AG27" s="1" t="b">
        <f t="shared" si="64"/>
        <v>1</v>
      </c>
      <c r="AI27">
        <f t="shared" si="65"/>
        <v>2013</v>
      </c>
      <c r="AJ27" s="24">
        <f>AJ$20*$AQ27</f>
        <v>30677.716854158185</v>
      </c>
      <c r="AK27" s="2"/>
      <c r="AL27" s="24">
        <f>AL$20*$AQ27</f>
        <v>30677.716854158185</v>
      </c>
      <c r="AM27" s="24">
        <f>AM$20*$AQ27</f>
        <v>15338.858427079093</v>
      </c>
      <c r="AN27" s="58"/>
      <c r="AO27" s="24">
        <f>AO$20*$AQ27</f>
        <v>30677.716854158185</v>
      </c>
      <c r="AP27" s="24">
        <f>AP$20*$AQ27</f>
        <v>46016.575281237274</v>
      </c>
      <c r="AQ27" s="2">
        <f t="shared" si="71"/>
        <v>153388.58427079092</v>
      </c>
      <c r="AR27" s="2">
        <f t="shared" si="72"/>
        <v>0</v>
      </c>
    </row>
    <row r="28" spans="1:44" x14ac:dyDescent="0.25">
      <c r="A28">
        <f t="shared" si="4"/>
        <v>2014</v>
      </c>
      <c r="B28" s="2">
        <f t="shared" si="28"/>
        <v>34822.276401154959</v>
      </c>
      <c r="C28" s="2"/>
      <c r="D28" s="2">
        <f t="shared" si="29"/>
        <v>34849.886346323699</v>
      </c>
      <c r="E28" s="2">
        <f t="shared" si="29"/>
        <v>16469.332293154825</v>
      </c>
      <c r="F28" s="2"/>
      <c r="G28" s="2">
        <f t="shared" si="30"/>
        <v>29376.981659541878</v>
      </c>
      <c r="H28" s="2">
        <f t="shared" si="30"/>
        <v>48667.130017436546</v>
      </c>
      <c r="I28" s="2">
        <f t="shared" si="47"/>
        <v>164185.6067176119</v>
      </c>
      <c r="J28" s="2">
        <f t="shared" si="48"/>
        <v>10797.022446820978</v>
      </c>
      <c r="K28" s="6">
        <f t="shared" si="49"/>
        <v>7.0390000000000036E-2</v>
      </c>
      <c r="L28" s="7">
        <f t="shared" si="50"/>
        <v>1.07039</v>
      </c>
      <c r="O28">
        <f t="shared" si="51"/>
        <v>2014</v>
      </c>
      <c r="P28" s="6">
        <f t="shared" si="52"/>
        <v>0.21209092013191455</v>
      </c>
      <c r="Q28" s="6"/>
      <c r="R28" s="6">
        <f t="shared" si="53"/>
        <v>0.21225908313792169</v>
      </c>
      <c r="S28" s="6">
        <f t="shared" si="54"/>
        <v>0.10030923308326874</v>
      </c>
      <c r="T28" s="6"/>
      <c r="U28" s="6">
        <f t="shared" si="55"/>
        <v>0.17892543839161426</v>
      </c>
      <c r="V28" s="6">
        <f t="shared" si="56"/>
        <v>0.2964153252552808</v>
      </c>
      <c r="W28" s="20">
        <f t="shared" si="57"/>
        <v>1</v>
      </c>
      <c r="Y28">
        <f t="shared" si="58"/>
        <v>2014</v>
      </c>
      <c r="Z28" s="1" t="b">
        <f t="shared" si="59"/>
        <v>1</v>
      </c>
      <c r="AB28" s="1" t="b">
        <f t="shared" si="60"/>
        <v>1</v>
      </c>
      <c r="AC28" s="1" t="b">
        <f t="shared" si="61"/>
        <v>1</v>
      </c>
      <c r="AE28" s="1" t="b">
        <f t="shared" si="62"/>
        <v>1</v>
      </c>
      <c r="AF28" s="1" t="b">
        <f t="shared" si="63"/>
        <v>1</v>
      </c>
      <c r="AG28" s="1" t="b">
        <f t="shared" si="64"/>
        <v>1</v>
      </c>
      <c r="AI28">
        <f t="shared" si="65"/>
        <v>2014</v>
      </c>
      <c r="AJ28" s="58">
        <f t="shared" si="66"/>
        <v>34822.276401154959</v>
      </c>
      <c r="AK28" s="58"/>
      <c r="AL28" s="58">
        <f t="shared" si="67"/>
        <v>34849.886346323699</v>
      </c>
      <c r="AM28" s="58">
        <f t="shared" si="68"/>
        <v>16469.332293154825</v>
      </c>
      <c r="AN28" s="58"/>
      <c r="AO28" s="2">
        <f t="shared" si="69"/>
        <v>29376.981659541878</v>
      </c>
      <c r="AP28" s="2">
        <f t="shared" si="70"/>
        <v>48667.130017436546</v>
      </c>
      <c r="AQ28" s="2">
        <f t="shared" si="71"/>
        <v>164185.6067176119</v>
      </c>
      <c r="AR28" s="2">
        <f t="shared" si="72"/>
        <v>0</v>
      </c>
    </row>
    <row r="29" spans="1:44" x14ac:dyDescent="0.25">
      <c r="A29">
        <f t="shared" si="4"/>
        <v>2015</v>
      </c>
      <c r="B29" s="2">
        <f t="shared" si="28"/>
        <v>35257.554856169394</v>
      </c>
      <c r="C29" s="2"/>
      <c r="D29" s="2">
        <f t="shared" ref="D29:E29" si="73">AL28*(1+(D12/100))</f>
        <v>34341.078005667376</v>
      </c>
      <c r="E29" s="2">
        <f t="shared" si="73"/>
        <v>15846.791532473571</v>
      </c>
      <c r="F29" s="2"/>
      <c r="G29" s="2">
        <f t="shared" ref="G29:H29" si="74">AO28*(1+(G12/100))</f>
        <v>28093.207561019899</v>
      </c>
      <c r="H29" s="2">
        <f t="shared" si="74"/>
        <v>48813.131407488851</v>
      </c>
      <c r="I29" s="2">
        <f t="shared" ref="I29" si="75">SUM(B29:H29)</f>
        <v>162351.7633628191</v>
      </c>
      <c r="J29" s="2">
        <f t="shared" ref="J29" si="76">I29-I28</f>
        <v>-1833.8433547927998</v>
      </c>
      <c r="K29" s="6">
        <f t="shared" ref="K29" si="77">(J29/I28)</f>
        <v>-1.1169330804659912E-2</v>
      </c>
      <c r="L29" s="7">
        <f t="shared" ref="L29" si="78">K29+1</f>
        <v>0.98883066919534013</v>
      </c>
      <c r="O29">
        <f t="shared" ref="O29" si="79">A29</f>
        <v>2015</v>
      </c>
      <c r="P29" s="6">
        <f t="shared" ref="P29" si="80">B29/$I29</f>
        <v>0.21716767422708441</v>
      </c>
      <c r="Q29" s="6"/>
      <c r="R29" s="6">
        <f t="shared" ref="R29" si="81">D29/$I29</f>
        <v>0.21152266716637325</v>
      </c>
      <c r="S29" s="6">
        <f t="shared" ref="S29" si="82">E29/$I29</f>
        <v>9.7607757404270468E-2</v>
      </c>
      <c r="T29" s="6"/>
      <c r="U29" s="6">
        <f t="shared" ref="U29" si="83">G29/$I29</f>
        <v>0.17303912799664514</v>
      </c>
      <c r="V29" s="6">
        <f t="shared" ref="V29" si="84">H29/$I29</f>
        <v>0.30066277320562668</v>
      </c>
      <c r="W29" s="20">
        <f t="shared" ref="W29" si="85">SUM(P29:V29)</f>
        <v>1</v>
      </c>
      <c r="Y29">
        <f t="shared" ref="Y29" si="86">O29</f>
        <v>2015</v>
      </c>
      <c r="Z29" s="1" t="b">
        <f t="shared" ref="Z29" si="87">AND((B29/$I29)&gt;0.15,(B29/$I29)&lt;0.25)</f>
        <v>1</v>
      </c>
      <c r="AB29" s="1" t="b">
        <f t="shared" ref="AB29" si="88">AND((D29/$I29)&gt;0.15,(D29/$I29)&lt;0.25)</f>
        <v>1</v>
      </c>
      <c r="AC29" s="1" t="b">
        <f t="shared" ref="AC29" si="89">AND((E29/$I29)&gt;0.05,(E29/$I29)&lt;0.15)</f>
        <v>1</v>
      </c>
      <c r="AE29" s="1" t="b">
        <f t="shared" ref="AE29" si="90">AND((G29/$I29)&gt;0.15,(G29/$I29)&lt;0.25)</f>
        <v>1</v>
      </c>
      <c r="AF29" s="1" t="b">
        <f t="shared" ref="AF29" si="91">AND((H29/$I29)&gt;0.25,(H29/$I29)&lt;0.35)</f>
        <v>1</v>
      </c>
      <c r="AG29" s="1" t="b">
        <f t="shared" ref="AG29" si="92">AND((I29/$I29)&gt;0.999,(I29/$I29)&lt;1.01)</f>
        <v>1</v>
      </c>
      <c r="AI29">
        <f t="shared" ref="AI29" si="93">A29</f>
        <v>2015</v>
      </c>
      <c r="AJ29" s="58">
        <f t="shared" ref="AJ29" si="94">B29</f>
        <v>35257.554856169394</v>
      </c>
      <c r="AK29" s="58"/>
      <c r="AL29" s="58">
        <f t="shared" ref="AL29" si="95">D29</f>
        <v>34341.078005667376</v>
      </c>
      <c r="AM29" s="58">
        <f t="shared" ref="AM29" si="96">E29</f>
        <v>15846.791532473571</v>
      </c>
      <c r="AN29" s="58"/>
      <c r="AO29" s="2">
        <f t="shared" ref="AO29" si="97">G29</f>
        <v>28093.207561019899</v>
      </c>
      <c r="AP29" s="2">
        <f t="shared" ref="AP29" si="98">H29</f>
        <v>48813.131407488851</v>
      </c>
      <c r="AQ29" s="2">
        <f t="shared" ref="AQ29" si="99">I29</f>
        <v>162351.7633628191</v>
      </c>
      <c r="AR29" s="2">
        <f t="shared" ref="AR29" si="100">(SUM(AJ29:AP29))-AQ29</f>
        <v>0</v>
      </c>
    </row>
    <row r="30" spans="1:44" x14ac:dyDescent="0.25">
      <c r="A30">
        <f t="shared" ref="A30:A31" si="101">A13</f>
        <v>2016</v>
      </c>
      <c r="B30" s="2">
        <f t="shared" ref="B30:B31" si="102">AJ29*(1+(B13/100))</f>
        <v>39424.997840168617</v>
      </c>
      <c r="C30" s="2"/>
      <c r="D30" s="2">
        <f t="shared" ref="D30:D31" si="103">AL29*(1+(D13/100))</f>
        <v>38142.635340894754</v>
      </c>
      <c r="E30" s="2">
        <f t="shared" ref="E30:E31" si="104">AM29*(1+(E13/100))</f>
        <v>18726.153553924018</v>
      </c>
      <c r="F30" s="2"/>
      <c r="G30" s="2">
        <f t="shared" ref="G30:G31" si="105">AO29*(1+(G13/100))</f>
        <v>29399.541712607323</v>
      </c>
      <c r="H30" s="2">
        <f t="shared" ref="H30:H31" si="106">AP29*(1+(H13/100))</f>
        <v>50033.459692676064</v>
      </c>
      <c r="I30" s="2">
        <f t="shared" ref="I30:I31" si="107">SUM(B30:H30)</f>
        <v>175726.78814027077</v>
      </c>
      <c r="J30" s="2">
        <f t="shared" ref="J30:J31" si="108">I30-I29</f>
        <v>13375.024777451676</v>
      </c>
      <c r="K30" s="6">
        <f t="shared" ref="K30:K31" si="109">(J30/I29)</f>
        <v>8.2382996651299389E-2</v>
      </c>
      <c r="L30" s="7">
        <f t="shared" ref="L30:L31" si="110">K30+1</f>
        <v>1.0823829966512994</v>
      </c>
      <c r="O30">
        <f t="shared" ref="O30:O31" si="111">A30</f>
        <v>2016</v>
      </c>
      <c r="P30" s="6">
        <f t="shared" ref="P30:P31" si="112">B30/$I30</f>
        <v>0.22435394317170537</v>
      </c>
      <c r="Q30" s="6"/>
      <c r="R30" s="6">
        <f t="shared" ref="R30:R31" si="113">D30/$I30</f>
        <v>0.21705646443869489</v>
      </c>
      <c r="S30" s="6">
        <f t="shared" ref="S30:S31" si="114">E30/$I30</f>
        <v>0.10656402334615141</v>
      </c>
      <c r="T30" s="6"/>
      <c r="U30" s="6">
        <f t="shared" ref="U30:U31" si="115">G30/$I30</f>
        <v>0.16730256111629185</v>
      </c>
      <c r="V30" s="6">
        <f t="shared" ref="V30:V31" si="116">H30/$I30</f>
        <v>0.28472300792715649</v>
      </c>
      <c r="W30" s="20">
        <f t="shared" ref="W30:W31" si="117">SUM(P30:V30)</f>
        <v>1</v>
      </c>
      <c r="Y30">
        <f t="shared" ref="Y30:Y31" si="118">O30</f>
        <v>2016</v>
      </c>
      <c r="Z30" s="1" t="b">
        <f t="shared" ref="Z30:Z31" si="119">AND((B30/$I30)&gt;0.15,(B30/$I30)&lt;0.25)</f>
        <v>1</v>
      </c>
      <c r="AB30" s="1" t="b">
        <f t="shared" ref="AB30:AB31" si="120">AND((D30/$I30)&gt;0.15,(D30/$I30)&lt;0.25)</f>
        <v>1</v>
      </c>
      <c r="AC30" s="1" t="b">
        <f t="shared" ref="AC30:AC31" si="121">AND((E30/$I30)&gt;0.05,(E30/$I30)&lt;0.15)</f>
        <v>1</v>
      </c>
      <c r="AE30" s="1" t="b">
        <f t="shared" ref="AE30:AE31" si="122">AND((G30/$I30)&gt;0.15,(G30/$I30)&lt;0.25)</f>
        <v>1</v>
      </c>
      <c r="AF30" s="1" t="b">
        <f t="shared" ref="AF30:AF31" si="123">AND((H30/$I30)&gt;0.25,(H30/$I30)&lt;0.35)</f>
        <v>1</v>
      </c>
      <c r="AG30" s="1" t="b">
        <f t="shared" ref="AG30:AG31" si="124">AND((I30/$I30)&gt;0.999,(I30/$I30)&lt;1.01)</f>
        <v>1</v>
      </c>
      <c r="AI30">
        <f t="shared" ref="AI30:AI31" si="125">A30</f>
        <v>2016</v>
      </c>
      <c r="AJ30" s="58">
        <f t="shared" ref="AJ30:AJ31" si="126">B30</f>
        <v>39424.997840168617</v>
      </c>
      <c r="AK30" s="58"/>
      <c r="AL30" s="58">
        <f t="shared" ref="AL30:AL31" si="127">D30</f>
        <v>38142.635340894754</v>
      </c>
      <c r="AM30" s="58">
        <f t="shared" ref="AM30:AM31" si="128">E30</f>
        <v>18726.153553924018</v>
      </c>
      <c r="AN30" s="58"/>
      <c r="AO30" s="2">
        <f t="shared" ref="AO30:AO31" si="129">G30</f>
        <v>29399.541712607323</v>
      </c>
      <c r="AP30" s="2">
        <f t="shared" ref="AP30:AP31" si="130">H30</f>
        <v>50033.459692676064</v>
      </c>
      <c r="AQ30" s="2">
        <f t="shared" ref="AQ30:AQ31" si="131">I30</f>
        <v>175726.78814027077</v>
      </c>
      <c r="AR30" s="2">
        <f t="shared" ref="AR30:AR31" si="132">(SUM(AJ30:AP30))-AQ30</f>
        <v>0</v>
      </c>
    </row>
    <row r="31" spans="1:44" x14ac:dyDescent="0.25">
      <c r="A31">
        <f t="shared" si="101"/>
        <v>2017</v>
      </c>
      <c r="B31" s="2">
        <f t="shared" si="102"/>
        <v>47968.394872133154</v>
      </c>
      <c r="C31" s="2"/>
      <c r="D31" s="2">
        <f t="shared" si="103"/>
        <v>45618.591867710122</v>
      </c>
      <c r="E31" s="2">
        <f t="shared" si="104"/>
        <v>21741.064276105786</v>
      </c>
      <c r="F31" s="2"/>
      <c r="G31" s="2">
        <f t="shared" si="105"/>
        <v>37455.016141861728</v>
      </c>
      <c r="H31" s="2">
        <f t="shared" si="106"/>
        <v>51764.617398042654</v>
      </c>
      <c r="I31" s="2">
        <f t="shared" si="107"/>
        <v>204547.68455585343</v>
      </c>
      <c r="J31" s="2">
        <f t="shared" si="108"/>
        <v>28820.896415582654</v>
      </c>
      <c r="K31" s="6">
        <f t="shared" si="109"/>
        <v>0.16400969209416658</v>
      </c>
      <c r="L31" s="7">
        <f t="shared" si="110"/>
        <v>1.1640096920941665</v>
      </c>
      <c r="O31">
        <f t="shared" si="111"/>
        <v>2017</v>
      </c>
      <c r="P31" s="6">
        <f t="shared" si="112"/>
        <v>0.23450959602055524</v>
      </c>
      <c r="Q31" s="6"/>
      <c r="R31" s="6">
        <f t="shared" si="113"/>
        <v>0.22302179546429229</v>
      </c>
      <c r="S31" s="6">
        <f t="shared" si="114"/>
        <v>0.10628848878594473</v>
      </c>
      <c r="T31" s="6"/>
      <c r="U31" s="6">
        <f t="shared" si="115"/>
        <v>0.18311141591844482</v>
      </c>
      <c r="V31" s="6">
        <f t="shared" si="116"/>
        <v>0.25306870381076302</v>
      </c>
      <c r="W31" s="20">
        <f t="shared" si="117"/>
        <v>1.0000000000000002</v>
      </c>
      <c r="Y31">
        <f t="shared" si="118"/>
        <v>2017</v>
      </c>
      <c r="Z31" s="1" t="b">
        <f t="shared" si="119"/>
        <v>1</v>
      </c>
      <c r="AB31" s="1" t="b">
        <f t="shared" si="120"/>
        <v>1</v>
      </c>
      <c r="AC31" s="1" t="b">
        <f t="shared" si="121"/>
        <v>1</v>
      </c>
      <c r="AE31" s="1" t="b">
        <f t="shared" si="122"/>
        <v>1</v>
      </c>
      <c r="AF31" s="1" t="b">
        <f t="shared" si="123"/>
        <v>1</v>
      </c>
      <c r="AG31" s="1" t="b">
        <f t="shared" si="124"/>
        <v>1</v>
      </c>
      <c r="AI31">
        <f t="shared" si="125"/>
        <v>2017</v>
      </c>
      <c r="AJ31" s="58">
        <f t="shared" si="126"/>
        <v>47968.394872133154</v>
      </c>
      <c r="AK31" s="58"/>
      <c r="AL31" s="58">
        <f t="shared" si="127"/>
        <v>45618.591867710122</v>
      </c>
      <c r="AM31" s="58">
        <f t="shared" si="128"/>
        <v>21741.064276105786</v>
      </c>
      <c r="AN31" s="58"/>
      <c r="AO31" s="2">
        <f t="shared" si="129"/>
        <v>37455.016141861728</v>
      </c>
      <c r="AP31" s="2">
        <f t="shared" si="130"/>
        <v>51764.617398042654</v>
      </c>
      <c r="AQ31" s="2">
        <f t="shared" si="131"/>
        <v>204547.68455585343</v>
      </c>
      <c r="AR31" s="2">
        <f t="shared" si="132"/>
        <v>0</v>
      </c>
    </row>
    <row r="32" spans="1:44" x14ac:dyDescent="0.25">
      <c r="A32" s="9" t="s">
        <v>46</v>
      </c>
      <c r="B32" s="10">
        <f>AJ31</f>
        <v>47968.394872133154</v>
      </c>
      <c r="C32" s="10"/>
      <c r="D32" s="10">
        <f>AL31</f>
        <v>45618.591867710122</v>
      </c>
      <c r="E32" s="10">
        <f>AM31</f>
        <v>21741.064276105786</v>
      </c>
      <c r="F32" s="10"/>
      <c r="G32" s="10">
        <f>AO31</f>
        <v>37455.016141861728</v>
      </c>
      <c r="H32" s="10">
        <f>AP31</f>
        <v>51764.617398042654</v>
      </c>
      <c r="I32" s="10">
        <f>SUM(B32:H32)</f>
        <v>204547.68455585343</v>
      </c>
      <c r="J32" s="10"/>
      <c r="K32" s="10"/>
    </row>
    <row r="33" spans="1:11" x14ac:dyDescent="0.25">
      <c r="A33" s="11" t="s">
        <v>47</v>
      </c>
      <c r="I33" s="6">
        <f>(I32-I20)/I20</f>
        <v>1.0454768455585342</v>
      </c>
      <c r="K33" s="6"/>
    </row>
    <row r="34" spans="1:11" x14ac:dyDescent="0.25">
      <c r="A34" s="1" t="s">
        <v>48</v>
      </c>
      <c r="I34" s="25">
        <f>STDEV(L21:L31)</f>
        <v>0.14127596122862054</v>
      </c>
      <c r="K34" s="26"/>
    </row>
    <row r="35" spans="1:11" x14ac:dyDescent="0.25">
      <c r="A35" s="1" t="s">
        <v>49</v>
      </c>
      <c r="I35" s="13">
        <f>((1+I33)^(1/I40))-1</f>
        <v>6.7220236307690584E-2</v>
      </c>
      <c r="K35" s="26"/>
    </row>
    <row r="36" spans="1:11" x14ac:dyDescent="0.25">
      <c r="A36" s="1" t="s">
        <v>50</v>
      </c>
      <c r="I36" s="27">
        <f>J22</f>
        <v>-28889.650571999999</v>
      </c>
    </row>
    <row r="37" spans="1:11" x14ac:dyDescent="0.25">
      <c r="A37" s="1" t="s">
        <v>51</v>
      </c>
      <c r="I37" s="28">
        <f>K22</f>
        <v>-0.26854558425405889</v>
      </c>
    </row>
    <row r="38" spans="1:11" x14ac:dyDescent="0.25">
      <c r="A38" s="3" t="s">
        <v>52</v>
      </c>
      <c r="I38" s="29">
        <f>I32-I31</f>
        <v>0</v>
      </c>
    </row>
    <row r="39" spans="1:11" x14ac:dyDescent="0.25">
      <c r="A39" s="3" t="s">
        <v>141</v>
      </c>
      <c r="I39" s="29">
        <f>((SUM(J21:J31))-(I32-I20))</f>
        <v>0</v>
      </c>
    </row>
    <row r="40" spans="1:11" x14ac:dyDescent="0.25">
      <c r="A40" s="3" t="s">
        <v>146</v>
      </c>
      <c r="I40" s="3">
        <f>COUNTA(I21:I31)</f>
        <v>11</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43"/>
  <sheetViews>
    <sheetView topLeftCell="A7" zoomScaleNormal="100" workbookViewId="0">
      <selection activeCell="H24" sqref="H24"/>
    </sheetView>
  </sheetViews>
  <sheetFormatPr defaultColWidth="8.85546875" defaultRowHeight="15" x14ac:dyDescent="0.25"/>
  <cols>
    <col min="1" max="1" width="25.42578125" customWidth="1"/>
    <col min="9" max="9" width="11.7109375" customWidth="1"/>
    <col min="10" max="10" width="10" bestFit="1" customWidth="1"/>
    <col min="26" max="26" width="10.85546875" bestFit="1" customWidth="1"/>
    <col min="33" max="33" width="9.28515625" bestFit="1" customWidth="1"/>
  </cols>
  <sheetData>
    <row r="1" spans="1:8" x14ac:dyDescent="0.25">
      <c r="A1" t="s">
        <v>19</v>
      </c>
    </row>
    <row r="2" spans="1:8"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5">
      <c r="A4" s="16">
        <f>'Non-Rebalanced Strategy'!A4</f>
        <v>2007</v>
      </c>
      <c r="B4" s="16">
        <f>'Non-Rebalanced Strategy'!B4</f>
        <v>5.39</v>
      </c>
      <c r="C4" s="16">
        <f>'Non-Rebalanced Strategy'!C4</f>
        <v>0</v>
      </c>
      <c r="D4" s="17">
        <f>'Non-Rebalanced Strategy'!D4</f>
        <v>6.0209999999999999</v>
      </c>
      <c r="E4" s="17">
        <f>'Non-Rebalanced Strategy'!E4</f>
        <v>1.1559999999999999</v>
      </c>
      <c r="F4" s="16">
        <f>'Non-Rebalanced Strategy'!F4</f>
        <v>0</v>
      </c>
      <c r="G4" s="17">
        <f>'Non-Rebalanced Strategy'!G4</f>
        <v>15.522</v>
      </c>
      <c r="H4" s="17">
        <f>'Non-Rebalanced Strategy'!H4</f>
        <v>6.92</v>
      </c>
    </row>
    <row r="5" spans="1:8" x14ac:dyDescent="0.25">
      <c r="A5" s="16">
        <f>'Non-Rebalanced Strategy'!A5</f>
        <v>2008</v>
      </c>
      <c r="B5" s="16">
        <f>'Non-Rebalanced Strategy'!B5</f>
        <v>-37.020000000000003</v>
      </c>
      <c r="C5" s="16">
        <f>'Non-Rebalanced Strategy'!C5</f>
        <v>0</v>
      </c>
      <c r="D5" s="17">
        <f>'Non-Rebalanced Strategy'!D5</f>
        <v>-41.823999999999998</v>
      </c>
      <c r="E5" s="17">
        <f>'Non-Rebalanced Strategy'!E5</f>
        <v>-36.07</v>
      </c>
      <c r="F5" s="16">
        <f>'Non-Rebalanced Strategy'!F5</f>
        <v>0</v>
      </c>
      <c r="G5" s="17">
        <f>'Non-Rebalanced Strategy'!G5</f>
        <v>-44.100999999999999</v>
      </c>
      <c r="H5" s="17">
        <f>'Non-Rebalanced Strategy'!H5</f>
        <v>5.05</v>
      </c>
    </row>
    <row r="6" spans="1:8" x14ac:dyDescent="0.25">
      <c r="A6" s="16">
        <f>'Non-Rebalanced Strategy'!A6</f>
        <v>2009</v>
      </c>
      <c r="B6" s="16">
        <f>'Non-Rebalanced Strategy'!B6</f>
        <v>26.49</v>
      </c>
      <c r="C6" s="16">
        <f>'Non-Rebalanced Strategy'!C6</f>
        <v>0</v>
      </c>
      <c r="D6" s="17">
        <f>'Non-Rebalanced Strategy'!D6</f>
        <v>40.218000000000004</v>
      </c>
      <c r="E6" s="17">
        <f>'Non-Rebalanced Strategy'!E6</f>
        <v>36.118000000000002</v>
      </c>
      <c r="F6" s="16">
        <f>'Non-Rebalanced Strategy'!F6</f>
        <v>0</v>
      </c>
      <c r="G6" s="17">
        <f>'Non-Rebalanced Strategy'!G6</f>
        <v>36.726999999999997</v>
      </c>
      <c r="H6" s="17">
        <f>'Non-Rebalanced Strategy'!H6</f>
        <v>5.93</v>
      </c>
    </row>
    <row r="7" spans="1:8" x14ac:dyDescent="0.25">
      <c r="A7" s="16">
        <f>'Non-Rebalanced Strategy'!A7</f>
        <v>2010</v>
      </c>
      <c r="B7" s="16">
        <f>'Non-Rebalanced Strategy'!B7</f>
        <v>14.91</v>
      </c>
      <c r="C7" s="16">
        <f>'Non-Rebalanced Strategy'!C7</f>
        <v>0</v>
      </c>
      <c r="D7" s="17">
        <f>'Non-Rebalanced Strategy'!D7</f>
        <v>25.46</v>
      </c>
      <c r="E7" s="17">
        <f>'Non-Rebalanced Strategy'!E7</f>
        <v>27.72</v>
      </c>
      <c r="F7" s="16">
        <f>'Non-Rebalanced Strategy'!F7</f>
        <v>0</v>
      </c>
      <c r="G7" s="17">
        <f>'Non-Rebalanced Strategy'!G7</f>
        <v>11.12</v>
      </c>
      <c r="H7" s="17">
        <f>'Non-Rebalanced Strategy'!H7</f>
        <v>6.42</v>
      </c>
    </row>
    <row r="8" spans="1:8" x14ac:dyDescent="0.25">
      <c r="A8" s="16">
        <f>'Non-Rebalanced Strategy'!A8</f>
        <v>2011</v>
      </c>
      <c r="B8" s="16">
        <f>'Non-Rebalanced Strategy'!B8</f>
        <v>1.97</v>
      </c>
      <c r="C8" s="16">
        <f>'Non-Rebalanced Strategy'!C8</f>
        <v>0</v>
      </c>
      <c r="D8" s="17">
        <f>'Non-Rebalanced Strategy'!D8</f>
        <v>-2.11</v>
      </c>
      <c r="E8" s="17">
        <f>'Non-Rebalanced Strategy'!E8</f>
        <v>-2.8</v>
      </c>
      <c r="F8" s="16">
        <f>'Non-Rebalanced Strategy'!F8</f>
        <v>0</v>
      </c>
      <c r="G8" s="17">
        <f>'Non-Rebalanced Strategy'!G8</f>
        <v>-14.56</v>
      </c>
      <c r="H8" s="17">
        <f>'Non-Rebalanced Strategy'!H8</f>
        <v>7.56</v>
      </c>
    </row>
    <row r="9" spans="1:8" x14ac:dyDescent="0.25">
      <c r="A9" s="16">
        <f>'Non-Rebalanced Strategy'!A9</f>
        <v>2012</v>
      </c>
      <c r="B9" s="16">
        <f>'Non-Rebalanced Strategy'!B9</f>
        <v>15.82</v>
      </c>
      <c r="C9" s="16">
        <f>'Non-Rebalanced Strategy'!C9</f>
        <v>0</v>
      </c>
      <c r="D9" s="17">
        <f>'Non-Rebalanced Strategy'!D9</f>
        <v>15.8</v>
      </c>
      <c r="E9" s="17">
        <f>'Non-Rebalanced Strategy'!E9</f>
        <v>18.04</v>
      </c>
      <c r="F9" s="16">
        <f>'Non-Rebalanced Strategy'!F9</f>
        <v>0</v>
      </c>
      <c r="G9" s="17">
        <f>'Non-Rebalanced Strategy'!G9</f>
        <v>18.14</v>
      </c>
      <c r="H9" s="17">
        <f>'Non-Rebalanced Strategy'!H9</f>
        <v>4.05</v>
      </c>
    </row>
    <row r="10" spans="1:8" x14ac:dyDescent="0.25">
      <c r="A10" s="16">
        <f>'Non-Rebalanced Strategy'!A10</f>
        <v>2013</v>
      </c>
      <c r="B10" s="16">
        <f>'Non-Rebalanced Strategy'!B10</f>
        <v>32.18</v>
      </c>
      <c r="C10" s="16">
        <f>'Non-Rebalanced Strategy'!C10</f>
        <v>0</v>
      </c>
      <c r="D10" s="17">
        <f>'Non-Rebalanced Strategy'!D10</f>
        <v>35</v>
      </c>
      <c r="E10" s="17">
        <f>'Non-Rebalanced Strategy'!E10</f>
        <v>37.619999999999997</v>
      </c>
      <c r="F10" s="16">
        <f>'Non-Rebalanced Strategy'!F10</f>
        <v>0</v>
      </c>
      <c r="G10" s="17">
        <f>'Non-Rebalanced Strategy'!G10</f>
        <v>15.04</v>
      </c>
      <c r="H10" s="17">
        <f>'Non-Rebalanced Strategy'!H10</f>
        <v>-2.2599999999999998</v>
      </c>
    </row>
    <row r="11" spans="1:8" x14ac:dyDescent="0.25">
      <c r="A11" s="16">
        <f>'Non-Rebalanced Strategy'!A11</f>
        <v>2014</v>
      </c>
      <c r="B11" s="16">
        <f>'Non-Rebalanced Strategy'!B11</f>
        <v>13.51</v>
      </c>
      <c r="C11" s="16">
        <f>'Non-Rebalanced Strategy'!C11</f>
        <v>0</v>
      </c>
      <c r="D11" s="17">
        <f>'Non-Rebalanced Strategy'!D11</f>
        <v>13.6</v>
      </c>
      <c r="E11" s="17">
        <f>'Non-Rebalanced Strategy'!E11</f>
        <v>7.37</v>
      </c>
      <c r="F11" s="16">
        <f>'Non-Rebalanced Strategy'!F11</f>
        <v>0</v>
      </c>
      <c r="G11" s="17">
        <f>'Non-Rebalanced Strategy'!G11</f>
        <v>-4.24</v>
      </c>
      <c r="H11" s="17">
        <f>'Non-Rebalanced Strategy'!H11</f>
        <v>5.76</v>
      </c>
    </row>
    <row r="12" spans="1:8"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7" spans="1:34" x14ac:dyDescent="0.25">
      <c r="A17" s="18" t="s">
        <v>106</v>
      </c>
      <c r="O17" s="18" t="s">
        <v>107</v>
      </c>
      <c r="Y17" s="18" t="s">
        <v>89</v>
      </c>
    </row>
    <row r="18" spans="1:34" x14ac:dyDescent="0.25">
      <c r="B18" s="4" t="str">
        <f t="shared" ref="B18:H19" si="0">B2</f>
        <v>LC Stocks</v>
      </c>
      <c r="C18" s="4" t="str">
        <f t="shared" si="0"/>
        <v>Ext Mkt</v>
      </c>
      <c r="D18" s="4" t="str">
        <f t="shared" si="0"/>
        <v>Mcap Stk</v>
      </c>
      <c r="E18" s="4" t="str">
        <f t="shared" si="0"/>
        <v>Small Cap</v>
      </c>
      <c r="F18" s="4" t="str">
        <f t="shared" si="0"/>
        <v>Intl Val</v>
      </c>
      <c r="G18" s="4" t="str">
        <f t="shared" si="0"/>
        <v>Tot Int Stk</v>
      </c>
      <c r="H18" s="4" t="str">
        <f t="shared" si="0"/>
        <v>Bonds</v>
      </c>
      <c r="I18" s="5"/>
      <c r="J18" s="5" t="s">
        <v>44</v>
      </c>
      <c r="K18" s="5" t="s">
        <v>41</v>
      </c>
      <c r="L18" s="5" t="s">
        <v>42</v>
      </c>
      <c r="P18" s="4" t="str">
        <f>B18</f>
        <v>LC Stocks</v>
      </c>
      <c r="Q18" s="4" t="str">
        <f t="shared" ref="Q18:V19" si="1">C18</f>
        <v>Ext Mkt</v>
      </c>
      <c r="R18" s="4" t="str">
        <f t="shared" si="1"/>
        <v>Mcap Stk</v>
      </c>
      <c r="S18" s="4" t="str">
        <f t="shared" si="1"/>
        <v>Small Cap</v>
      </c>
      <c r="T18" s="4" t="str">
        <f t="shared" si="1"/>
        <v>Intl Val</v>
      </c>
      <c r="U18" s="4" t="str">
        <f t="shared" si="1"/>
        <v>Tot Int Stk</v>
      </c>
      <c r="V18" s="4" t="str">
        <f t="shared" si="1"/>
        <v>Bonds</v>
      </c>
      <c r="W18" s="5"/>
      <c r="Z18" s="4" t="str">
        <f>P18</f>
        <v>LC Stocks</v>
      </c>
      <c r="AA18" s="4" t="str">
        <f t="shared" ref="AA18:AG19" si="2">Q18</f>
        <v>Ext Mkt</v>
      </c>
      <c r="AB18" s="4" t="str">
        <f t="shared" si="2"/>
        <v>Mcap Stk</v>
      </c>
      <c r="AC18" s="4" t="str">
        <f t="shared" si="2"/>
        <v>Small Cap</v>
      </c>
      <c r="AD18" s="4" t="str">
        <f t="shared" si="2"/>
        <v>Intl Val</v>
      </c>
      <c r="AE18" s="4" t="str">
        <f t="shared" si="2"/>
        <v>Tot Int Stk</v>
      </c>
      <c r="AF18" s="4" t="str">
        <f t="shared" si="2"/>
        <v>Bonds</v>
      </c>
      <c r="AG18" s="4"/>
      <c r="AH18" t="s">
        <v>56</v>
      </c>
    </row>
    <row r="19" spans="1:34" x14ac:dyDescent="0.25">
      <c r="A19" t="s">
        <v>40</v>
      </c>
      <c r="B19" s="4" t="str">
        <f t="shared" si="0"/>
        <v>VFINX</v>
      </c>
      <c r="C19" s="4" t="str">
        <f t="shared" si="0"/>
        <v>VEXMX</v>
      </c>
      <c r="D19" s="4" t="str">
        <f t="shared" si="0"/>
        <v>VIMSX</v>
      </c>
      <c r="E19" s="4" t="str">
        <f t="shared" si="0"/>
        <v>NAESX</v>
      </c>
      <c r="F19" s="4" t="str">
        <f t="shared" si="0"/>
        <v>VTRIX</v>
      </c>
      <c r="G19" s="4" t="str">
        <f t="shared" si="0"/>
        <v>VGTSX</v>
      </c>
      <c r="H19" s="4" t="str">
        <f t="shared" si="0"/>
        <v>VBMFX</v>
      </c>
      <c r="I19" s="5" t="s">
        <v>38</v>
      </c>
      <c r="J19" s="5" t="s">
        <v>45</v>
      </c>
      <c r="K19" s="5" t="s">
        <v>43</v>
      </c>
      <c r="L19" s="5" t="s">
        <v>43</v>
      </c>
      <c r="O19" t="s">
        <v>40</v>
      </c>
      <c r="P19" s="4" t="str">
        <f>B19</f>
        <v>VFINX</v>
      </c>
      <c r="Q19" s="4" t="str">
        <f t="shared" si="1"/>
        <v>VEXMX</v>
      </c>
      <c r="R19" s="4" t="str">
        <f t="shared" si="1"/>
        <v>VIMSX</v>
      </c>
      <c r="S19" s="4" t="str">
        <f t="shared" si="1"/>
        <v>NAESX</v>
      </c>
      <c r="T19" s="4" t="str">
        <f t="shared" si="1"/>
        <v>VTRIX</v>
      </c>
      <c r="U19" s="4" t="str">
        <f t="shared" si="1"/>
        <v>VGTSX</v>
      </c>
      <c r="V19" s="4" t="str">
        <f t="shared" si="1"/>
        <v>VBMFX</v>
      </c>
      <c r="W19" s="5" t="s">
        <v>38</v>
      </c>
      <c r="Y19" t="str">
        <f>A19</f>
        <v>Fund</v>
      </c>
      <c r="Z19" s="4" t="str">
        <f>P19</f>
        <v>VFINX</v>
      </c>
      <c r="AA19" s="4" t="str">
        <f t="shared" si="2"/>
        <v>VEXMX</v>
      </c>
      <c r="AB19" s="4" t="str">
        <f t="shared" si="2"/>
        <v>VIMSX</v>
      </c>
      <c r="AC19" s="4" t="str">
        <f t="shared" si="2"/>
        <v>NAESX</v>
      </c>
      <c r="AD19" s="4" t="str">
        <f t="shared" si="2"/>
        <v>VTRIX</v>
      </c>
      <c r="AE19" s="4" t="str">
        <f t="shared" si="2"/>
        <v>VGTSX</v>
      </c>
      <c r="AF19" s="4" t="str">
        <f t="shared" si="2"/>
        <v>VBMFX</v>
      </c>
      <c r="AG19" s="4" t="str">
        <f t="shared" si="2"/>
        <v>Total</v>
      </c>
      <c r="AH19" t="s">
        <v>55</v>
      </c>
    </row>
    <row r="20" spans="1:34" x14ac:dyDescent="0.25">
      <c r="A20" t="s">
        <v>39</v>
      </c>
      <c r="B20" s="2">
        <f>'Non-Rebalanced Strategy'!B20</f>
        <v>20000</v>
      </c>
      <c r="C20" s="2"/>
      <c r="D20" s="2">
        <f>'Non-Rebalanced Strategy'!D20</f>
        <v>20000</v>
      </c>
      <c r="E20" s="2">
        <f>'Non-Rebalanced Strategy'!E20</f>
        <v>10000</v>
      </c>
      <c r="F20" s="2"/>
      <c r="G20" s="2">
        <f>'Non-Rebalanced Strategy'!G20</f>
        <v>20000</v>
      </c>
      <c r="H20" s="2">
        <f>'Non-Rebalanced Strategy'!H20</f>
        <v>30000</v>
      </c>
      <c r="I20" s="2">
        <f>SUM(B20:H20)</f>
        <v>100000</v>
      </c>
      <c r="O20" s="19" t="s">
        <v>54</v>
      </c>
      <c r="P20" s="20">
        <f>B20/$I20</f>
        <v>0.2</v>
      </c>
      <c r="Q20" s="20"/>
      <c r="R20" s="20">
        <f>D20/$I20</f>
        <v>0.2</v>
      </c>
      <c r="S20" s="20">
        <f>E20/$I20</f>
        <v>0.1</v>
      </c>
      <c r="T20" s="20"/>
      <c r="U20" s="20">
        <f>G20/$I20</f>
        <v>0.2</v>
      </c>
      <c r="V20" s="20">
        <f>H20/$I20</f>
        <v>0.3</v>
      </c>
      <c r="W20" s="20">
        <f>I20/$I20</f>
        <v>1</v>
      </c>
      <c r="X20" s="22"/>
      <c r="Y20" t="str">
        <f>A20</f>
        <v>Stating Balance</v>
      </c>
      <c r="Z20" s="2">
        <f>B20</f>
        <v>20000</v>
      </c>
      <c r="AA20" s="2"/>
      <c r="AB20" s="2">
        <f t="shared" ref="AB20:AF20" si="3">D20</f>
        <v>20000</v>
      </c>
      <c r="AC20" s="2">
        <f t="shared" si="3"/>
        <v>10000</v>
      </c>
      <c r="AD20" s="2"/>
      <c r="AE20" s="2">
        <f t="shared" si="3"/>
        <v>20000</v>
      </c>
      <c r="AF20" s="2">
        <f t="shared" si="3"/>
        <v>30000</v>
      </c>
      <c r="AG20" s="2">
        <f>SUM(Z20:AF20)</f>
        <v>100000</v>
      </c>
      <c r="AH20" s="2">
        <f>AG20-I20</f>
        <v>0</v>
      </c>
    </row>
    <row r="21" spans="1:34" x14ac:dyDescent="0.25">
      <c r="A21">
        <f t="shared" ref="A21:A29" si="4">A4</f>
        <v>2007</v>
      </c>
      <c r="B21" s="2">
        <f>B$20*(1+(B4/100))</f>
        <v>21078</v>
      </c>
      <c r="C21" s="2"/>
      <c r="D21" s="2">
        <f>D$20*(1+(D4/100))</f>
        <v>21204.2</v>
      </c>
      <c r="E21" s="2">
        <f>E$20*(1+(E4/100))</f>
        <v>10115.6</v>
      </c>
      <c r="F21" s="2"/>
      <c r="G21" s="2">
        <f>G$20*(1+(G4/100))</f>
        <v>23104.399999999998</v>
      </c>
      <c r="H21" s="2">
        <f>H$20*(1+(H4/100))</f>
        <v>32075.999999999996</v>
      </c>
      <c r="I21" s="2">
        <f t="shared" ref="I21:I25" si="5">SUM(B21:H21)</f>
        <v>107578.2</v>
      </c>
      <c r="J21" s="2">
        <f t="shared" ref="J21" si="6">I21-I20</f>
        <v>7578.1999999999971</v>
      </c>
      <c r="K21" s="6">
        <f t="shared" ref="K21" si="7">(J21/I20)</f>
        <v>7.5781999999999974E-2</v>
      </c>
      <c r="L21" s="7">
        <f t="shared" ref="L21" si="8">K21+1</f>
        <v>1.075782</v>
      </c>
      <c r="O21">
        <f t="shared" ref="O21:O24" si="9">A21</f>
        <v>2007</v>
      </c>
      <c r="P21" s="6">
        <f t="shared" ref="P21:U24" si="10">B21/$I21</f>
        <v>0.19593188954639509</v>
      </c>
      <c r="Q21" s="6"/>
      <c r="R21" s="6">
        <f t="shared" ref="R21:R24" si="11">D21/$I21</f>
        <v>0.19710498967262885</v>
      </c>
      <c r="S21" s="6">
        <f t="shared" ref="S21:S24" si="12">E21/$I21</f>
        <v>9.4030203145246904E-2</v>
      </c>
      <c r="T21" s="6"/>
      <c r="U21" s="6">
        <f t="shared" si="10"/>
        <v>0.21476841962405022</v>
      </c>
      <c r="V21" s="6">
        <f t="shared" ref="V21:V24" si="13">H21/$I21</f>
        <v>0.29816449801167894</v>
      </c>
      <c r="W21" s="20">
        <f>SUM(P21:V21)</f>
        <v>1</v>
      </c>
      <c r="X21" s="22"/>
      <c r="Y21">
        <f t="shared" ref="Y21:Y24" si="14">O21</f>
        <v>2007</v>
      </c>
      <c r="Z21" s="2">
        <f t="shared" ref="Z21" si="15">B21</f>
        <v>21078</v>
      </c>
      <c r="AA21" s="2"/>
      <c r="AB21" s="2">
        <f t="shared" ref="AB21" si="16">D21</f>
        <v>21204.2</v>
      </c>
      <c r="AC21" s="2">
        <f t="shared" ref="AC21" si="17">E21</f>
        <v>10115.6</v>
      </c>
      <c r="AD21" s="2"/>
      <c r="AE21" s="2">
        <f t="shared" ref="AE21" si="18">G21</f>
        <v>23104.399999999998</v>
      </c>
      <c r="AF21" s="2">
        <f t="shared" ref="AF21" si="19">H21</f>
        <v>32075.999999999996</v>
      </c>
      <c r="AG21" s="2">
        <f t="shared" ref="AG21:AG24" si="20">SUM(Z21:AF21)</f>
        <v>107578.2</v>
      </c>
      <c r="AH21" s="2">
        <f t="shared" ref="AH21:AH24" si="21">AG21-I21</f>
        <v>0</v>
      </c>
    </row>
    <row r="22" spans="1:34" x14ac:dyDescent="0.25">
      <c r="A22">
        <f t="shared" si="4"/>
        <v>2008</v>
      </c>
      <c r="B22" s="2">
        <f t="shared" ref="B22:B29" si="22">Z21*(1+(B5/100))</f>
        <v>13274.924399999998</v>
      </c>
      <c r="C22" s="2"/>
      <c r="D22" s="2">
        <f t="shared" ref="D22:E28" si="23">AB21*(1+(D5/100))</f>
        <v>12335.755392000001</v>
      </c>
      <c r="E22" s="2">
        <f t="shared" si="23"/>
        <v>6466.90308</v>
      </c>
      <c r="F22" s="2"/>
      <c r="G22" s="2">
        <f t="shared" ref="G22:H28" si="24">AE21*(1+(G5/100))</f>
        <v>12915.128555999998</v>
      </c>
      <c r="H22" s="2">
        <f t="shared" si="24"/>
        <v>33695.837999999996</v>
      </c>
      <c r="I22" s="2">
        <f t="shared" si="5"/>
        <v>78688.549427999998</v>
      </c>
      <c r="J22" s="2">
        <f t="shared" ref="J22:J25" si="25">I22-I21</f>
        <v>-28889.650571999999</v>
      </c>
      <c r="K22" s="6">
        <f t="shared" ref="K22:K25" si="26">(J22/I21)</f>
        <v>-0.26854558425405889</v>
      </c>
      <c r="L22" s="7">
        <f t="shared" ref="L22:L25" si="27">K22+1</f>
        <v>0.73145441574594106</v>
      </c>
      <c r="O22">
        <f t="shared" si="9"/>
        <v>2008</v>
      </c>
      <c r="P22" s="6">
        <f t="shared" si="10"/>
        <v>0.16870211099960039</v>
      </c>
      <c r="Q22" s="6"/>
      <c r="R22" s="6">
        <f t="shared" si="11"/>
        <v>0.15676684195693827</v>
      </c>
      <c r="S22" s="6">
        <f t="shared" si="12"/>
        <v>8.2183534033972938E-2</v>
      </c>
      <c r="T22" s="6"/>
      <c r="U22" s="6">
        <f t="shared" si="10"/>
        <v>0.1641297069253683</v>
      </c>
      <c r="V22" s="6">
        <f t="shared" si="13"/>
        <v>0.42821780608412002</v>
      </c>
      <c r="W22" s="20">
        <f t="shared" ref="W22:W24" si="28">SUM(P22:V22)</f>
        <v>1</v>
      </c>
      <c r="X22" s="22"/>
      <c r="Y22">
        <f t="shared" si="14"/>
        <v>2008</v>
      </c>
      <c r="Z22" s="36">
        <v>0</v>
      </c>
      <c r="AA22" s="36"/>
      <c r="AB22" s="36">
        <v>0</v>
      </c>
      <c r="AC22" s="36">
        <v>0</v>
      </c>
      <c r="AD22" s="36"/>
      <c r="AE22" s="36">
        <v>0</v>
      </c>
      <c r="AF22" s="36">
        <f>I22</f>
        <v>78688.549427999998</v>
      </c>
      <c r="AG22" s="2">
        <f t="shared" si="20"/>
        <v>78688.549427999998</v>
      </c>
      <c r="AH22" s="2">
        <f t="shared" si="21"/>
        <v>0</v>
      </c>
    </row>
    <row r="23" spans="1:34" x14ac:dyDescent="0.25">
      <c r="A23">
        <f t="shared" si="4"/>
        <v>2009</v>
      </c>
      <c r="B23" s="2">
        <f t="shared" si="22"/>
        <v>0</v>
      </c>
      <c r="C23" s="2"/>
      <c r="D23" s="2">
        <f t="shared" si="23"/>
        <v>0</v>
      </c>
      <c r="E23" s="2">
        <f t="shared" si="23"/>
        <v>0</v>
      </c>
      <c r="F23" s="2"/>
      <c r="G23" s="2">
        <f t="shared" si="24"/>
        <v>0</v>
      </c>
      <c r="H23" s="2">
        <f t="shared" si="24"/>
        <v>83354.780409080398</v>
      </c>
      <c r="I23" s="2">
        <f t="shared" si="5"/>
        <v>83354.780409080398</v>
      </c>
      <c r="J23" s="2">
        <f t="shared" si="25"/>
        <v>4666.2309810803999</v>
      </c>
      <c r="K23" s="6">
        <f t="shared" si="26"/>
        <v>5.9299999999999999E-2</v>
      </c>
      <c r="L23" s="7">
        <f t="shared" si="27"/>
        <v>1.0592999999999999</v>
      </c>
      <c r="O23">
        <f t="shared" si="9"/>
        <v>2009</v>
      </c>
      <c r="P23" s="6">
        <f t="shared" si="10"/>
        <v>0</v>
      </c>
      <c r="Q23" s="6"/>
      <c r="R23" s="6">
        <f t="shared" si="11"/>
        <v>0</v>
      </c>
      <c r="S23" s="6">
        <f t="shared" si="12"/>
        <v>0</v>
      </c>
      <c r="T23" s="6"/>
      <c r="U23" s="6">
        <f t="shared" si="10"/>
        <v>0</v>
      </c>
      <c r="V23" s="6">
        <f t="shared" si="13"/>
        <v>1</v>
      </c>
      <c r="W23" s="20">
        <f t="shared" si="28"/>
        <v>1</v>
      </c>
      <c r="X23" s="22"/>
      <c r="Y23">
        <f t="shared" si="14"/>
        <v>2009</v>
      </c>
      <c r="Z23" s="36">
        <f>$I23*P$20</f>
        <v>16670.956081816079</v>
      </c>
      <c r="AA23" s="36"/>
      <c r="AB23" s="36">
        <f>$I23*R$20</f>
        <v>16670.956081816079</v>
      </c>
      <c r="AC23" s="36">
        <f>$I23*S$20</f>
        <v>8335.4780409080395</v>
      </c>
      <c r="AD23" s="36"/>
      <c r="AE23" s="36">
        <f>$I23*U$20</f>
        <v>16670.956081816079</v>
      </c>
      <c r="AF23" s="36">
        <f>$I23*V$20</f>
        <v>25006.43412272412</v>
      </c>
      <c r="AG23" s="2">
        <f t="shared" si="20"/>
        <v>83354.780409080398</v>
      </c>
      <c r="AH23" s="2">
        <f t="shared" si="21"/>
        <v>0</v>
      </c>
    </row>
    <row r="24" spans="1:34" x14ac:dyDescent="0.25">
      <c r="A24">
        <f t="shared" si="4"/>
        <v>2010</v>
      </c>
      <c r="B24" s="2">
        <f t="shared" si="22"/>
        <v>19156.595633614856</v>
      </c>
      <c r="C24" s="2"/>
      <c r="D24" s="2">
        <f t="shared" si="23"/>
        <v>20915.381500246451</v>
      </c>
      <c r="E24" s="2">
        <f t="shared" si="23"/>
        <v>10646.072553847749</v>
      </c>
      <c r="F24" s="2"/>
      <c r="G24" s="2">
        <f t="shared" si="24"/>
        <v>18524.766398114025</v>
      </c>
      <c r="H24" s="2">
        <f t="shared" si="24"/>
        <v>26611.847193403009</v>
      </c>
      <c r="I24" s="2">
        <f t="shared" si="5"/>
        <v>95854.663279226093</v>
      </c>
      <c r="J24" s="2">
        <f t="shared" si="25"/>
        <v>12499.882870145695</v>
      </c>
      <c r="K24" s="6">
        <f t="shared" si="26"/>
        <v>0.14995999999999998</v>
      </c>
      <c r="L24" s="7">
        <f t="shared" si="27"/>
        <v>1.1499600000000001</v>
      </c>
      <c r="O24">
        <f t="shared" si="9"/>
        <v>2010</v>
      </c>
      <c r="P24" s="6">
        <f t="shared" si="10"/>
        <v>0.19985042958015931</v>
      </c>
      <c r="Q24" s="6"/>
      <c r="R24" s="6">
        <f t="shared" si="11"/>
        <v>0.21819889387456953</v>
      </c>
      <c r="S24" s="6">
        <f t="shared" si="12"/>
        <v>0.11106473268635432</v>
      </c>
      <c r="T24" s="6"/>
      <c r="U24" s="6">
        <f t="shared" si="10"/>
        <v>0.19325889596159865</v>
      </c>
      <c r="V24" s="6">
        <f t="shared" si="13"/>
        <v>0.27762704789731818</v>
      </c>
      <c r="W24" s="20">
        <f t="shared" si="28"/>
        <v>1</v>
      </c>
      <c r="X24" s="22"/>
      <c r="Y24">
        <f t="shared" si="14"/>
        <v>2010</v>
      </c>
      <c r="Z24" s="2">
        <f t="shared" ref="Z24" si="29">B24</f>
        <v>19156.595633614856</v>
      </c>
      <c r="AA24" s="2"/>
      <c r="AB24" s="2">
        <f t="shared" ref="AB24" si="30">D24</f>
        <v>20915.381500246451</v>
      </c>
      <c r="AC24" s="2">
        <f t="shared" ref="AC24" si="31">E24</f>
        <v>10646.072553847749</v>
      </c>
      <c r="AD24" s="2"/>
      <c r="AE24" s="2">
        <f t="shared" ref="AE24" si="32">G24</f>
        <v>18524.766398114025</v>
      </c>
      <c r="AF24" s="2">
        <f t="shared" ref="AF24" si="33">H24</f>
        <v>26611.847193403009</v>
      </c>
      <c r="AG24" s="2">
        <f t="shared" si="20"/>
        <v>95854.663279226093</v>
      </c>
      <c r="AH24" s="2">
        <f t="shared" si="21"/>
        <v>0</v>
      </c>
    </row>
    <row r="25" spans="1:34" x14ac:dyDescent="0.25">
      <c r="A25">
        <f t="shared" si="4"/>
        <v>2011</v>
      </c>
      <c r="B25" s="2">
        <f t="shared" si="22"/>
        <v>19533.980567597071</v>
      </c>
      <c r="C25" s="2"/>
      <c r="D25" s="2">
        <f t="shared" si="23"/>
        <v>20474.066950591252</v>
      </c>
      <c r="E25" s="2">
        <f t="shared" si="23"/>
        <v>10347.982522340011</v>
      </c>
      <c r="F25" s="2"/>
      <c r="G25" s="2">
        <f t="shared" si="24"/>
        <v>15827.560410548624</v>
      </c>
      <c r="H25" s="2">
        <f t="shared" si="24"/>
        <v>28623.70284122428</v>
      </c>
      <c r="I25" s="2">
        <f t="shared" si="5"/>
        <v>94807.293292301241</v>
      </c>
      <c r="J25" s="2">
        <f t="shared" si="25"/>
        <v>-1047.3699869248521</v>
      </c>
      <c r="K25" s="6">
        <f t="shared" si="26"/>
        <v>-1.0926646144213636E-2</v>
      </c>
      <c r="L25" s="7">
        <f t="shared" si="27"/>
        <v>0.98907335385578632</v>
      </c>
      <c r="O25">
        <f t="shared" ref="O25:O28" si="34">A25</f>
        <v>2011</v>
      </c>
      <c r="P25" s="6">
        <f t="shared" ref="P25:P28" si="35">B25/$I25</f>
        <v>0.20603879605940942</v>
      </c>
      <c r="Q25" s="6"/>
      <c r="R25" s="6">
        <f t="shared" ref="R25:R28" si="36">D25/$I25</f>
        <v>0.21595455623300486</v>
      </c>
      <c r="S25" s="6">
        <f t="shared" ref="S25:S28" si="37">E25/$I25</f>
        <v>0.10914753668197288</v>
      </c>
      <c r="T25" s="6"/>
      <c r="U25" s="6">
        <f t="shared" ref="U25:U28" si="38">G25/$I25</f>
        <v>0.16694454467496003</v>
      </c>
      <c r="V25" s="6">
        <f t="shared" ref="V25:V28" si="39">H25/$I25</f>
        <v>0.30191456635065278</v>
      </c>
      <c r="W25" s="20">
        <f t="shared" ref="W25:W28" si="40">SUM(P25:V25)</f>
        <v>1</v>
      </c>
      <c r="X25" s="22"/>
      <c r="Y25">
        <f t="shared" ref="Y25:Y28" si="41">O25</f>
        <v>2011</v>
      </c>
      <c r="Z25" s="2">
        <f t="shared" ref="Z25:Z28" si="42">B25</f>
        <v>19533.980567597071</v>
      </c>
      <c r="AA25" s="2"/>
      <c r="AB25" s="2">
        <f t="shared" ref="AB25:AB28" si="43">D25</f>
        <v>20474.066950591252</v>
      </c>
      <c r="AC25" s="2">
        <f t="shared" ref="AC25:AC28" si="44">E25</f>
        <v>10347.982522340011</v>
      </c>
      <c r="AD25" s="2"/>
      <c r="AE25" s="2">
        <f t="shared" ref="AE25:AE28" si="45">G25</f>
        <v>15827.560410548624</v>
      </c>
      <c r="AF25" s="2">
        <f t="shared" ref="AF25:AF28" si="46">H25</f>
        <v>28623.70284122428</v>
      </c>
      <c r="AG25" s="2">
        <f t="shared" ref="AG25:AG28" si="47">SUM(Z25:AF25)</f>
        <v>94807.293292301241</v>
      </c>
      <c r="AH25" s="2">
        <f t="shared" ref="AH25:AH28" si="48">AG25-I25</f>
        <v>0</v>
      </c>
    </row>
    <row r="26" spans="1:34" x14ac:dyDescent="0.25">
      <c r="A26">
        <f t="shared" si="4"/>
        <v>2012</v>
      </c>
      <c r="B26" s="2">
        <f t="shared" si="22"/>
        <v>22624.256293390925</v>
      </c>
      <c r="C26" s="2"/>
      <c r="D26" s="2">
        <f t="shared" si="23"/>
        <v>23708.96952878467</v>
      </c>
      <c r="E26" s="2">
        <f t="shared" si="23"/>
        <v>12214.758569370151</v>
      </c>
      <c r="F26" s="2"/>
      <c r="G26" s="2">
        <f t="shared" si="24"/>
        <v>18698.679869022144</v>
      </c>
      <c r="H26" s="2">
        <f t="shared" si="24"/>
        <v>29782.962806293861</v>
      </c>
      <c r="I26" s="2">
        <f t="shared" ref="I26:I28" si="49">SUM(B26:H26)</f>
        <v>107029.62706686175</v>
      </c>
      <c r="J26" s="2">
        <f t="shared" ref="J26:J28" si="50">I26-I25</f>
        <v>12222.333774560509</v>
      </c>
      <c r="K26" s="6">
        <f t="shared" ref="K26:K28" si="51">(J26/I25)</f>
        <v>0.12891765338008038</v>
      </c>
      <c r="L26" s="7">
        <f t="shared" ref="L26:L28" si="52">K26+1</f>
        <v>1.1289176533800804</v>
      </c>
      <c r="O26">
        <f t="shared" si="34"/>
        <v>2012</v>
      </c>
      <c r="P26" s="6">
        <f t="shared" si="35"/>
        <v>0.21138311805251345</v>
      </c>
      <c r="Q26" s="6"/>
      <c r="R26" s="6">
        <f t="shared" si="36"/>
        <v>0.22151781874352977</v>
      </c>
      <c r="S26" s="6">
        <f t="shared" si="37"/>
        <v>0.11412502224023964</v>
      </c>
      <c r="T26" s="6"/>
      <c r="U26" s="6">
        <f t="shared" si="38"/>
        <v>0.17470564348823731</v>
      </c>
      <c r="V26" s="6">
        <f t="shared" si="39"/>
        <v>0.27826839747547982</v>
      </c>
      <c r="W26" s="20">
        <f t="shared" si="40"/>
        <v>1</v>
      </c>
      <c r="X26" s="22"/>
      <c r="Y26">
        <f t="shared" si="41"/>
        <v>2012</v>
      </c>
      <c r="Z26" s="2">
        <f t="shared" si="42"/>
        <v>22624.256293390925</v>
      </c>
      <c r="AA26" s="2"/>
      <c r="AB26" s="2">
        <f t="shared" si="43"/>
        <v>23708.96952878467</v>
      </c>
      <c r="AC26" s="2">
        <f t="shared" si="44"/>
        <v>12214.758569370151</v>
      </c>
      <c r="AD26" s="2"/>
      <c r="AE26" s="2">
        <f t="shared" si="45"/>
        <v>18698.679869022144</v>
      </c>
      <c r="AF26" s="2">
        <f t="shared" si="46"/>
        <v>29782.962806293861</v>
      </c>
      <c r="AG26" s="2">
        <f t="shared" si="47"/>
        <v>107029.62706686175</v>
      </c>
      <c r="AH26" s="2">
        <f t="shared" si="48"/>
        <v>0</v>
      </c>
    </row>
    <row r="27" spans="1:34" x14ac:dyDescent="0.25">
      <c r="A27">
        <f t="shared" si="4"/>
        <v>2013</v>
      </c>
      <c r="B27" s="2">
        <f t="shared" si="22"/>
        <v>29904.741968604125</v>
      </c>
      <c r="C27" s="2"/>
      <c r="D27" s="2">
        <f t="shared" si="23"/>
        <v>32007.108863859306</v>
      </c>
      <c r="E27" s="2">
        <f t="shared" si="23"/>
        <v>16809.950743167199</v>
      </c>
      <c r="F27" s="2"/>
      <c r="G27" s="2">
        <f t="shared" si="24"/>
        <v>21510.961321323073</v>
      </c>
      <c r="H27" s="2">
        <f t="shared" si="24"/>
        <v>29109.867846871621</v>
      </c>
      <c r="I27" s="2">
        <f t="shared" si="49"/>
        <v>129342.63074382533</v>
      </c>
      <c r="J27" s="2">
        <f t="shared" si="50"/>
        <v>22313.003676963577</v>
      </c>
      <c r="K27" s="6">
        <f t="shared" si="51"/>
        <v>0.20847502031399748</v>
      </c>
      <c r="L27" s="7">
        <f t="shared" si="52"/>
        <v>1.2084750203139976</v>
      </c>
      <c r="O27">
        <f t="shared" si="34"/>
        <v>2013</v>
      </c>
      <c r="P27" s="6">
        <f t="shared" si="35"/>
        <v>0.23120561099327835</v>
      </c>
      <c r="Q27" s="6"/>
      <c r="R27" s="6">
        <f t="shared" si="36"/>
        <v>0.24745985665972925</v>
      </c>
      <c r="S27" s="6">
        <f t="shared" si="37"/>
        <v>0.12996450316880298</v>
      </c>
      <c r="T27" s="6"/>
      <c r="U27" s="6">
        <f t="shared" si="38"/>
        <v>0.1663099103336429</v>
      </c>
      <c r="V27" s="6">
        <f t="shared" si="39"/>
        <v>0.22506011884454649</v>
      </c>
      <c r="W27" s="20">
        <f t="shared" si="40"/>
        <v>1</v>
      </c>
      <c r="X27" s="22"/>
      <c r="Y27">
        <f t="shared" si="41"/>
        <v>2013</v>
      </c>
      <c r="Z27" s="2">
        <f t="shared" si="42"/>
        <v>29904.741968604125</v>
      </c>
      <c r="AA27" s="2"/>
      <c r="AB27" s="2">
        <f t="shared" si="43"/>
        <v>32007.108863859306</v>
      </c>
      <c r="AC27" s="2">
        <f t="shared" si="44"/>
        <v>16809.950743167199</v>
      </c>
      <c r="AD27" s="2"/>
      <c r="AE27" s="2">
        <f t="shared" si="45"/>
        <v>21510.961321323073</v>
      </c>
      <c r="AF27" s="2">
        <f t="shared" si="46"/>
        <v>29109.867846871621</v>
      </c>
      <c r="AG27" s="2">
        <f t="shared" si="47"/>
        <v>129342.63074382533</v>
      </c>
      <c r="AH27" s="2">
        <f t="shared" si="48"/>
        <v>0</v>
      </c>
    </row>
    <row r="28" spans="1:34" x14ac:dyDescent="0.25">
      <c r="A28">
        <f t="shared" si="4"/>
        <v>2014</v>
      </c>
      <c r="B28" s="2">
        <f t="shared" si="22"/>
        <v>33944.872608562539</v>
      </c>
      <c r="C28" s="2"/>
      <c r="D28" s="2">
        <f t="shared" si="23"/>
        <v>36360.075669344173</v>
      </c>
      <c r="E28" s="2">
        <f t="shared" si="23"/>
        <v>18048.844112938623</v>
      </c>
      <c r="F28" s="2"/>
      <c r="G28" s="2">
        <f t="shared" si="24"/>
        <v>20598.896561298974</v>
      </c>
      <c r="H28" s="2">
        <f t="shared" si="24"/>
        <v>30786.596234851429</v>
      </c>
      <c r="I28" s="2">
        <f t="shared" si="49"/>
        <v>139739.28518699575</v>
      </c>
      <c r="J28" s="2">
        <f t="shared" si="50"/>
        <v>10396.654443170424</v>
      </c>
      <c r="K28" s="6">
        <f t="shared" si="51"/>
        <v>8.0380725081755366E-2</v>
      </c>
      <c r="L28" s="7">
        <f t="shared" si="52"/>
        <v>1.0803807250817554</v>
      </c>
      <c r="O28">
        <f t="shared" si="34"/>
        <v>2014</v>
      </c>
      <c r="P28" s="6">
        <f t="shared" si="35"/>
        <v>0.24291574529766863</v>
      </c>
      <c r="Q28" s="6"/>
      <c r="R28" s="6">
        <f t="shared" si="36"/>
        <v>0.2601993821614873</v>
      </c>
      <c r="S28" s="6">
        <f t="shared" si="37"/>
        <v>0.12916084470294872</v>
      </c>
      <c r="T28" s="6"/>
      <c r="U28" s="6">
        <f t="shared" si="38"/>
        <v>0.14740948856103012</v>
      </c>
      <c r="V28" s="6">
        <f t="shared" si="39"/>
        <v>0.22031453927686509</v>
      </c>
      <c r="W28" s="20">
        <f t="shared" si="40"/>
        <v>0.99999999999999978</v>
      </c>
      <c r="X28" s="22"/>
      <c r="Y28">
        <f t="shared" si="41"/>
        <v>2014</v>
      </c>
      <c r="Z28" s="2">
        <f t="shared" si="42"/>
        <v>33944.872608562539</v>
      </c>
      <c r="AA28" s="2"/>
      <c r="AB28" s="2">
        <f t="shared" si="43"/>
        <v>36360.075669344173</v>
      </c>
      <c r="AC28" s="2">
        <f t="shared" si="44"/>
        <v>18048.844112938623</v>
      </c>
      <c r="AD28" s="2"/>
      <c r="AE28" s="2">
        <f t="shared" si="45"/>
        <v>20598.896561298974</v>
      </c>
      <c r="AF28" s="2">
        <f t="shared" si="46"/>
        <v>30786.596234851429</v>
      </c>
      <c r="AG28" s="2">
        <f t="shared" si="47"/>
        <v>139739.28518699575</v>
      </c>
      <c r="AH28" s="2">
        <f t="shared" si="48"/>
        <v>0</v>
      </c>
    </row>
    <row r="29" spans="1:34" x14ac:dyDescent="0.25">
      <c r="A29">
        <f t="shared" si="4"/>
        <v>2015</v>
      </c>
      <c r="B29" s="2">
        <f t="shared" si="22"/>
        <v>34369.183516169571</v>
      </c>
      <c r="C29" s="2"/>
      <c r="D29" s="2">
        <f t="shared" ref="D29:E29" si="53">AB28*(1+(D12/100))</f>
        <v>35829.218564571747</v>
      </c>
      <c r="E29" s="2">
        <f t="shared" si="53"/>
        <v>17366.597805469541</v>
      </c>
      <c r="F29" s="2"/>
      <c r="G29" s="2">
        <f t="shared" ref="G29:H29" si="54">AE28*(1+(G12/100))</f>
        <v>19698.72478157021</v>
      </c>
      <c r="H29" s="2">
        <f t="shared" si="54"/>
        <v>30878.95602355598</v>
      </c>
      <c r="I29" s="2">
        <f t="shared" ref="I29" si="55">SUM(B29:H29)</f>
        <v>138142.68069133707</v>
      </c>
      <c r="J29" s="2">
        <f t="shared" ref="J29" si="56">I29-I28</f>
        <v>-1596.6044956586848</v>
      </c>
      <c r="K29" s="6">
        <f t="shared" ref="K29" si="57">(J29/I28)</f>
        <v>-1.1425595125394745E-2</v>
      </c>
      <c r="L29" s="7">
        <f t="shared" ref="L29" si="58">K29+1</f>
        <v>0.98857440487460524</v>
      </c>
      <c r="O29">
        <f t="shared" ref="O29" si="59">A29</f>
        <v>2015</v>
      </c>
      <c r="P29" s="6">
        <f t="shared" ref="P29" si="60">B29/$I29</f>
        <v>0.24879482100802219</v>
      </c>
      <c r="Q29" s="6"/>
      <c r="R29" s="6">
        <f t="shared" ref="R29" si="61">D29/$I29</f>
        <v>0.25936385760913211</v>
      </c>
      <c r="S29" s="6">
        <f t="shared" ref="S29" si="62">E29/$I29</f>
        <v>0.12571493269537082</v>
      </c>
      <c r="T29" s="6"/>
      <c r="U29" s="6">
        <f t="shared" ref="U29" si="63">G29/$I29</f>
        <v>0.14259694891533634</v>
      </c>
      <c r="V29" s="6">
        <f t="shared" ref="V29" si="64">H29/$I29</f>
        <v>0.22352943977213843</v>
      </c>
      <c r="W29" s="20">
        <f t="shared" ref="W29" si="65">SUM(P29:V29)</f>
        <v>1</v>
      </c>
      <c r="X29" s="22"/>
      <c r="Y29">
        <f t="shared" ref="Y29" si="66">O29</f>
        <v>2015</v>
      </c>
      <c r="Z29" s="2">
        <f t="shared" ref="Z29" si="67">B29</f>
        <v>34369.183516169571</v>
      </c>
      <c r="AA29" s="2"/>
      <c r="AB29" s="2">
        <f t="shared" ref="AB29" si="68">D29</f>
        <v>35829.218564571747</v>
      </c>
      <c r="AC29" s="2">
        <f t="shared" ref="AC29" si="69">E29</f>
        <v>17366.597805469541</v>
      </c>
      <c r="AD29" s="2"/>
      <c r="AE29" s="2">
        <f t="shared" ref="AE29" si="70">G29</f>
        <v>19698.72478157021</v>
      </c>
      <c r="AF29" s="2">
        <f t="shared" ref="AF29" si="71">H29</f>
        <v>30878.95602355598</v>
      </c>
      <c r="AG29" s="2">
        <f t="shared" ref="AG29" si="72">SUM(Z29:AF29)</f>
        <v>138142.68069133707</v>
      </c>
      <c r="AH29" s="2">
        <f t="shared" ref="AH29" si="73">AG29-I29</f>
        <v>0</v>
      </c>
    </row>
    <row r="30" spans="1:34" x14ac:dyDescent="0.25">
      <c r="A30">
        <f t="shared" ref="A30:A31" si="74">A13</f>
        <v>2016</v>
      </c>
      <c r="B30" s="2">
        <f t="shared" ref="B30:B31" si="75">Z29*(1+(B13/100))</f>
        <v>38431.621007780814</v>
      </c>
      <c r="C30" s="2"/>
      <c r="D30" s="2">
        <f t="shared" ref="D30:D31" si="76">AB29*(1+(D13/100))</f>
        <v>39795.513059669844</v>
      </c>
      <c r="E30" s="2">
        <f t="shared" ref="E30:E31" si="77">AC29*(1+(E13/100))</f>
        <v>20522.108626723355</v>
      </c>
      <c r="F30" s="2"/>
      <c r="G30" s="2">
        <f t="shared" ref="G30:G31" si="78">AE29*(1+(G13/100))</f>
        <v>20614.715483913224</v>
      </c>
      <c r="H30" s="2">
        <f t="shared" ref="H30:H31" si="79">AF29*(1+(H13/100))</f>
        <v>31650.929924144875</v>
      </c>
      <c r="I30" s="2">
        <f t="shared" ref="I30:I31" si="80">SUM(B30:H30)</f>
        <v>151014.8881022321</v>
      </c>
      <c r="J30" s="2">
        <f t="shared" ref="J30:J31" si="81">I30-I29</f>
        <v>12872.207410895033</v>
      </c>
      <c r="K30" s="6">
        <f t="shared" ref="K30:K31" si="82">(J30/I29)</f>
        <v>9.3180524270094392E-2</v>
      </c>
      <c r="L30" s="7">
        <f t="shared" ref="L30:L31" si="83">K30+1</f>
        <v>1.0931805242700945</v>
      </c>
      <c r="O30">
        <f t="shared" ref="O30:O31" si="84">A30</f>
        <v>2016</v>
      </c>
      <c r="P30" s="6">
        <f t="shared" ref="P30:P31" si="85">B30/$I30</f>
        <v>0.254488954637134</v>
      </c>
      <c r="Q30" s="6"/>
      <c r="R30" s="6">
        <f t="shared" ref="R30:R31" si="86">D30/$I30</f>
        <v>0.26352046185492384</v>
      </c>
      <c r="S30" s="6">
        <f t="shared" ref="S30:S31" si="87">E30/$I30</f>
        <v>0.13589460539036763</v>
      </c>
      <c r="T30" s="6"/>
      <c r="U30" s="6">
        <f t="shared" ref="U30:U31" si="88">G30/$I30</f>
        <v>0.13650783537287886</v>
      </c>
      <c r="V30" s="6">
        <f t="shared" ref="V30:V31" si="89">H30/$I30</f>
        <v>0.20958814274469573</v>
      </c>
      <c r="W30" s="20">
        <f t="shared" ref="W30:W31" si="90">SUM(P30:V30)</f>
        <v>1</v>
      </c>
      <c r="X30" s="22"/>
      <c r="Y30">
        <f t="shared" ref="Y30:Y31" si="91">O30</f>
        <v>2016</v>
      </c>
      <c r="Z30" s="2">
        <f t="shared" ref="Z30:Z31" si="92">B30</f>
        <v>38431.621007780814</v>
      </c>
      <c r="AA30" s="2"/>
      <c r="AB30" s="2">
        <f t="shared" ref="AB30:AB31" si="93">D30</f>
        <v>39795.513059669844</v>
      </c>
      <c r="AC30" s="2">
        <f t="shared" ref="AC30:AC31" si="94">E30</f>
        <v>20522.108626723355</v>
      </c>
      <c r="AD30" s="2"/>
      <c r="AE30" s="2">
        <f t="shared" ref="AE30:AE31" si="95">G30</f>
        <v>20614.715483913224</v>
      </c>
      <c r="AF30" s="2">
        <f t="shared" ref="AF30:AF31" si="96">H30</f>
        <v>31650.929924144875</v>
      </c>
      <c r="AG30" s="2">
        <f t="shared" ref="AG30:AG31" si="97">SUM(Z30:AF30)</f>
        <v>151014.8881022321</v>
      </c>
      <c r="AH30" s="2">
        <f t="shared" ref="AH30:AH31" si="98">AG30-I30</f>
        <v>0</v>
      </c>
    </row>
    <row r="31" spans="1:34" x14ac:dyDescent="0.25">
      <c r="A31">
        <f t="shared" si="74"/>
        <v>2017</v>
      </c>
      <c r="B31" s="2">
        <f t="shared" si="75"/>
        <v>46759.753280166915</v>
      </c>
      <c r="C31" s="2"/>
      <c r="D31" s="2">
        <f t="shared" si="76"/>
        <v>47595.433619365132</v>
      </c>
      <c r="E31" s="2">
        <f t="shared" si="77"/>
        <v>23826.168115625816</v>
      </c>
      <c r="F31" s="2"/>
      <c r="G31" s="2">
        <f t="shared" si="78"/>
        <v>26263.147526505447</v>
      </c>
      <c r="H31" s="2">
        <f t="shared" si="79"/>
        <v>32746.052099520286</v>
      </c>
      <c r="I31" s="2">
        <f t="shared" si="80"/>
        <v>177190.55464118358</v>
      </c>
      <c r="J31" s="2">
        <f t="shared" si="81"/>
        <v>26175.666538951482</v>
      </c>
      <c r="K31" s="6">
        <f t="shared" si="82"/>
        <v>0.17333169509241644</v>
      </c>
      <c r="L31" s="7">
        <f t="shared" si="83"/>
        <v>1.1733316950924164</v>
      </c>
      <c r="O31">
        <f t="shared" si="84"/>
        <v>2017</v>
      </c>
      <c r="P31" s="6">
        <f t="shared" si="85"/>
        <v>0.26389529269693229</v>
      </c>
      <c r="Q31" s="6"/>
      <c r="R31" s="6">
        <f t="shared" si="86"/>
        <v>0.26861157309286249</v>
      </c>
      <c r="S31" s="6">
        <f t="shared" si="87"/>
        <v>0.13446635552258726</v>
      </c>
      <c r="T31" s="6"/>
      <c r="U31" s="6">
        <f t="shared" si="88"/>
        <v>0.14821979410634581</v>
      </c>
      <c r="V31" s="6">
        <f t="shared" si="89"/>
        <v>0.1848069845812722</v>
      </c>
      <c r="W31" s="20">
        <f t="shared" si="90"/>
        <v>1</v>
      </c>
      <c r="X31" s="22"/>
      <c r="Y31">
        <f t="shared" si="91"/>
        <v>2017</v>
      </c>
      <c r="Z31" s="2">
        <f t="shared" si="92"/>
        <v>46759.753280166915</v>
      </c>
      <c r="AA31" s="2"/>
      <c r="AB31" s="2">
        <f t="shared" si="93"/>
        <v>47595.433619365132</v>
      </c>
      <c r="AC31" s="2">
        <f t="shared" si="94"/>
        <v>23826.168115625816</v>
      </c>
      <c r="AD31" s="2"/>
      <c r="AE31" s="2">
        <f t="shared" si="95"/>
        <v>26263.147526505447</v>
      </c>
      <c r="AF31" s="2">
        <f t="shared" si="96"/>
        <v>32746.052099520286</v>
      </c>
      <c r="AG31" s="2">
        <f t="shared" si="97"/>
        <v>177190.55464118358</v>
      </c>
      <c r="AH31" s="2">
        <f t="shared" si="98"/>
        <v>0</v>
      </c>
    </row>
    <row r="32" spans="1:34" x14ac:dyDescent="0.25">
      <c r="A32" s="9" t="s">
        <v>46</v>
      </c>
      <c r="B32" s="10">
        <f>Z31</f>
        <v>46759.753280166915</v>
      </c>
      <c r="C32" s="10"/>
      <c r="D32" s="10">
        <f>AB31</f>
        <v>47595.433619365132</v>
      </c>
      <c r="E32" s="10">
        <f>AC31</f>
        <v>23826.168115625816</v>
      </c>
      <c r="F32" s="10"/>
      <c r="G32" s="10">
        <f>AE31</f>
        <v>26263.147526505447</v>
      </c>
      <c r="H32" s="10">
        <f>AF31</f>
        <v>32746.052099520286</v>
      </c>
      <c r="I32" s="10">
        <f>SUM(B32:H32)</f>
        <v>177190.55464118358</v>
      </c>
      <c r="J32" s="10"/>
      <c r="K32" s="10"/>
      <c r="S32" s="7"/>
    </row>
    <row r="33" spans="1:11" x14ac:dyDescent="0.25">
      <c r="A33" s="11" t="s">
        <v>47</v>
      </c>
      <c r="I33" s="6">
        <f>(I32-I20)/I20</f>
        <v>0.77190554641183584</v>
      </c>
      <c r="K33" s="6"/>
    </row>
    <row r="34" spans="1:11" x14ac:dyDescent="0.25">
      <c r="A34" s="1" t="s">
        <v>48</v>
      </c>
      <c r="I34" s="12">
        <f>STDEV(L21:L31)</f>
        <v>0.12943753696654423</v>
      </c>
    </row>
    <row r="35" spans="1:11" x14ac:dyDescent="0.25">
      <c r="A35" s="1" t="s">
        <v>49</v>
      </c>
      <c r="I35" s="13">
        <f>((1+I33)^(1/I40))-1</f>
        <v>5.3381061823676745E-2</v>
      </c>
    </row>
    <row r="36" spans="1:11" x14ac:dyDescent="0.25">
      <c r="A36" s="1" t="s">
        <v>50</v>
      </c>
      <c r="I36" s="27">
        <f>J22</f>
        <v>-28889.650571999999</v>
      </c>
    </row>
    <row r="37" spans="1:11" x14ac:dyDescent="0.25">
      <c r="A37" s="1" t="s">
        <v>51</v>
      </c>
      <c r="I37" s="28">
        <f>K22</f>
        <v>-0.26854558425405889</v>
      </c>
    </row>
    <row r="38" spans="1:11" x14ac:dyDescent="0.25">
      <c r="A38" s="3" t="s">
        <v>52</v>
      </c>
      <c r="I38" s="29">
        <f>I32-I31</f>
        <v>0</v>
      </c>
    </row>
    <row r="39" spans="1:11" x14ac:dyDescent="0.25">
      <c r="A39" s="3" t="s">
        <v>141</v>
      </c>
      <c r="I39" s="29">
        <f>((SUM(J21:J31))-(I32-I20))</f>
        <v>0</v>
      </c>
    </row>
    <row r="40" spans="1:11" x14ac:dyDescent="0.25">
      <c r="A40" s="3" t="s">
        <v>146</v>
      </c>
      <c r="I40" s="3">
        <f>COUNTA(I21:I31)</f>
        <v>11</v>
      </c>
    </row>
    <row r="43" spans="1:11" x14ac:dyDescent="0.25">
      <c r="I43"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CE9E2-E000-458C-8A03-0FA958F4AA02}">
  <dimension ref="A1:AR40"/>
  <sheetViews>
    <sheetView topLeftCell="E7" zoomScaleNormal="100" workbookViewId="0">
      <selection activeCell="A27" sqref="A27"/>
    </sheetView>
  </sheetViews>
  <sheetFormatPr defaultColWidth="8.85546875" defaultRowHeight="15" x14ac:dyDescent="0.25"/>
  <cols>
    <col min="1" max="1" width="25.42578125" customWidth="1"/>
    <col min="2" max="2" width="10.28515625" customWidth="1"/>
    <col min="9" max="9" width="10.7109375" customWidth="1"/>
    <col min="10" max="10" width="10" bestFit="1" customWidth="1"/>
    <col min="36" max="37" width="10.85546875" bestFit="1" customWidth="1"/>
    <col min="40" max="40" width="10.85546875" bestFit="1" customWidth="1"/>
    <col min="42" max="42" width="10.85546875" bestFit="1" customWidth="1"/>
    <col min="43" max="43" width="11.42578125" customWidth="1"/>
  </cols>
  <sheetData>
    <row r="1" spans="1:8" x14ac:dyDescent="0.25">
      <c r="A1" s="18" t="s">
        <v>19</v>
      </c>
    </row>
    <row r="2" spans="1:8"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8"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8"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8"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8"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8"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8"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8"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8"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5">
      <c r="A15" s="1"/>
    </row>
    <row r="16" spans="1:8" x14ac:dyDescent="0.25">
      <c r="A16" s="1"/>
    </row>
    <row r="17" spans="1:44" x14ac:dyDescent="0.25">
      <c r="A17" s="18" t="s">
        <v>110</v>
      </c>
      <c r="O17" s="18" t="s">
        <v>116</v>
      </c>
      <c r="Y17" s="18" t="s">
        <v>117</v>
      </c>
      <c r="AI17" s="18" t="s">
        <v>118</v>
      </c>
    </row>
    <row r="18" spans="1:44" x14ac:dyDescent="0.25">
      <c r="B18" s="4" t="str">
        <f t="shared" ref="B18:H19" si="0">B2</f>
        <v>LC Stocks</v>
      </c>
      <c r="C18" s="4" t="str">
        <f t="shared" si="0"/>
        <v>Ext Mkt</v>
      </c>
      <c r="D18" s="4" t="str">
        <f t="shared" si="0"/>
        <v>Mcap Stk</v>
      </c>
      <c r="E18" s="4" t="str">
        <f t="shared" si="0"/>
        <v>Small Cap</v>
      </c>
      <c r="F18" s="4" t="str">
        <f t="shared" si="0"/>
        <v>Intl Val</v>
      </c>
      <c r="G18" s="4" t="str">
        <f t="shared" si="0"/>
        <v>Tot Int Stk</v>
      </c>
      <c r="H18" s="4" t="str">
        <f t="shared" si="0"/>
        <v>Bonds</v>
      </c>
      <c r="I18" s="5"/>
      <c r="J18" s="5" t="s">
        <v>44</v>
      </c>
      <c r="K18" s="5" t="s">
        <v>41</v>
      </c>
      <c r="L18" s="5" t="s">
        <v>42</v>
      </c>
      <c r="P18" s="4" t="str">
        <f>B18</f>
        <v>LC Stocks</v>
      </c>
      <c r="Q18" s="4" t="str">
        <f t="shared" ref="Q18:V19" si="1">C18</f>
        <v>Ext Mkt</v>
      </c>
      <c r="R18" s="4" t="str">
        <f t="shared" si="1"/>
        <v>Mcap Stk</v>
      </c>
      <c r="S18" s="4" t="str">
        <f t="shared" si="1"/>
        <v>Small Cap</v>
      </c>
      <c r="T18" s="4" t="str">
        <f t="shared" si="1"/>
        <v>Intl Val</v>
      </c>
      <c r="U18" s="4" t="str">
        <f t="shared" si="1"/>
        <v>Tot Int Stk</v>
      </c>
      <c r="V18" s="4" t="str">
        <f t="shared" si="1"/>
        <v>Bonds</v>
      </c>
      <c r="W18" s="5"/>
      <c r="Z18" s="4" t="str">
        <f>P18</f>
        <v>LC Stocks</v>
      </c>
      <c r="AA18" s="4" t="str">
        <f t="shared" ref="AA18:AG20" si="2">Q18</f>
        <v>Ext Mkt</v>
      </c>
      <c r="AB18" s="4" t="str">
        <f t="shared" si="2"/>
        <v>Mcap Stk</v>
      </c>
      <c r="AC18" s="4" t="str">
        <f t="shared" si="2"/>
        <v>Small Cap</v>
      </c>
      <c r="AD18" s="4" t="str">
        <f t="shared" si="2"/>
        <v>Intl Val</v>
      </c>
      <c r="AE18" s="4" t="str">
        <f t="shared" si="2"/>
        <v>Tot Int Stk</v>
      </c>
      <c r="AF18" s="4" t="str">
        <f t="shared" si="2"/>
        <v>Bonds</v>
      </c>
      <c r="AG18" s="5"/>
      <c r="AJ18" s="4" t="str">
        <f>Z18</f>
        <v>LC Stocks</v>
      </c>
      <c r="AK18" s="4" t="str">
        <f t="shared" ref="AK18:AQ20" si="3">AA18</f>
        <v>Ext Mkt</v>
      </c>
      <c r="AL18" s="4" t="str">
        <f t="shared" si="3"/>
        <v>Mcap Stk</v>
      </c>
      <c r="AM18" s="4" t="str">
        <f t="shared" si="3"/>
        <v>Small Cap</v>
      </c>
      <c r="AN18" s="4" t="str">
        <f t="shared" si="3"/>
        <v>Intl Val</v>
      </c>
      <c r="AO18" s="4" t="str">
        <f t="shared" si="3"/>
        <v>Tot Int Stk</v>
      </c>
      <c r="AP18" s="4" t="str">
        <f t="shared" si="3"/>
        <v>Bonds</v>
      </c>
      <c r="AQ18" s="4"/>
      <c r="AR18" t="s">
        <v>56</v>
      </c>
    </row>
    <row r="19" spans="1:44" x14ac:dyDescent="0.25">
      <c r="A19" t="s">
        <v>40</v>
      </c>
      <c r="B19" s="4" t="str">
        <f t="shared" si="0"/>
        <v>VFINX</v>
      </c>
      <c r="C19" s="4" t="str">
        <f t="shared" si="0"/>
        <v>VEXMX</v>
      </c>
      <c r="D19" s="4" t="str">
        <f t="shared" si="0"/>
        <v>VIMSX</v>
      </c>
      <c r="E19" s="4" t="str">
        <f t="shared" si="0"/>
        <v>NAESX</v>
      </c>
      <c r="F19" s="4" t="str">
        <f t="shared" si="0"/>
        <v>VTRIX</v>
      </c>
      <c r="G19" s="4" t="str">
        <f t="shared" si="0"/>
        <v>VGTSX</v>
      </c>
      <c r="H19" s="4" t="str">
        <f t="shared" si="0"/>
        <v>VBMFX</v>
      </c>
      <c r="I19" s="5" t="s">
        <v>38</v>
      </c>
      <c r="J19" s="5" t="s">
        <v>45</v>
      </c>
      <c r="K19" s="5" t="s">
        <v>43</v>
      </c>
      <c r="L19" s="5" t="s">
        <v>43</v>
      </c>
      <c r="O19" t="s">
        <v>40</v>
      </c>
      <c r="P19" s="4" t="str">
        <f>B19</f>
        <v>VFINX</v>
      </c>
      <c r="Q19" s="4" t="str">
        <f t="shared" si="1"/>
        <v>VEXMX</v>
      </c>
      <c r="R19" s="4" t="str">
        <f t="shared" si="1"/>
        <v>VIMSX</v>
      </c>
      <c r="S19" s="4" t="str">
        <f t="shared" si="1"/>
        <v>NAESX</v>
      </c>
      <c r="T19" s="4" t="str">
        <f t="shared" si="1"/>
        <v>VTRIX</v>
      </c>
      <c r="U19" s="4" t="str">
        <f t="shared" si="1"/>
        <v>VGTSX</v>
      </c>
      <c r="V19" s="4" t="str">
        <f t="shared" si="1"/>
        <v>VBMFX</v>
      </c>
      <c r="W19" s="5" t="s">
        <v>38</v>
      </c>
      <c r="Y19" t="str">
        <f>O19</f>
        <v>Fund</v>
      </c>
      <c r="Z19" s="4" t="str">
        <f>P19</f>
        <v>VFINX</v>
      </c>
      <c r="AA19" s="4" t="str">
        <f t="shared" si="2"/>
        <v>VEXMX</v>
      </c>
      <c r="AB19" s="4" t="str">
        <f t="shared" si="2"/>
        <v>VIMSX</v>
      </c>
      <c r="AC19" s="4" t="str">
        <f t="shared" si="2"/>
        <v>NAESX</v>
      </c>
      <c r="AD19" s="4" t="str">
        <f t="shared" si="2"/>
        <v>VTRIX</v>
      </c>
      <c r="AE19" s="4" t="str">
        <f t="shared" si="2"/>
        <v>VGTSX</v>
      </c>
      <c r="AF19" s="4" t="str">
        <f t="shared" si="2"/>
        <v>VBMFX</v>
      </c>
      <c r="AG19" s="4" t="str">
        <f t="shared" si="2"/>
        <v>Total</v>
      </c>
      <c r="AI19" t="s">
        <v>40</v>
      </c>
      <c r="AJ19" s="4" t="str">
        <f>Z19</f>
        <v>VFINX</v>
      </c>
      <c r="AK19" s="4" t="str">
        <f t="shared" si="3"/>
        <v>VEXMX</v>
      </c>
      <c r="AL19" s="4" t="str">
        <f t="shared" si="3"/>
        <v>VIMSX</v>
      </c>
      <c r="AM19" s="4" t="str">
        <f t="shared" si="3"/>
        <v>NAESX</v>
      </c>
      <c r="AN19" s="4" t="str">
        <f t="shared" si="3"/>
        <v>VTRIX</v>
      </c>
      <c r="AO19" s="4" t="str">
        <f t="shared" si="3"/>
        <v>VGTSX</v>
      </c>
      <c r="AP19" s="4" t="str">
        <f t="shared" si="3"/>
        <v>VBMFX</v>
      </c>
      <c r="AQ19" s="4" t="str">
        <f t="shared" si="3"/>
        <v>Total</v>
      </c>
      <c r="AR19" t="s">
        <v>55</v>
      </c>
    </row>
    <row r="20" spans="1:44" x14ac:dyDescent="0.25">
      <c r="A20" t="s">
        <v>39</v>
      </c>
      <c r="B20" s="2">
        <v>60000</v>
      </c>
      <c r="C20" s="2"/>
      <c r="D20" s="2"/>
      <c r="E20" s="2"/>
      <c r="F20" s="2"/>
      <c r="G20" s="2"/>
      <c r="H20" s="2">
        <v>40000</v>
      </c>
      <c r="I20" s="2">
        <f>SUM(B20:H20)</f>
        <v>100000</v>
      </c>
      <c r="O20" s="19" t="s">
        <v>54</v>
      </c>
      <c r="P20" s="20">
        <f>B20/$I20</f>
        <v>0.6</v>
      </c>
      <c r="Q20" s="20"/>
      <c r="R20" s="53">
        <v>0</v>
      </c>
      <c r="S20" s="53">
        <v>0</v>
      </c>
      <c r="T20" s="20"/>
      <c r="U20" s="53">
        <v>0</v>
      </c>
      <c r="V20" s="20">
        <f>H20/$I20</f>
        <v>0.4</v>
      </c>
      <c r="W20" s="20">
        <f>I20/$I20</f>
        <v>1</v>
      </c>
      <c r="Y20" s="19" t="str">
        <f>O20</f>
        <v>Target Allocation</v>
      </c>
      <c r="Z20" s="22">
        <f>P20</f>
        <v>0.6</v>
      </c>
      <c r="AA20" s="22">
        <f t="shared" si="2"/>
        <v>0</v>
      </c>
      <c r="AB20" s="23">
        <f t="shared" si="2"/>
        <v>0</v>
      </c>
      <c r="AC20" s="23">
        <f t="shared" si="2"/>
        <v>0</v>
      </c>
      <c r="AD20" s="22">
        <f t="shared" si="2"/>
        <v>0</v>
      </c>
      <c r="AE20" s="23">
        <f t="shared" si="2"/>
        <v>0</v>
      </c>
      <c r="AF20" s="22">
        <f t="shared" si="2"/>
        <v>0.4</v>
      </c>
      <c r="AG20" s="22">
        <f t="shared" si="2"/>
        <v>1</v>
      </c>
      <c r="AI20" s="19" t="str">
        <f>Y20</f>
        <v>Target Allocation</v>
      </c>
      <c r="AJ20" s="22">
        <f>Z20</f>
        <v>0.6</v>
      </c>
      <c r="AK20" s="22"/>
      <c r="AL20" s="23">
        <f t="shared" si="3"/>
        <v>0</v>
      </c>
      <c r="AM20" s="23">
        <f t="shared" si="3"/>
        <v>0</v>
      </c>
      <c r="AN20" s="22"/>
      <c r="AO20" s="23">
        <f t="shared" si="3"/>
        <v>0</v>
      </c>
      <c r="AP20" s="22">
        <f t="shared" si="3"/>
        <v>0.4</v>
      </c>
      <c r="AQ20" s="22">
        <f t="shared" si="3"/>
        <v>1</v>
      </c>
      <c r="AR20" s="2"/>
    </row>
    <row r="21" spans="1:44" x14ac:dyDescent="0.25">
      <c r="A21">
        <f t="shared" ref="A21:A31" si="4">A4</f>
        <v>2007</v>
      </c>
      <c r="B21" s="2">
        <f>B$20*(1+(B4/100))</f>
        <v>63234</v>
      </c>
      <c r="C21" s="2"/>
      <c r="D21" s="2"/>
      <c r="E21" s="2"/>
      <c r="F21" s="2"/>
      <c r="G21" s="2"/>
      <c r="H21" s="2">
        <f>H$20*(1+(H4/100))</f>
        <v>42768</v>
      </c>
      <c r="I21" s="2">
        <f t="shared" ref="I21:I23" si="5">SUM(B21:H21)</f>
        <v>106002</v>
      </c>
      <c r="J21" s="2">
        <f t="shared" ref="J21:J31" si="6">I21-I20</f>
        <v>6002</v>
      </c>
      <c r="K21" s="6">
        <f t="shared" ref="K21:K31" si="7">(J21/I20)</f>
        <v>6.0019999999999997E-2</v>
      </c>
      <c r="L21" s="7">
        <f t="shared" ref="L21:L31" si="8">K21+1</f>
        <v>1.06002</v>
      </c>
      <c r="O21">
        <f t="shared" ref="O21:O31" si="9">A21</f>
        <v>2007</v>
      </c>
      <c r="P21" s="6">
        <f t="shared" ref="P21:V31" si="10">B21/$I21</f>
        <v>0.59653591441670917</v>
      </c>
      <c r="Q21" s="6"/>
      <c r="R21" s="6">
        <f t="shared" ref="R21:S31" si="11">D21/$I21</f>
        <v>0</v>
      </c>
      <c r="S21" s="6">
        <f t="shared" si="11"/>
        <v>0</v>
      </c>
      <c r="T21" s="6"/>
      <c r="U21" s="6">
        <f t="shared" si="10"/>
        <v>0</v>
      </c>
      <c r="V21" s="6">
        <f t="shared" si="10"/>
        <v>0.40346408558329089</v>
      </c>
      <c r="W21" s="20">
        <f>SUM(P21:V21)</f>
        <v>1</v>
      </c>
      <c r="Y21">
        <f t="shared" ref="Y21:Y31" si="12">O21</f>
        <v>2007</v>
      </c>
      <c r="Z21" s="1" t="b">
        <f>AND((B21/$I21)&gt;0.55,(B21/$I21)&lt;0.65)</f>
        <v>1</v>
      </c>
      <c r="AB21" s="1"/>
      <c r="AC21" s="1"/>
      <c r="AE21" s="1"/>
      <c r="AF21" s="1" t="b">
        <f>AND((H21/$I21)&gt;0.35,(H21/$I21)&lt;0.45)</f>
        <v>1</v>
      </c>
      <c r="AG21" s="1" t="b">
        <f t="shared" ref="AG21:AG31" si="13">AND((I21/$I21)&gt;0.999,(I21/$I21)&lt;1.01)</f>
        <v>1</v>
      </c>
      <c r="AI21">
        <f t="shared" ref="AI21:AI31" si="14">A21</f>
        <v>2007</v>
      </c>
      <c r="AJ21" s="24">
        <f>AJ$20*$AQ21</f>
        <v>63601.2</v>
      </c>
      <c r="AK21" s="2"/>
      <c r="AL21" s="58"/>
      <c r="AM21" s="58"/>
      <c r="AN21" s="58"/>
      <c r="AO21" s="58"/>
      <c r="AP21" s="24">
        <f>AP$20*$AQ21</f>
        <v>42400.800000000003</v>
      </c>
      <c r="AQ21" s="2">
        <f t="shared" ref="AQ21:AQ31" si="15">I21</f>
        <v>106002</v>
      </c>
      <c r="AR21" s="2">
        <f t="shared" ref="AR21:AR31" si="16">(SUM(AJ21:AP21))-AQ21</f>
        <v>0</v>
      </c>
    </row>
    <row r="22" spans="1:44" x14ac:dyDescent="0.25">
      <c r="A22">
        <f t="shared" si="4"/>
        <v>2008</v>
      </c>
      <c r="B22" s="2">
        <f t="shared" ref="B22:B31" si="17">AJ21*(1+(B5/100))</f>
        <v>40056.035759999992</v>
      </c>
      <c r="C22" s="2"/>
      <c r="D22" s="2"/>
      <c r="E22" s="2"/>
      <c r="F22" s="2"/>
      <c r="G22" s="2"/>
      <c r="H22" s="2">
        <f t="shared" ref="H22:H31" si="18">AP21*(1+(H5/100))</f>
        <v>44542.040400000005</v>
      </c>
      <c r="I22" s="2">
        <f t="shared" si="5"/>
        <v>84598.076159999997</v>
      </c>
      <c r="J22" s="2">
        <f t="shared" si="6"/>
        <v>-21403.923840000003</v>
      </c>
      <c r="K22" s="6">
        <f t="shared" si="7"/>
        <v>-0.20192000000000002</v>
      </c>
      <c r="L22" s="7">
        <f t="shared" si="8"/>
        <v>0.79808000000000001</v>
      </c>
      <c r="O22">
        <f t="shared" si="9"/>
        <v>2008</v>
      </c>
      <c r="P22" s="6">
        <f t="shared" si="10"/>
        <v>0.47348636728147547</v>
      </c>
      <c r="Q22" s="6"/>
      <c r="R22" s="6">
        <f t="shared" si="11"/>
        <v>0</v>
      </c>
      <c r="S22" s="6">
        <f t="shared" si="11"/>
        <v>0</v>
      </c>
      <c r="T22" s="6"/>
      <c r="U22" s="6">
        <f t="shared" si="10"/>
        <v>0</v>
      </c>
      <c r="V22" s="6">
        <f t="shared" si="10"/>
        <v>0.52651363271852458</v>
      </c>
      <c r="W22" s="20">
        <f t="shared" ref="W22:W25" si="19">SUM(P22:V22)</f>
        <v>1</v>
      </c>
      <c r="Y22">
        <f t="shared" si="12"/>
        <v>2008</v>
      </c>
      <c r="Z22" s="1" t="b">
        <f t="shared" ref="Z22:Z31" si="20">AND((B22/$I22)&gt;0.55,(B22/$I22)&lt;0.65)</f>
        <v>0</v>
      </c>
      <c r="AB22" s="1"/>
      <c r="AC22" s="1"/>
      <c r="AE22" s="1"/>
      <c r="AF22" s="1" t="b">
        <f t="shared" ref="AF22:AF31" si="21">AND((H22/$I22)&gt;0.35,(H22/$I22)&lt;0.45)</f>
        <v>0</v>
      </c>
      <c r="AG22" s="1" t="b">
        <f t="shared" si="13"/>
        <v>1</v>
      </c>
      <c r="AI22">
        <f t="shared" si="14"/>
        <v>2008</v>
      </c>
      <c r="AJ22" s="24">
        <f t="shared" ref="AJ22:AJ31" si="22">AJ$20*$AQ22</f>
        <v>50758.845695999997</v>
      </c>
      <c r="AK22" s="2"/>
      <c r="AL22" s="58"/>
      <c r="AM22" s="58"/>
      <c r="AN22" s="58"/>
      <c r="AO22" s="58"/>
      <c r="AP22" s="24">
        <f t="shared" ref="AP22:AP31" si="23">AP$20*$AQ22</f>
        <v>33839.230464</v>
      </c>
      <c r="AQ22" s="2">
        <f t="shared" si="15"/>
        <v>84598.076159999997</v>
      </c>
      <c r="AR22" s="2">
        <f t="shared" si="16"/>
        <v>0</v>
      </c>
    </row>
    <row r="23" spans="1:44" x14ac:dyDescent="0.25">
      <c r="A23">
        <f t="shared" si="4"/>
        <v>2009</v>
      </c>
      <c r="B23" s="2">
        <f t="shared" si="17"/>
        <v>64204.86392087039</v>
      </c>
      <c r="C23" s="2"/>
      <c r="D23" s="2"/>
      <c r="E23" s="2"/>
      <c r="F23" s="2"/>
      <c r="G23" s="2"/>
      <c r="H23" s="2">
        <f t="shared" si="18"/>
        <v>35845.896830515194</v>
      </c>
      <c r="I23" s="2">
        <f t="shared" si="5"/>
        <v>100050.76075138559</v>
      </c>
      <c r="J23" s="2">
        <f t="shared" si="6"/>
        <v>15452.684591385594</v>
      </c>
      <c r="K23" s="6">
        <f t="shared" si="7"/>
        <v>0.18265999999999993</v>
      </c>
      <c r="L23" s="7">
        <f t="shared" si="8"/>
        <v>1.1826599999999998</v>
      </c>
      <c r="O23">
        <f t="shared" si="9"/>
        <v>2009</v>
      </c>
      <c r="P23" s="6">
        <f t="shared" si="10"/>
        <v>0.64172289584495967</v>
      </c>
      <c r="Q23" s="6"/>
      <c r="R23" s="6">
        <f t="shared" si="11"/>
        <v>0</v>
      </c>
      <c r="S23" s="6">
        <f t="shared" si="11"/>
        <v>0</v>
      </c>
      <c r="T23" s="6"/>
      <c r="U23" s="6">
        <f t="shared" si="10"/>
        <v>0</v>
      </c>
      <c r="V23" s="57">
        <f t="shared" si="10"/>
        <v>0.35827710415504033</v>
      </c>
      <c r="W23" s="20">
        <f t="shared" si="19"/>
        <v>1</v>
      </c>
      <c r="Y23">
        <f t="shared" si="12"/>
        <v>2009</v>
      </c>
      <c r="Z23" s="1" t="b">
        <f t="shared" si="20"/>
        <v>1</v>
      </c>
      <c r="AB23" s="1"/>
      <c r="AC23" s="1"/>
      <c r="AE23" s="1"/>
      <c r="AF23" s="1" t="b">
        <f t="shared" si="21"/>
        <v>1</v>
      </c>
      <c r="AG23" s="1" t="b">
        <f t="shared" si="13"/>
        <v>1</v>
      </c>
      <c r="AI23">
        <f t="shared" si="14"/>
        <v>2009</v>
      </c>
      <c r="AJ23" s="24">
        <f t="shared" si="22"/>
        <v>60030.456450831349</v>
      </c>
      <c r="AK23" s="2"/>
      <c r="AL23" s="58"/>
      <c r="AM23" s="58"/>
      <c r="AN23" s="58"/>
      <c r="AO23" s="58"/>
      <c r="AP23" s="24">
        <f t="shared" si="23"/>
        <v>40020.304300554242</v>
      </c>
      <c r="AQ23" s="2">
        <f t="shared" si="15"/>
        <v>100050.76075138559</v>
      </c>
      <c r="AR23" s="2">
        <f t="shared" si="16"/>
        <v>0</v>
      </c>
    </row>
    <row r="24" spans="1:44" x14ac:dyDescent="0.25">
      <c r="A24">
        <f t="shared" si="4"/>
        <v>2010</v>
      </c>
      <c r="B24" s="2">
        <f t="shared" si="17"/>
        <v>68980.997507650303</v>
      </c>
      <c r="C24" s="2"/>
      <c r="D24" s="2"/>
      <c r="E24" s="2"/>
      <c r="F24" s="2"/>
      <c r="G24" s="2"/>
      <c r="H24" s="2">
        <f t="shared" si="18"/>
        <v>42589.607836649826</v>
      </c>
      <c r="I24" s="2">
        <f t="shared" ref="I24:I28" si="24">SUM(B24:H24)</f>
        <v>111570.60534430013</v>
      </c>
      <c r="J24" s="2">
        <f t="shared" si="6"/>
        <v>11519.844592914538</v>
      </c>
      <c r="K24" s="6">
        <f t="shared" si="7"/>
        <v>0.11514000000000001</v>
      </c>
      <c r="L24" s="7">
        <f t="shared" si="8"/>
        <v>1.11514</v>
      </c>
      <c r="O24">
        <f t="shared" si="9"/>
        <v>2010</v>
      </c>
      <c r="P24" s="6">
        <f t="shared" si="10"/>
        <v>0.61827214520149931</v>
      </c>
      <c r="Q24" s="6"/>
      <c r="R24" s="6">
        <f t="shared" si="11"/>
        <v>0</v>
      </c>
      <c r="S24" s="6">
        <f t="shared" si="11"/>
        <v>0</v>
      </c>
      <c r="T24" s="6"/>
      <c r="U24" s="6">
        <f t="shared" si="10"/>
        <v>0</v>
      </c>
      <c r="V24" s="6">
        <f t="shared" si="10"/>
        <v>0.38172785479850069</v>
      </c>
      <c r="W24" s="20">
        <f t="shared" si="19"/>
        <v>1</v>
      </c>
      <c r="Y24">
        <f t="shared" si="12"/>
        <v>2010</v>
      </c>
      <c r="Z24" s="1" t="b">
        <f t="shared" si="20"/>
        <v>1</v>
      </c>
      <c r="AB24" s="1"/>
      <c r="AC24" s="1"/>
      <c r="AE24" s="1"/>
      <c r="AF24" s="1" t="b">
        <f t="shared" si="21"/>
        <v>1</v>
      </c>
      <c r="AG24" s="1" t="b">
        <f t="shared" si="13"/>
        <v>1</v>
      </c>
      <c r="AI24">
        <f t="shared" si="14"/>
        <v>2010</v>
      </c>
      <c r="AJ24" s="24">
        <f t="shared" si="22"/>
        <v>66942.363206580078</v>
      </c>
      <c r="AK24" s="2"/>
      <c r="AL24" s="58"/>
      <c r="AM24" s="58"/>
      <c r="AN24" s="58"/>
      <c r="AO24" s="58"/>
      <c r="AP24" s="24">
        <f t="shared" si="23"/>
        <v>44628.242137720052</v>
      </c>
      <c r="AQ24" s="2">
        <f t="shared" si="15"/>
        <v>111570.60534430013</v>
      </c>
      <c r="AR24" s="2">
        <f t="shared" si="16"/>
        <v>0</v>
      </c>
    </row>
    <row r="25" spans="1:44" x14ac:dyDescent="0.25">
      <c r="A25">
        <f t="shared" si="4"/>
        <v>2011</v>
      </c>
      <c r="B25" s="2">
        <f t="shared" si="17"/>
        <v>68261.127761749711</v>
      </c>
      <c r="C25" s="2"/>
      <c r="D25" s="2"/>
      <c r="E25" s="2"/>
      <c r="F25" s="2"/>
      <c r="G25" s="2"/>
      <c r="H25" s="2">
        <f t="shared" si="18"/>
        <v>48002.137243331694</v>
      </c>
      <c r="I25" s="2">
        <f t="shared" si="24"/>
        <v>116263.2650050814</v>
      </c>
      <c r="J25" s="2">
        <f t="shared" si="6"/>
        <v>4692.659660781268</v>
      </c>
      <c r="K25" s="6">
        <f t="shared" si="7"/>
        <v>4.2060000000000042E-2</v>
      </c>
      <c r="L25" s="7">
        <f t="shared" si="8"/>
        <v>1.04206</v>
      </c>
      <c r="O25">
        <f t="shared" si="9"/>
        <v>2011</v>
      </c>
      <c r="P25" s="57">
        <f t="shared" si="10"/>
        <v>0.58712550141066733</v>
      </c>
      <c r="Q25" s="6"/>
      <c r="R25" s="6">
        <f t="shared" si="11"/>
        <v>0</v>
      </c>
      <c r="S25" s="6">
        <f t="shared" si="11"/>
        <v>0</v>
      </c>
      <c r="T25" s="7"/>
      <c r="U25" s="6">
        <f t="shared" si="10"/>
        <v>0</v>
      </c>
      <c r="V25" s="6">
        <f t="shared" si="10"/>
        <v>0.41287449858933273</v>
      </c>
      <c r="W25" s="20">
        <f t="shared" si="19"/>
        <v>1</v>
      </c>
      <c r="Y25">
        <f t="shared" si="12"/>
        <v>2011</v>
      </c>
      <c r="Z25" s="1" t="b">
        <f t="shared" si="20"/>
        <v>1</v>
      </c>
      <c r="AB25" s="1"/>
      <c r="AC25" s="1"/>
      <c r="AE25" s="1"/>
      <c r="AF25" s="1" t="b">
        <f t="shared" si="21"/>
        <v>1</v>
      </c>
      <c r="AG25" s="1" t="b">
        <f t="shared" si="13"/>
        <v>1</v>
      </c>
      <c r="AI25">
        <f t="shared" si="14"/>
        <v>2011</v>
      </c>
      <c r="AJ25" s="24">
        <f t="shared" si="22"/>
        <v>69757.959003048833</v>
      </c>
      <c r="AK25" s="58"/>
      <c r="AL25" s="58"/>
      <c r="AM25" s="58"/>
      <c r="AN25" s="58"/>
      <c r="AO25" s="58"/>
      <c r="AP25" s="24">
        <f t="shared" si="23"/>
        <v>46505.306002032565</v>
      </c>
      <c r="AQ25" s="2">
        <f t="shared" si="15"/>
        <v>116263.2650050814</v>
      </c>
      <c r="AR25" s="2">
        <f t="shared" si="16"/>
        <v>0</v>
      </c>
    </row>
    <row r="26" spans="1:44" x14ac:dyDescent="0.25">
      <c r="A26">
        <f t="shared" si="4"/>
        <v>2012</v>
      </c>
      <c r="B26" s="2">
        <f t="shared" si="17"/>
        <v>80793.668117331152</v>
      </c>
      <c r="C26" s="2"/>
      <c r="D26" s="2"/>
      <c r="E26" s="2"/>
      <c r="F26" s="2"/>
      <c r="G26" s="2"/>
      <c r="H26" s="2">
        <f t="shared" si="18"/>
        <v>48388.770895114882</v>
      </c>
      <c r="I26" s="2">
        <f t="shared" si="24"/>
        <v>129182.43901244603</v>
      </c>
      <c r="J26" s="2">
        <f t="shared" si="6"/>
        <v>12919.174007364636</v>
      </c>
      <c r="K26" s="6">
        <f t="shared" si="7"/>
        <v>0.11111999999999993</v>
      </c>
      <c r="L26" s="7">
        <f t="shared" si="8"/>
        <v>1.1111199999999999</v>
      </c>
      <c r="O26">
        <f t="shared" si="9"/>
        <v>2012</v>
      </c>
      <c r="P26" s="6">
        <f t="shared" si="10"/>
        <v>0.62542299661602696</v>
      </c>
      <c r="Q26" s="6"/>
      <c r="R26" s="6">
        <f t="shared" si="11"/>
        <v>0</v>
      </c>
      <c r="S26" s="6">
        <f t="shared" si="11"/>
        <v>0</v>
      </c>
      <c r="T26" s="6"/>
      <c r="U26" s="6">
        <f t="shared" si="10"/>
        <v>0</v>
      </c>
      <c r="V26" s="6">
        <f t="shared" si="10"/>
        <v>0.37457700338397298</v>
      </c>
      <c r="W26" s="20">
        <f t="shared" ref="W26:W31" si="25">SUM(P26:V26)</f>
        <v>1</v>
      </c>
      <c r="Y26">
        <f t="shared" si="12"/>
        <v>2012</v>
      </c>
      <c r="Z26" s="1" t="b">
        <f t="shared" si="20"/>
        <v>1</v>
      </c>
      <c r="AB26" s="1"/>
      <c r="AC26" s="1"/>
      <c r="AE26" s="1"/>
      <c r="AF26" s="1" t="b">
        <f t="shared" si="21"/>
        <v>1</v>
      </c>
      <c r="AG26" s="1" t="b">
        <f t="shared" si="13"/>
        <v>1</v>
      </c>
      <c r="AI26">
        <f t="shared" si="14"/>
        <v>2012</v>
      </c>
      <c r="AJ26" s="24">
        <f t="shared" si="22"/>
        <v>77509.463407467614</v>
      </c>
      <c r="AK26" s="58"/>
      <c r="AL26" s="58"/>
      <c r="AM26" s="58"/>
      <c r="AN26" s="58"/>
      <c r="AO26" s="58"/>
      <c r="AP26" s="24">
        <f t="shared" si="23"/>
        <v>51672.975604978419</v>
      </c>
      <c r="AQ26" s="2">
        <f t="shared" si="15"/>
        <v>129182.43901244603</v>
      </c>
      <c r="AR26" s="2">
        <f t="shared" si="16"/>
        <v>0</v>
      </c>
    </row>
    <row r="27" spans="1:44" x14ac:dyDescent="0.25">
      <c r="A27">
        <f t="shared" si="4"/>
        <v>2013</v>
      </c>
      <c r="B27" s="2">
        <f t="shared" si="17"/>
        <v>102452.0087319907</v>
      </c>
      <c r="C27" s="2"/>
      <c r="D27" s="2"/>
      <c r="E27" s="2"/>
      <c r="F27" s="2"/>
      <c r="G27" s="2"/>
      <c r="H27" s="2">
        <f t="shared" si="18"/>
        <v>50505.166356305912</v>
      </c>
      <c r="I27" s="2">
        <f t="shared" si="24"/>
        <v>152957.17508829662</v>
      </c>
      <c r="J27" s="2">
        <f t="shared" si="6"/>
        <v>23774.736075850582</v>
      </c>
      <c r="K27" s="6">
        <f t="shared" si="7"/>
        <v>0.18404000000000012</v>
      </c>
      <c r="L27" s="7">
        <f t="shared" si="8"/>
        <v>1.1840400000000002</v>
      </c>
      <c r="O27">
        <f t="shared" si="9"/>
        <v>2013</v>
      </c>
      <c r="P27" s="6">
        <f t="shared" si="10"/>
        <v>0.66980845241714804</v>
      </c>
      <c r="Q27" s="6"/>
      <c r="R27" s="6">
        <f t="shared" si="11"/>
        <v>0</v>
      </c>
      <c r="S27" s="6">
        <f t="shared" si="11"/>
        <v>0</v>
      </c>
      <c r="T27" s="6"/>
      <c r="U27" s="6">
        <f t="shared" si="10"/>
        <v>0</v>
      </c>
      <c r="V27" s="6">
        <f t="shared" si="10"/>
        <v>0.33019154758285196</v>
      </c>
      <c r="W27" s="20">
        <f t="shared" si="25"/>
        <v>1</v>
      </c>
      <c r="Y27">
        <f t="shared" si="12"/>
        <v>2013</v>
      </c>
      <c r="Z27" s="1" t="b">
        <f t="shared" si="20"/>
        <v>0</v>
      </c>
      <c r="AB27" s="1"/>
      <c r="AC27" s="1"/>
      <c r="AE27" s="1"/>
      <c r="AF27" s="1" t="b">
        <f t="shared" si="21"/>
        <v>0</v>
      </c>
      <c r="AG27" s="1" t="b">
        <f t="shared" si="13"/>
        <v>1</v>
      </c>
      <c r="AI27">
        <f t="shared" si="14"/>
        <v>2013</v>
      </c>
      <c r="AJ27" s="24">
        <f t="shared" si="22"/>
        <v>91774.305052977972</v>
      </c>
      <c r="AK27" s="2"/>
      <c r="AL27" s="58"/>
      <c r="AM27" s="58"/>
      <c r="AN27" s="58"/>
      <c r="AO27" s="58"/>
      <c r="AP27" s="24">
        <f t="shared" si="23"/>
        <v>61182.87003531865</v>
      </c>
      <c r="AQ27" s="2">
        <f t="shared" si="15"/>
        <v>152957.17508829662</v>
      </c>
      <c r="AR27" s="2">
        <f t="shared" si="16"/>
        <v>0</v>
      </c>
    </row>
    <row r="28" spans="1:44" x14ac:dyDescent="0.25">
      <c r="A28">
        <f t="shared" si="4"/>
        <v>2014</v>
      </c>
      <c r="B28" s="2">
        <f t="shared" si="17"/>
        <v>104173.0136656353</v>
      </c>
      <c r="C28" s="2"/>
      <c r="D28" s="2"/>
      <c r="E28" s="2"/>
      <c r="F28" s="2"/>
      <c r="G28" s="2"/>
      <c r="H28" s="2">
        <f t="shared" si="18"/>
        <v>64707.003349353014</v>
      </c>
      <c r="I28" s="2">
        <f t="shared" si="24"/>
        <v>168880.01701498832</v>
      </c>
      <c r="J28" s="2">
        <f t="shared" si="6"/>
        <v>15922.841926691704</v>
      </c>
      <c r="K28" s="6">
        <f t="shared" si="7"/>
        <v>0.10410000000000018</v>
      </c>
      <c r="L28" s="7">
        <f t="shared" si="8"/>
        <v>1.1041000000000001</v>
      </c>
      <c r="O28">
        <f t="shared" si="9"/>
        <v>2014</v>
      </c>
      <c r="P28" s="6">
        <f t="shared" si="10"/>
        <v>0.61684630015397146</v>
      </c>
      <c r="Q28" s="6"/>
      <c r="R28" s="6">
        <f t="shared" si="11"/>
        <v>0</v>
      </c>
      <c r="S28" s="6">
        <f t="shared" si="11"/>
        <v>0</v>
      </c>
      <c r="T28" s="6"/>
      <c r="U28" s="6">
        <f t="shared" si="10"/>
        <v>0</v>
      </c>
      <c r="V28" s="6">
        <f t="shared" si="10"/>
        <v>0.38315369984602848</v>
      </c>
      <c r="W28" s="20">
        <f t="shared" si="25"/>
        <v>1</v>
      </c>
      <c r="Y28">
        <f t="shared" si="12"/>
        <v>2014</v>
      </c>
      <c r="Z28" s="1" t="b">
        <f t="shared" si="20"/>
        <v>1</v>
      </c>
      <c r="AB28" s="1"/>
      <c r="AC28" s="1"/>
      <c r="AE28" s="1"/>
      <c r="AF28" s="1" t="b">
        <f t="shared" si="21"/>
        <v>1</v>
      </c>
      <c r="AG28" s="1" t="b">
        <f t="shared" si="13"/>
        <v>1</v>
      </c>
      <c r="AI28">
        <f t="shared" si="14"/>
        <v>2014</v>
      </c>
      <c r="AJ28" s="24">
        <f t="shared" si="22"/>
        <v>101328.01020899299</v>
      </c>
      <c r="AK28" s="58"/>
      <c r="AL28" s="58"/>
      <c r="AM28" s="58"/>
      <c r="AN28" s="58"/>
      <c r="AO28" s="58"/>
      <c r="AP28" s="24">
        <f t="shared" si="23"/>
        <v>67552.006805995334</v>
      </c>
      <c r="AQ28" s="2">
        <f t="shared" si="15"/>
        <v>168880.01701498832</v>
      </c>
      <c r="AR28" s="2">
        <f t="shared" si="16"/>
        <v>0</v>
      </c>
    </row>
    <row r="29" spans="1:44" x14ac:dyDescent="0.25">
      <c r="A29">
        <f t="shared" si="4"/>
        <v>2015</v>
      </c>
      <c r="B29" s="2">
        <f t="shared" si="17"/>
        <v>102594.61033660539</v>
      </c>
      <c r="C29" s="2"/>
      <c r="D29" s="2"/>
      <c r="E29" s="2"/>
      <c r="F29" s="2"/>
      <c r="G29" s="2"/>
      <c r="H29" s="2">
        <f t="shared" si="18"/>
        <v>67754.662826413318</v>
      </c>
      <c r="I29" s="2">
        <f t="shared" ref="I29:I31" si="26">SUM(B29:H29)</f>
        <v>170349.27316301869</v>
      </c>
      <c r="J29" s="2">
        <f t="shared" si="6"/>
        <v>1469.2561480303702</v>
      </c>
      <c r="K29" s="6">
        <f t="shared" si="7"/>
        <v>8.6999999999998329E-3</v>
      </c>
      <c r="L29" s="7">
        <f t="shared" si="8"/>
        <v>1.0086999999999999</v>
      </c>
      <c r="O29">
        <f t="shared" si="9"/>
        <v>2015</v>
      </c>
      <c r="P29" s="6">
        <f t="shared" si="10"/>
        <v>0.60226033508476251</v>
      </c>
      <c r="Q29" s="6"/>
      <c r="R29" s="6">
        <f t="shared" si="11"/>
        <v>0</v>
      </c>
      <c r="S29" s="6">
        <f t="shared" si="11"/>
        <v>0</v>
      </c>
      <c r="T29" s="6"/>
      <c r="U29" s="6">
        <f t="shared" si="10"/>
        <v>0</v>
      </c>
      <c r="V29" s="6">
        <f t="shared" si="10"/>
        <v>0.39773966491523755</v>
      </c>
      <c r="W29" s="20">
        <f t="shared" si="25"/>
        <v>1</v>
      </c>
      <c r="Y29">
        <f t="shared" si="12"/>
        <v>2015</v>
      </c>
      <c r="Z29" s="1" t="b">
        <f t="shared" si="20"/>
        <v>1</v>
      </c>
      <c r="AB29" s="1"/>
      <c r="AC29" s="1"/>
      <c r="AE29" s="1"/>
      <c r="AF29" s="1" t="b">
        <f t="shared" si="21"/>
        <v>1</v>
      </c>
      <c r="AG29" s="1" t="b">
        <f t="shared" si="13"/>
        <v>1</v>
      </c>
      <c r="AI29">
        <f t="shared" si="14"/>
        <v>2015</v>
      </c>
      <c r="AJ29" s="24">
        <f t="shared" si="22"/>
        <v>102209.56389781121</v>
      </c>
      <c r="AK29" s="58"/>
      <c r="AL29" s="58"/>
      <c r="AM29" s="58"/>
      <c r="AN29" s="58"/>
      <c r="AO29" s="58"/>
      <c r="AP29" s="24">
        <f t="shared" si="23"/>
        <v>68139.709265207479</v>
      </c>
      <c r="AQ29" s="2">
        <f t="shared" si="15"/>
        <v>170349.27316301869</v>
      </c>
      <c r="AR29" s="2">
        <f t="shared" si="16"/>
        <v>0</v>
      </c>
    </row>
    <row r="30" spans="1:44" x14ac:dyDescent="0.25">
      <c r="A30">
        <f t="shared" si="4"/>
        <v>2016</v>
      </c>
      <c r="B30" s="2">
        <f t="shared" si="17"/>
        <v>114290.73435053251</v>
      </c>
      <c r="C30" s="2"/>
      <c r="D30" s="2"/>
      <c r="E30" s="2"/>
      <c r="F30" s="2"/>
      <c r="G30" s="2"/>
      <c r="H30" s="2">
        <f t="shared" si="18"/>
        <v>69843.201996837655</v>
      </c>
      <c r="I30" s="2">
        <f t="shared" si="26"/>
        <v>184133.93634737015</v>
      </c>
      <c r="J30" s="2">
        <f t="shared" si="6"/>
        <v>13784.663184351462</v>
      </c>
      <c r="K30" s="6">
        <f t="shared" si="7"/>
        <v>8.0919999999999936E-2</v>
      </c>
      <c r="L30" s="7">
        <f t="shared" si="8"/>
        <v>1.0809199999999999</v>
      </c>
      <c r="O30">
        <f t="shared" si="9"/>
        <v>2016</v>
      </c>
      <c r="P30" s="6">
        <f t="shared" si="10"/>
        <v>0.62069348332901608</v>
      </c>
      <c r="Q30" s="6"/>
      <c r="R30" s="6">
        <f t="shared" si="11"/>
        <v>0</v>
      </c>
      <c r="S30" s="6">
        <f t="shared" si="11"/>
        <v>0</v>
      </c>
      <c r="T30" s="6"/>
      <c r="U30" s="6">
        <f t="shared" si="10"/>
        <v>0</v>
      </c>
      <c r="V30" s="6">
        <f t="shared" si="10"/>
        <v>0.37930651667098397</v>
      </c>
      <c r="W30" s="20">
        <f t="shared" si="25"/>
        <v>1</v>
      </c>
      <c r="Y30">
        <f t="shared" si="12"/>
        <v>2016</v>
      </c>
      <c r="Z30" s="1" t="b">
        <f t="shared" si="20"/>
        <v>1</v>
      </c>
      <c r="AB30" s="1"/>
      <c r="AC30" s="1"/>
      <c r="AE30" s="1"/>
      <c r="AF30" s="1" t="b">
        <f t="shared" si="21"/>
        <v>1</v>
      </c>
      <c r="AG30" s="1" t="b">
        <f t="shared" si="13"/>
        <v>1</v>
      </c>
      <c r="AI30">
        <f t="shared" si="14"/>
        <v>2016</v>
      </c>
      <c r="AJ30" s="24">
        <f t="shared" si="22"/>
        <v>110480.36180842209</v>
      </c>
      <c r="AK30" s="58"/>
      <c r="AL30" s="58"/>
      <c r="AM30" s="58"/>
      <c r="AN30" s="58"/>
      <c r="AO30" s="58"/>
      <c r="AP30" s="24">
        <f t="shared" si="23"/>
        <v>73653.574538948058</v>
      </c>
      <c r="AQ30" s="2">
        <f t="shared" si="15"/>
        <v>184133.93634737015</v>
      </c>
      <c r="AR30" s="2">
        <f t="shared" si="16"/>
        <v>0</v>
      </c>
    </row>
    <row r="31" spans="1:44" x14ac:dyDescent="0.25">
      <c r="A31">
        <f t="shared" si="4"/>
        <v>2017</v>
      </c>
      <c r="B31" s="2">
        <f t="shared" si="17"/>
        <v>134421.45621230715</v>
      </c>
      <c r="C31" s="2"/>
      <c r="D31" s="2"/>
      <c r="E31" s="2"/>
      <c r="F31" s="2"/>
      <c r="G31" s="2"/>
      <c r="H31" s="2">
        <f t="shared" si="18"/>
        <v>76201.988217995662</v>
      </c>
      <c r="I31" s="2">
        <f t="shared" si="26"/>
        <v>210623.44443030283</v>
      </c>
      <c r="J31" s="2">
        <f t="shared" si="6"/>
        <v>26489.508082932676</v>
      </c>
      <c r="K31" s="6">
        <f t="shared" si="7"/>
        <v>0.14386000000000004</v>
      </c>
      <c r="L31" s="7">
        <f t="shared" si="8"/>
        <v>1.1438600000000001</v>
      </c>
      <c r="O31">
        <f t="shared" si="9"/>
        <v>2017</v>
      </c>
      <c r="P31" s="6">
        <f t="shared" si="10"/>
        <v>0.63820747294249291</v>
      </c>
      <c r="Q31" s="6"/>
      <c r="R31" s="6">
        <f t="shared" si="11"/>
        <v>0</v>
      </c>
      <c r="S31" s="6">
        <f t="shared" si="11"/>
        <v>0</v>
      </c>
      <c r="T31" s="6"/>
      <c r="U31" s="6">
        <f t="shared" si="10"/>
        <v>0</v>
      </c>
      <c r="V31" s="6">
        <f t="shared" si="10"/>
        <v>0.36179252705750703</v>
      </c>
      <c r="W31" s="20">
        <f t="shared" si="25"/>
        <v>1</v>
      </c>
      <c r="Y31">
        <f t="shared" si="12"/>
        <v>2017</v>
      </c>
      <c r="Z31" s="1" t="b">
        <f t="shared" si="20"/>
        <v>1</v>
      </c>
      <c r="AB31" s="1"/>
      <c r="AC31" s="1"/>
      <c r="AE31" s="1"/>
      <c r="AF31" s="1" t="b">
        <f t="shared" si="21"/>
        <v>1</v>
      </c>
      <c r="AG31" s="1" t="b">
        <f t="shared" si="13"/>
        <v>1</v>
      </c>
      <c r="AI31">
        <f t="shared" si="14"/>
        <v>2017</v>
      </c>
      <c r="AJ31" s="24">
        <f t="shared" si="22"/>
        <v>126374.06665818169</v>
      </c>
      <c r="AK31" s="58"/>
      <c r="AL31" s="58"/>
      <c r="AM31" s="58"/>
      <c r="AN31" s="58"/>
      <c r="AO31" s="58"/>
      <c r="AP31" s="24">
        <f t="shared" si="23"/>
        <v>84249.377772121137</v>
      </c>
      <c r="AQ31" s="2">
        <f t="shared" si="15"/>
        <v>210623.44443030283</v>
      </c>
      <c r="AR31" s="2">
        <f t="shared" si="16"/>
        <v>0</v>
      </c>
    </row>
    <row r="32" spans="1:44" x14ac:dyDescent="0.25">
      <c r="A32" s="9" t="s">
        <v>46</v>
      </c>
      <c r="B32" s="10">
        <f>AJ31</f>
        <v>126374.06665818169</v>
      </c>
      <c r="C32" s="10"/>
      <c r="D32" s="10"/>
      <c r="E32" s="10"/>
      <c r="F32" s="10"/>
      <c r="G32" s="10"/>
      <c r="H32" s="10">
        <f>AP31</f>
        <v>84249.377772121137</v>
      </c>
      <c r="I32" s="10">
        <f>SUM(B32:H32)</f>
        <v>210623.44443030283</v>
      </c>
      <c r="J32" s="10"/>
      <c r="K32" s="10"/>
    </row>
    <row r="33" spans="1:11" x14ac:dyDescent="0.25">
      <c r="A33" s="11" t="s">
        <v>47</v>
      </c>
      <c r="I33" s="6">
        <f>(I32-I20)/I20</f>
        <v>1.1062344443030283</v>
      </c>
      <c r="K33" s="6"/>
    </row>
    <row r="34" spans="1:11" x14ac:dyDescent="0.25">
      <c r="A34" s="1" t="s">
        <v>48</v>
      </c>
      <c r="I34" s="25">
        <f>STDEV(L21:L31)</f>
        <v>0.1069610648617694</v>
      </c>
      <c r="K34" s="26"/>
    </row>
    <row r="35" spans="1:11" x14ac:dyDescent="0.25">
      <c r="A35" s="1" t="s">
        <v>49</v>
      </c>
      <c r="I35" s="13">
        <f>((1+I33)^(1/I40))-1</f>
        <v>7.0063870827329122E-2</v>
      </c>
      <c r="K35" s="26"/>
    </row>
    <row r="36" spans="1:11" x14ac:dyDescent="0.25">
      <c r="A36" s="1" t="s">
        <v>50</v>
      </c>
      <c r="I36" s="27">
        <f>J22</f>
        <v>-21403.923840000003</v>
      </c>
    </row>
    <row r="37" spans="1:11" x14ac:dyDescent="0.25">
      <c r="A37" s="1" t="s">
        <v>51</v>
      </c>
      <c r="I37" s="28">
        <f>K22</f>
        <v>-0.20192000000000002</v>
      </c>
    </row>
    <row r="38" spans="1:11" x14ac:dyDescent="0.25">
      <c r="A38" s="3" t="s">
        <v>52</v>
      </c>
      <c r="I38" s="29">
        <f>I32-I31</f>
        <v>0</v>
      </c>
    </row>
    <row r="39" spans="1:11" x14ac:dyDescent="0.25">
      <c r="A39" s="3" t="s">
        <v>141</v>
      </c>
      <c r="I39" s="29">
        <f>((SUM(J21:J31))-(I32-I20))</f>
        <v>0</v>
      </c>
    </row>
    <row r="40" spans="1:11" x14ac:dyDescent="0.25">
      <c r="A40" s="3" t="s">
        <v>146</v>
      </c>
      <c r="I40" s="3">
        <f>COUNTA(I21:I31)</f>
        <v>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CBE84-0FFA-4086-A865-ECE7EAA0E478}">
  <dimension ref="A1:AR40"/>
  <sheetViews>
    <sheetView topLeftCell="E7" zoomScaleNormal="100" workbookViewId="0">
      <selection activeCell="H20" sqref="H20:H31"/>
    </sheetView>
  </sheetViews>
  <sheetFormatPr defaultColWidth="8.85546875" defaultRowHeight="15" x14ac:dyDescent="0.25"/>
  <cols>
    <col min="1" max="1" width="25.42578125" customWidth="1"/>
    <col min="2" max="2" width="10.28515625" customWidth="1"/>
    <col min="9" max="9" width="10.7109375" customWidth="1"/>
    <col min="10" max="10" width="10" bestFit="1" customWidth="1"/>
    <col min="36" max="37" width="10.85546875" bestFit="1" customWidth="1"/>
    <col min="40" max="40" width="10.85546875" bestFit="1" customWidth="1"/>
    <col min="42" max="42" width="10.85546875" bestFit="1" customWidth="1"/>
    <col min="43" max="43" width="11.42578125" customWidth="1"/>
  </cols>
  <sheetData>
    <row r="1" spans="1:8" x14ac:dyDescent="0.25">
      <c r="A1" s="18" t="s">
        <v>19</v>
      </c>
    </row>
    <row r="2" spans="1:8"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8"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8"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8"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8"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8"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8"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8"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8"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5">
      <c r="A15" s="1"/>
    </row>
    <row r="16" spans="1:8" x14ac:dyDescent="0.25">
      <c r="A16" s="1"/>
    </row>
    <row r="17" spans="1:44" x14ac:dyDescent="0.25">
      <c r="A17" s="18" t="s">
        <v>110</v>
      </c>
      <c r="O17" s="18" t="s">
        <v>116</v>
      </c>
      <c r="Y17" s="18" t="s">
        <v>117</v>
      </c>
      <c r="AI17" s="18" t="s">
        <v>118</v>
      </c>
    </row>
    <row r="18" spans="1:44" x14ac:dyDescent="0.25">
      <c r="B18" s="4" t="str">
        <f t="shared" ref="B18:H19" si="0">B2</f>
        <v>LC Stocks</v>
      </c>
      <c r="C18" s="4" t="str">
        <f t="shared" si="0"/>
        <v>Ext Mkt</v>
      </c>
      <c r="D18" s="4" t="str">
        <f t="shared" si="0"/>
        <v>Mcap Stk</v>
      </c>
      <c r="E18" s="4" t="str">
        <f t="shared" si="0"/>
        <v>Small Cap</v>
      </c>
      <c r="F18" s="4" t="str">
        <f t="shared" si="0"/>
        <v>Intl Val</v>
      </c>
      <c r="G18" s="4" t="str">
        <f t="shared" si="0"/>
        <v>Tot Int Stk</v>
      </c>
      <c r="H18" s="4" t="str">
        <f t="shared" si="0"/>
        <v>Bonds</v>
      </c>
      <c r="I18" s="5"/>
      <c r="J18" s="5" t="s">
        <v>44</v>
      </c>
      <c r="K18" s="5" t="s">
        <v>41</v>
      </c>
      <c r="L18" s="5" t="s">
        <v>42</v>
      </c>
      <c r="P18" s="4" t="str">
        <f>B18</f>
        <v>LC Stocks</v>
      </c>
      <c r="Q18" s="4" t="str">
        <f t="shared" ref="Q18:V19" si="1">C18</f>
        <v>Ext Mkt</v>
      </c>
      <c r="R18" s="4" t="str">
        <f t="shared" si="1"/>
        <v>Mcap Stk</v>
      </c>
      <c r="S18" s="4" t="str">
        <f t="shared" si="1"/>
        <v>Small Cap</v>
      </c>
      <c r="T18" s="4" t="str">
        <f t="shared" si="1"/>
        <v>Intl Val</v>
      </c>
      <c r="U18" s="4" t="str">
        <f t="shared" si="1"/>
        <v>Tot Int Stk</v>
      </c>
      <c r="V18" s="4" t="str">
        <f t="shared" si="1"/>
        <v>Bonds</v>
      </c>
      <c r="W18" s="5"/>
      <c r="Z18" s="4" t="str">
        <f>P18</f>
        <v>LC Stocks</v>
      </c>
      <c r="AA18" s="4" t="str">
        <f t="shared" ref="AA18:AG20" si="2">Q18</f>
        <v>Ext Mkt</v>
      </c>
      <c r="AB18" s="4" t="str">
        <f t="shared" si="2"/>
        <v>Mcap Stk</v>
      </c>
      <c r="AC18" s="4" t="str">
        <f t="shared" si="2"/>
        <v>Small Cap</v>
      </c>
      <c r="AD18" s="4" t="str">
        <f t="shared" si="2"/>
        <v>Intl Val</v>
      </c>
      <c r="AE18" s="4" t="str">
        <f t="shared" si="2"/>
        <v>Tot Int Stk</v>
      </c>
      <c r="AF18" s="4" t="str">
        <f t="shared" si="2"/>
        <v>Bonds</v>
      </c>
      <c r="AG18" s="5"/>
      <c r="AJ18" s="4" t="str">
        <f>Z18</f>
        <v>LC Stocks</v>
      </c>
      <c r="AK18" s="4" t="str">
        <f t="shared" ref="AK18:AQ20" si="3">AA18</f>
        <v>Ext Mkt</v>
      </c>
      <c r="AL18" s="4" t="str">
        <f t="shared" si="3"/>
        <v>Mcap Stk</v>
      </c>
      <c r="AM18" s="4" t="str">
        <f t="shared" si="3"/>
        <v>Small Cap</v>
      </c>
      <c r="AN18" s="4" t="str">
        <f t="shared" si="3"/>
        <v>Intl Val</v>
      </c>
      <c r="AO18" s="4" t="str">
        <f t="shared" si="3"/>
        <v>Tot Int Stk</v>
      </c>
      <c r="AP18" s="4" t="str">
        <f t="shared" si="3"/>
        <v>Bonds</v>
      </c>
      <c r="AQ18" s="4"/>
    </row>
    <row r="19" spans="1:44" x14ac:dyDescent="0.25">
      <c r="A19" t="s">
        <v>40</v>
      </c>
      <c r="B19" s="4" t="str">
        <f t="shared" si="0"/>
        <v>VFINX</v>
      </c>
      <c r="C19" s="4" t="str">
        <f t="shared" si="0"/>
        <v>VEXMX</v>
      </c>
      <c r="D19" s="4" t="str">
        <f t="shared" si="0"/>
        <v>VIMSX</v>
      </c>
      <c r="E19" s="4" t="str">
        <f t="shared" si="0"/>
        <v>NAESX</v>
      </c>
      <c r="F19" s="4" t="str">
        <f t="shared" si="0"/>
        <v>VTRIX</v>
      </c>
      <c r="G19" s="4" t="str">
        <f t="shared" si="0"/>
        <v>VGTSX</v>
      </c>
      <c r="H19" s="4" t="str">
        <f t="shared" si="0"/>
        <v>VBMFX</v>
      </c>
      <c r="I19" s="5" t="s">
        <v>38</v>
      </c>
      <c r="J19" s="5" t="s">
        <v>45</v>
      </c>
      <c r="K19" s="5" t="s">
        <v>43</v>
      </c>
      <c r="L19" s="5" t="s">
        <v>43</v>
      </c>
      <c r="O19" t="s">
        <v>40</v>
      </c>
      <c r="P19" s="4" t="str">
        <f>B19</f>
        <v>VFINX</v>
      </c>
      <c r="Q19" s="4" t="str">
        <f t="shared" si="1"/>
        <v>VEXMX</v>
      </c>
      <c r="R19" s="4" t="str">
        <f t="shared" si="1"/>
        <v>VIMSX</v>
      </c>
      <c r="S19" s="4" t="str">
        <f t="shared" si="1"/>
        <v>NAESX</v>
      </c>
      <c r="T19" s="4" t="str">
        <f t="shared" si="1"/>
        <v>VTRIX</v>
      </c>
      <c r="U19" s="4" t="str">
        <f t="shared" si="1"/>
        <v>VGTSX</v>
      </c>
      <c r="V19" s="4" t="str">
        <f t="shared" si="1"/>
        <v>VBMFX</v>
      </c>
      <c r="W19" s="5" t="s">
        <v>38</v>
      </c>
      <c r="Y19" t="str">
        <f>O19</f>
        <v>Fund</v>
      </c>
      <c r="Z19" s="4" t="str">
        <f>P19</f>
        <v>VFINX</v>
      </c>
      <c r="AA19" s="4" t="str">
        <f t="shared" si="2"/>
        <v>VEXMX</v>
      </c>
      <c r="AB19" s="4" t="str">
        <f t="shared" si="2"/>
        <v>VIMSX</v>
      </c>
      <c r="AC19" s="4" t="str">
        <f t="shared" si="2"/>
        <v>NAESX</v>
      </c>
      <c r="AD19" s="4" t="str">
        <f t="shared" si="2"/>
        <v>VTRIX</v>
      </c>
      <c r="AE19" s="4" t="str">
        <f t="shared" si="2"/>
        <v>VGTSX</v>
      </c>
      <c r="AF19" s="4" t="str">
        <f t="shared" si="2"/>
        <v>VBMFX</v>
      </c>
      <c r="AG19" s="4" t="str">
        <f t="shared" si="2"/>
        <v>Total</v>
      </c>
      <c r="AI19" t="s">
        <v>40</v>
      </c>
      <c r="AJ19" s="4" t="str">
        <f>Z19</f>
        <v>VFINX</v>
      </c>
      <c r="AK19" s="4" t="str">
        <f t="shared" si="3"/>
        <v>VEXMX</v>
      </c>
      <c r="AL19" s="4" t="str">
        <f t="shared" si="3"/>
        <v>VIMSX</v>
      </c>
      <c r="AM19" s="4" t="str">
        <f t="shared" si="3"/>
        <v>NAESX</v>
      </c>
      <c r="AN19" s="4" t="str">
        <f t="shared" si="3"/>
        <v>VTRIX</v>
      </c>
      <c r="AO19" s="4" t="str">
        <f t="shared" si="3"/>
        <v>VGTSX</v>
      </c>
      <c r="AP19" s="4" t="str">
        <f t="shared" si="3"/>
        <v>VBMFX</v>
      </c>
      <c r="AQ19" s="4" t="str">
        <f t="shared" si="3"/>
        <v>Total</v>
      </c>
    </row>
    <row r="20" spans="1:44" x14ac:dyDescent="0.25">
      <c r="A20" t="s">
        <v>39</v>
      </c>
      <c r="B20" s="2">
        <v>100000</v>
      </c>
      <c r="C20" s="2"/>
      <c r="D20" s="2"/>
      <c r="E20" s="2"/>
      <c r="F20" s="2"/>
      <c r="G20" s="2"/>
      <c r="H20" s="2"/>
      <c r="I20" s="2">
        <f>SUM(B20:H20)</f>
        <v>100000</v>
      </c>
      <c r="O20" s="19" t="s">
        <v>54</v>
      </c>
      <c r="P20" s="20">
        <f>B20/$I20</f>
        <v>1</v>
      </c>
      <c r="Q20" s="20"/>
      <c r="R20" s="53">
        <v>0</v>
      </c>
      <c r="S20" s="53">
        <v>0</v>
      </c>
      <c r="T20" s="20"/>
      <c r="U20" s="53">
        <v>0</v>
      </c>
      <c r="V20" s="20">
        <f>H20/$I20</f>
        <v>0</v>
      </c>
      <c r="W20" s="20">
        <f>I20/$I20</f>
        <v>1</v>
      </c>
      <c r="Y20" s="19" t="str">
        <f>O20</f>
        <v>Target Allocation</v>
      </c>
      <c r="Z20" s="22">
        <f>P20</f>
        <v>1</v>
      </c>
      <c r="AA20" s="22">
        <f t="shared" si="2"/>
        <v>0</v>
      </c>
      <c r="AB20" s="23">
        <f t="shared" si="2"/>
        <v>0</v>
      </c>
      <c r="AC20" s="23">
        <f t="shared" si="2"/>
        <v>0</v>
      </c>
      <c r="AD20" s="22">
        <f t="shared" si="2"/>
        <v>0</v>
      </c>
      <c r="AE20" s="23">
        <f t="shared" si="2"/>
        <v>0</v>
      </c>
      <c r="AF20" s="22">
        <f t="shared" si="2"/>
        <v>0</v>
      </c>
      <c r="AG20" s="22">
        <f t="shared" si="2"/>
        <v>1</v>
      </c>
      <c r="AI20" s="19" t="str">
        <f>Y20</f>
        <v>Target Allocation</v>
      </c>
      <c r="AJ20" s="22">
        <f>Z20</f>
        <v>1</v>
      </c>
      <c r="AK20" s="22"/>
      <c r="AL20" s="23">
        <f t="shared" si="3"/>
        <v>0</v>
      </c>
      <c r="AM20" s="23">
        <f t="shared" si="3"/>
        <v>0</v>
      </c>
      <c r="AN20" s="22"/>
      <c r="AO20" s="23">
        <f t="shared" si="3"/>
        <v>0</v>
      </c>
      <c r="AP20" s="22">
        <f t="shared" si="3"/>
        <v>0</v>
      </c>
      <c r="AQ20" s="22">
        <f t="shared" si="3"/>
        <v>1</v>
      </c>
      <c r="AR20" s="2"/>
    </row>
    <row r="21" spans="1:44" x14ac:dyDescent="0.25">
      <c r="A21">
        <f t="shared" ref="A21:A31" si="4">A4</f>
        <v>2007</v>
      </c>
      <c r="B21" s="2">
        <f>B$20*(1+(B4/100))</f>
        <v>105390</v>
      </c>
      <c r="C21" s="2"/>
      <c r="D21" s="2"/>
      <c r="E21" s="2"/>
      <c r="F21" s="2"/>
      <c r="G21" s="2"/>
      <c r="H21" s="2"/>
      <c r="I21" s="2">
        <f t="shared" ref="I21:I23" si="5">SUM(B21:H21)</f>
        <v>105390</v>
      </c>
      <c r="J21" s="2">
        <f t="shared" ref="J21:J31" si="6">I21-I20</f>
        <v>5390</v>
      </c>
      <c r="K21" s="6">
        <f t="shared" ref="K21:K31" si="7">(J21/I20)</f>
        <v>5.3900000000000003E-2</v>
      </c>
      <c r="L21" s="7">
        <f t="shared" ref="L21:L31" si="8">K21+1</f>
        <v>1.0539000000000001</v>
      </c>
      <c r="O21">
        <f t="shared" ref="O21:O31" si="9">A21</f>
        <v>2007</v>
      </c>
      <c r="P21" s="6">
        <f t="shared" ref="P21:V31" si="10">B21/$I21</f>
        <v>1</v>
      </c>
      <c r="Q21" s="6"/>
      <c r="R21" s="6">
        <f t="shared" ref="R21:S31" si="11">D21/$I21</f>
        <v>0</v>
      </c>
      <c r="S21" s="6">
        <f t="shared" si="11"/>
        <v>0</v>
      </c>
      <c r="T21" s="6"/>
      <c r="U21" s="6">
        <f t="shared" si="10"/>
        <v>0</v>
      </c>
      <c r="V21" s="6">
        <f t="shared" si="10"/>
        <v>0</v>
      </c>
      <c r="W21" s="20">
        <f>SUM(P21:V21)</f>
        <v>1</v>
      </c>
      <c r="Y21">
        <f t="shared" ref="Y21:Y31" si="12">O21</f>
        <v>2007</v>
      </c>
      <c r="Z21" s="1" t="b">
        <f>AND((B21/$I21)&gt;0.99,(B21/$I21)&lt;1.1)</f>
        <v>1</v>
      </c>
      <c r="AB21" s="1"/>
      <c r="AC21" s="1"/>
      <c r="AE21" s="1"/>
      <c r="AF21" s="1"/>
      <c r="AG21" s="1" t="b">
        <f t="shared" ref="AG21:AG31" si="13">AND((I21/$I21)&gt;0.999,(I21/$I21)&lt;1.01)</f>
        <v>1</v>
      </c>
      <c r="AI21">
        <f t="shared" ref="AI21:AI31" si="14">A21</f>
        <v>2007</v>
      </c>
      <c r="AJ21" s="24">
        <f>AJ$20*$AQ21</f>
        <v>105390</v>
      </c>
      <c r="AK21" s="2"/>
      <c r="AL21" s="58"/>
      <c r="AM21" s="58"/>
      <c r="AN21" s="58"/>
      <c r="AO21" s="58"/>
      <c r="AP21" s="58"/>
      <c r="AQ21" s="2">
        <f t="shared" ref="AQ21:AQ31" si="15">I21</f>
        <v>105390</v>
      </c>
      <c r="AR21" s="2"/>
    </row>
    <row r="22" spans="1:44" x14ac:dyDescent="0.25">
      <c r="A22">
        <f t="shared" si="4"/>
        <v>2008</v>
      </c>
      <c r="B22" s="2">
        <f t="shared" ref="B22:B31" si="16">AJ21*(1+(B5/100))</f>
        <v>66374.621999999988</v>
      </c>
      <c r="C22" s="2"/>
      <c r="D22" s="2"/>
      <c r="E22" s="2"/>
      <c r="F22" s="2"/>
      <c r="G22" s="2"/>
      <c r="H22" s="2"/>
      <c r="I22" s="2">
        <f t="shared" si="5"/>
        <v>66374.621999999988</v>
      </c>
      <c r="J22" s="2">
        <f t="shared" si="6"/>
        <v>-39015.378000000012</v>
      </c>
      <c r="K22" s="6">
        <f t="shared" si="7"/>
        <v>-0.37020000000000008</v>
      </c>
      <c r="L22" s="7">
        <f t="shared" si="8"/>
        <v>0.62979999999999992</v>
      </c>
      <c r="O22">
        <f t="shared" si="9"/>
        <v>2008</v>
      </c>
      <c r="P22" s="6">
        <f t="shared" si="10"/>
        <v>1</v>
      </c>
      <c r="Q22" s="6"/>
      <c r="R22" s="6">
        <f t="shared" si="11"/>
        <v>0</v>
      </c>
      <c r="S22" s="6">
        <f t="shared" si="11"/>
        <v>0</v>
      </c>
      <c r="T22" s="6"/>
      <c r="U22" s="6">
        <f t="shared" si="10"/>
        <v>0</v>
      </c>
      <c r="V22" s="6">
        <f t="shared" si="10"/>
        <v>0</v>
      </c>
      <c r="W22" s="20">
        <f t="shared" ref="W22:W25" si="17">SUM(P22:V22)</f>
        <v>1</v>
      </c>
      <c r="Y22">
        <f t="shared" si="12"/>
        <v>2008</v>
      </c>
      <c r="Z22" s="1" t="b">
        <f t="shared" ref="Z22:Z31" si="18">AND((B22/$I22)&gt;0.99,(B22/$I22)&lt;1.1)</f>
        <v>1</v>
      </c>
      <c r="AB22" s="1"/>
      <c r="AC22" s="1"/>
      <c r="AE22" s="1"/>
      <c r="AF22" s="1"/>
      <c r="AG22" s="1" t="b">
        <f t="shared" si="13"/>
        <v>1</v>
      </c>
      <c r="AI22">
        <f t="shared" si="14"/>
        <v>2008</v>
      </c>
      <c r="AJ22" s="24">
        <f t="shared" ref="AJ22:AJ31" si="19">AJ$20*$AQ22</f>
        <v>66374.621999999988</v>
      </c>
      <c r="AK22" s="2"/>
      <c r="AL22" s="58"/>
      <c r="AM22" s="58"/>
      <c r="AN22" s="58"/>
      <c r="AO22" s="58"/>
      <c r="AP22" s="58"/>
      <c r="AQ22" s="2">
        <f t="shared" si="15"/>
        <v>66374.621999999988</v>
      </c>
      <c r="AR22" s="2"/>
    </row>
    <row r="23" spans="1:44" x14ac:dyDescent="0.25">
      <c r="A23">
        <f t="shared" si="4"/>
        <v>2009</v>
      </c>
      <c r="B23" s="2">
        <f t="shared" si="16"/>
        <v>83957.259367799983</v>
      </c>
      <c r="C23" s="2"/>
      <c r="D23" s="2"/>
      <c r="E23" s="2"/>
      <c r="F23" s="2"/>
      <c r="G23" s="2"/>
      <c r="H23" s="2"/>
      <c r="I23" s="2">
        <f t="shared" si="5"/>
        <v>83957.259367799983</v>
      </c>
      <c r="J23" s="2">
        <f t="shared" si="6"/>
        <v>17582.637367799995</v>
      </c>
      <c r="K23" s="6">
        <f t="shared" si="7"/>
        <v>0.26489999999999997</v>
      </c>
      <c r="L23" s="7">
        <f t="shared" si="8"/>
        <v>1.2648999999999999</v>
      </c>
      <c r="O23">
        <f t="shared" si="9"/>
        <v>2009</v>
      </c>
      <c r="P23" s="6">
        <f t="shared" si="10"/>
        <v>1</v>
      </c>
      <c r="Q23" s="6"/>
      <c r="R23" s="6">
        <f t="shared" si="11"/>
        <v>0</v>
      </c>
      <c r="S23" s="6">
        <f t="shared" si="11"/>
        <v>0</v>
      </c>
      <c r="T23" s="6"/>
      <c r="U23" s="6">
        <f t="shared" si="10"/>
        <v>0</v>
      </c>
      <c r="V23" s="57">
        <f t="shared" si="10"/>
        <v>0</v>
      </c>
      <c r="W23" s="20">
        <f t="shared" si="17"/>
        <v>1</v>
      </c>
      <c r="Y23">
        <f t="shared" si="12"/>
        <v>2009</v>
      </c>
      <c r="Z23" s="1" t="b">
        <f t="shared" si="18"/>
        <v>1</v>
      </c>
      <c r="AB23" s="1"/>
      <c r="AC23" s="1"/>
      <c r="AE23" s="1"/>
      <c r="AF23" s="1"/>
      <c r="AG23" s="1" t="b">
        <f t="shared" si="13"/>
        <v>1</v>
      </c>
      <c r="AI23">
        <f t="shared" si="14"/>
        <v>2009</v>
      </c>
      <c r="AJ23" s="24">
        <f t="shared" si="19"/>
        <v>83957.259367799983</v>
      </c>
      <c r="AK23" s="2"/>
      <c r="AL23" s="58"/>
      <c r="AM23" s="58"/>
      <c r="AN23" s="58"/>
      <c r="AO23" s="58"/>
      <c r="AP23" s="58"/>
      <c r="AQ23" s="2">
        <f t="shared" si="15"/>
        <v>83957.259367799983</v>
      </c>
      <c r="AR23" s="2"/>
    </row>
    <row r="24" spans="1:44" x14ac:dyDescent="0.25">
      <c r="A24">
        <f t="shared" si="4"/>
        <v>2010</v>
      </c>
      <c r="B24" s="2">
        <f t="shared" si="16"/>
        <v>96475.286739538962</v>
      </c>
      <c r="C24" s="2"/>
      <c r="D24" s="2"/>
      <c r="E24" s="2"/>
      <c r="F24" s="2"/>
      <c r="G24" s="2"/>
      <c r="H24" s="2"/>
      <c r="I24" s="2">
        <f t="shared" ref="I24:I28" si="20">SUM(B24:H24)</f>
        <v>96475.286739538962</v>
      </c>
      <c r="J24" s="2">
        <f t="shared" si="6"/>
        <v>12518.027371738979</v>
      </c>
      <c r="K24" s="6">
        <f t="shared" si="7"/>
        <v>0.14910000000000001</v>
      </c>
      <c r="L24" s="7">
        <f t="shared" si="8"/>
        <v>1.1491</v>
      </c>
      <c r="O24">
        <f t="shared" si="9"/>
        <v>2010</v>
      </c>
      <c r="P24" s="6">
        <f t="shared" si="10"/>
        <v>1</v>
      </c>
      <c r="Q24" s="6"/>
      <c r="R24" s="6">
        <f t="shared" si="11"/>
        <v>0</v>
      </c>
      <c r="S24" s="6">
        <f t="shared" si="11"/>
        <v>0</v>
      </c>
      <c r="T24" s="6"/>
      <c r="U24" s="6">
        <f t="shared" si="10"/>
        <v>0</v>
      </c>
      <c r="V24" s="6">
        <f t="shared" si="10"/>
        <v>0</v>
      </c>
      <c r="W24" s="20">
        <f t="shared" si="17"/>
        <v>1</v>
      </c>
      <c r="Y24">
        <f t="shared" si="12"/>
        <v>2010</v>
      </c>
      <c r="Z24" s="1" t="b">
        <f t="shared" si="18"/>
        <v>1</v>
      </c>
      <c r="AB24" s="1"/>
      <c r="AC24" s="1"/>
      <c r="AE24" s="1"/>
      <c r="AF24" s="1"/>
      <c r="AG24" s="1" t="b">
        <f t="shared" si="13"/>
        <v>1</v>
      </c>
      <c r="AI24">
        <f t="shared" si="14"/>
        <v>2010</v>
      </c>
      <c r="AJ24" s="24">
        <f t="shared" si="19"/>
        <v>96475.286739538962</v>
      </c>
      <c r="AK24" s="2"/>
      <c r="AL24" s="58"/>
      <c r="AM24" s="58"/>
      <c r="AN24" s="58"/>
      <c r="AO24" s="58"/>
      <c r="AP24" s="58"/>
      <c r="AQ24" s="2">
        <f t="shared" si="15"/>
        <v>96475.286739538962</v>
      </c>
      <c r="AR24" s="2"/>
    </row>
    <row r="25" spans="1:44" x14ac:dyDescent="0.25">
      <c r="A25">
        <f t="shared" si="4"/>
        <v>2011</v>
      </c>
      <c r="B25" s="2">
        <f t="shared" si="16"/>
        <v>98375.849888307886</v>
      </c>
      <c r="C25" s="2"/>
      <c r="D25" s="2"/>
      <c r="E25" s="2"/>
      <c r="F25" s="2"/>
      <c r="G25" s="2"/>
      <c r="H25" s="2"/>
      <c r="I25" s="2">
        <f t="shared" si="20"/>
        <v>98375.849888307886</v>
      </c>
      <c r="J25" s="2">
        <f t="shared" si="6"/>
        <v>1900.5631487689243</v>
      </c>
      <c r="K25" s="6">
        <f t="shared" si="7"/>
        <v>1.9700000000000068E-2</v>
      </c>
      <c r="L25" s="7">
        <f t="shared" si="8"/>
        <v>1.0197000000000001</v>
      </c>
      <c r="O25">
        <f t="shared" si="9"/>
        <v>2011</v>
      </c>
      <c r="P25" s="57">
        <f t="shared" si="10"/>
        <v>1</v>
      </c>
      <c r="Q25" s="6"/>
      <c r="R25" s="6">
        <f t="shared" si="11"/>
        <v>0</v>
      </c>
      <c r="S25" s="6">
        <f t="shared" si="11"/>
        <v>0</v>
      </c>
      <c r="T25" s="7"/>
      <c r="U25" s="6">
        <f t="shared" si="10"/>
        <v>0</v>
      </c>
      <c r="V25" s="6">
        <f t="shared" si="10"/>
        <v>0</v>
      </c>
      <c r="W25" s="20">
        <f t="shared" si="17"/>
        <v>1</v>
      </c>
      <c r="Y25">
        <f t="shared" si="12"/>
        <v>2011</v>
      </c>
      <c r="Z25" s="1" t="b">
        <f t="shared" si="18"/>
        <v>1</v>
      </c>
      <c r="AB25" s="1"/>
      <c r="AC25" s="1"/>
      <c r="AE25" s="1"/>
      <c r="AF25" s="1"/>
      <c r="AG25" s="1" t="b">
        <f t="shared" si="13"/>
        <v>1</v>
      </c>
      <c r="AI25">
        <f t="shared" si="14"/>
        <v>2011</v>
      </c>
      <c r="AJ25" s="24">
        <f t="shared" si="19"/>
        <v>98375.849888307886</v>
      </c>
      <c r="AK25" s="58"/>
      <c r="AL25" s="58"/>
      <c r="AM25" s="58"/>
      <c r="AN25" s="58"/>
      <c r="AO25" s="58"/>
      <c r="AP25" s="58"/>
      <c r="AQ25" s="2">
        <f t="shared" si="15"/>
        <v>98375.849888307886</v>
      </c>
      <c r="AR25" s="2"/>
    </row>
    <row r="26" spans="1:44" x14ac:dyDescent="0.25">
      <c r="A26">
        <f t="shared" si="4"/>
        <v>2012</v>
      </c>
      <c r="B26" s="2">
        <f t="shared" si="16"/>
        <v>113938.90934063819</v>
      </c>
      <c r="C26" s="2"/>
      <c r="D26" s="2"/>
      <c r="E26" s="2"/>
      <c r="F26" s="2"/>
      <c r="G26" s="2"/>
      <c r="H26" s="2"/>
      <c r="I26" s="2">
        <f t="shared" si="20"/>
        <v>113938.90934063819</v>
      </c>
      <c r="J26" s="2">
        <f t="shared" si="6"/>
        <v>15563.059452330301</v>
      </c>
      <c r="K26" s="6">
        <f t="shared" si="7"/>
        <v>0.15819999999999992</v>
      </c>
      <c r="L26" s="7">
        <f t="shared" si="8"/>
        <v>1.1581999999999999</v>
      </c>
      <c r="O26">
        <f t="shared" si="9"/>
        <v>2012</v>
      </c>
      <c r="P26" s="6">
        <f t="shared" si="10"/>
        <v>1</v>
      </c>
      <c r="Q26" s="6"/>
      <c r="R26" s="6">
        <f t="shared" si="11"/>
        <v>0</v>
      </c>
      <c r="S26" s="6">
        <f t="shared" si="11"/>
        <v>0</v>
      </c>
      <c r="T26" s="6"/>
      <c r="U26" s="6">
        <f t="shared" si="10"/>
        <v>0</v>
      </c>
      <c r="V26" s="6">
        <f t="shared" si="10"/>
        <v>0</v>
      </c>
      <c r="W26" s="20">
        <f t="shared" ref="W26:W31" si="21">SUM(P26:V26)</f>
        <v>1</v>
      </c>
      <c r="Y26">
        <f t="shared" si="12"/>
        <v>2012</v>
      </c>
      <c r="Z26" s="1" t="b">
        <f t="shared" si="18"/>
        <v>1</v>
      </c>
      <c r="AB26" s="1"/>
      <c r="AC26" s="1"/>
      <c r="AE26" s="1"/>
      <c r="AF26" s="1"/>
      <c r="AG26" s="1" t="b">
        <f t="shared" si="13"/>
        <v>1</v>
      </c>
      <c r="AI26">
        <f t="shared" si="14"/>
        <v>2012</v>
      </c>
      <c r="AJ26" s="24">
        <f t="shared" si="19"/>
        <v>113938.90934063819</v>
      </c>
      <c r="AK26" s="58"/>
      <c r="AL26" s="58"/>
      <c r="AM26" s="58"/>
      <c r="AN26" s="58"/>
      <c r="AO26" s="58"/>
      <c r="AP26" s="58"/>
      <c r="AQ26" s="2">
        <f t="shared" si="15"/>
        <v>113938.90934063819</v>
      </c>
      <c r="AR26" s="2"/>
    </row>
    <row r="27" spans="1:44" x14ac:dyDescent="0.25">
      <c r="A27">
        <f t="shared" si="4"/>
        <v>2013</v>
      </c>
      <c r="B27" s="2">
        <f t="shared" si="16"/>
        <v>150604.45036645557</v>
      </c>
      <c r="C27" s="2"/>
      <c r="D27" s="2"/>
      <c r="E27" s="2"/>
      <c r="F27" s="2"/>
      <c r="G27" s="2"/>
      <c r="H27" s="2"/>
      <c r="I27" s="2">
        <f t="shared" si="20"/>
        <v>150604.45036645557</v>
      </c>
      <c r="J27" s="2">
        <f t="shared" si="6"/>
        <v>36665.54102581738</v>
      </c>
      <c r="K27" s="6">
        <f t="shared" si="7"/>
        <v>0.32180000000000009</v>
      </c>
      <c r="L27" s="7">
        <f t="shared" si="8"/>
        <v>1.3218000000000001</v>
      </c>
      <c r="O27">
        <f t="shared" si="9"/>
        <v>2013</v>
      </c>
      <c r="P27" s="6">
        <f t="shared" si="10"/>
        <v>1</v>
      </c>
      <c r="Q27" s="6"/>
      <c r="R27" s="6">
        <f t="shared" si="11"/>
        <v>0</v>
      </c>
      <c r="S27" s="6">
        <f t="shared" si="11"/>
        <v>0</v>
      </c>
      <c r="T27" s="6"/>
      <c r="U27" s="6">
        <f t="shared" si="10"/>
        <v>0</v>
      </c>
      <c r="V27" s="6">
        <f t="shared" si="10"/>
        <v>0</v>
      </c>
      <c r="W27" s="20">
        <f t="shared" si="21"/>
        <v>1</v>
      </c>
      <c r="Y27">
        <f t="shared" si="12"/>
        <v>2013</v>
      </c>
      <c r="Z27" s="1" t="b">
        <f t="shared" si="18"/>
        <v>1</v>
      </c>
      <c r="AB27" s="1"/>
      <c r="AC27" s="1"/>
      <c r="AE27" s="1"/>
      <c r="AF27" s="1"/>
      <c r="AG27" s="1" t="b">
        <f t="shared" si="13"/>
        <v>1</v>
      </c>
      <c r="AI27">
        <f t="shared" si="14"/>
        <v>2013</v>
      </c>
      <c r="AJ27" s="24">
        <f t="shared" si="19"/>
        <v>150604.45036645557</v>
      </c>
      <c r="AK27" s="2"/>
      <c r="AL27" s="58"/>
      <c r="AM27" s="58"/>
      <c r="AN27" s="58"/>
      <c r="AO27" s="58"/>
      <c r="AP27" s="58"/>
      <c r="AQ27" s="2">
        <f t="shared" si="15"/>
        <v>150604.45036645557</v>
      </c>
      <c r="AR27" s="2"/>
    </row>
    <row r="28" spans="1:44" x14ac:dyDescent="0.25">
      <c r="A28">
        <f t="shared" si="4"/>
        <v>2014</v>
      </c>
      <c r="B28" s="2">
        <f t="shared" si="16"/>
        <v>170951.11161096371</v>
      </c>
      <c r="C28" s="2"/>
      <c r="D28" s="2"/>
      <c r="E28" s="2"/>
      <c r="F28" s="2"/>
      <c r="G28" s="2"/>
      <c r="H28" s="2"/>
      <c r="I28" s="2">
        <f t="shared" si="20"/>
        <v>170951.11161096371</v>
      </c>
      <c r="J28" s="2">
        <f t="shared" si="6"/>
        <v>20346.661244508141</v>
      </c>
      <c r="K28" s="6">
        <f t="shared" si="7"/>
        <v>0.13509999999999997</v>
      </c>
      <c r="L28" s="7">
        <f t="shared" si="8"/>
        <v>1.1351</v>
      </c>
      <c r="O28">
        <f t="shared" si="9"/>
        <v>2014</v>
      </c>
      <c r="P28" s="6">
        <f t="shared" si="10"/>
        <v>1</v>
      </c>
      <c r="Q28" s="6"/>
      <c r="R28" s="6">
        <f t="shared" si="11"/>
        <v>0</v>
      </c>
      <c r="S28" s="6">
        <f t="shared" si="11"/>
        <v>0</v>
      </c>
      <c r="T28" s="6"/>
      <c r="U28" s="6">
        <f t="shared" si="10"/>
        <v>0</v>
      </c>
      <c r="V28" s="6">
        <f t="shared" si="10"/>
        <v>0</v>
      </c>
      <c r="W28" s="20">
        <f t="shared" si="21"/>
        <v>1</v>
      </c>
      <c r="Y28">
        <f t="shared" si="12"/>
        <v>2014</v>
      </c>
      <c r="Z28" s="1" t="b">
        <f t="shared" si="18"/>
        <v>1</v>
      </c>
      <c r="AB28" s="1"/>
      <c r="AC28" s="1"/>
      <c r="AE28" s="1"/>
      <c r="AF28" s="1"/>
      <c r="AG28" s="1" t="b">
        <f t="shared" si="13"/>
        <v>1</v>
      </c>
      <c r="AI28">
        <f t="shared" si="14"/>
        <v>2014</v>
      </c>
      <c r="AJ28" s="24">
        <f t="shared" si="19"/>
        <v>170951.11161096371</v>
      </c>
      <c r="AK28" s="58"/>
      <c r="AL28" s="58"/>
      <c r="AM28" s="58"/>
      <c r="AN28" s="58"/>
      <c r="AO28" s="58"/>
      <c r="AP28" s="58"/>
      <c r="AQ28" s="2">
        <f t="shared" si="15"/>
        <v>170951.11161096371</v>
      </c>
      <c r="AR28" s="2"/>
    </row>
    <row r="29" spans="1:44" x14ac:dyDescent="0.25">
      <c r="A29">
        <f t="shared" si="4"/>
        <v>2015</v>
      </c>
      <c r="B29" s="2">
        <f t="shared" si="16"/>
        <v>173088.00050610074</v>
      </c>
      <c r="C29" s="2"/>
      <c r="D29" s="2"/>
      <c r="E29" s="2"/>
      <c r="F29" s="2"/>
      <c r="G29" s="2"/>
      <c r="H29" s="2"/>
      <c r="I29" s="2">
        <f t="shared" ref="I29:I31" si="22">SUM(B29:H29)</f>
        <v>173088.00050610074</v>
      </c>
      <c r="J29" s="2">
        <f t="shared" si="6"/>
        <v>2136.8888951370318</v>
      </c>
      <c r="K29" s="6">
        <f t="shared" si="7"/>
        <v>1.2499999999999916E-2</v>
      </c>
      <c r="L29" s="7">
        <f t="shared" si="8"/>
        <v>1.0125</v>
      </c>
      <c r="O29">
        <f t="shared" si="9"/>
        <v>2015</v>
      </c>
      <c r="P29" s="6">
        <f t="shared" si="10"/>
        <v>1</v>
      </c>
      <c r="Q29" s="6"/>
      <c r="R29" s="6">
        <f t="shared" si="11"/>
        <v>0</v>
      </c>
      <c r="S29" s="6">
        <f t="shared" si="11"/>
        <v>0</v>
      </c>
      <c r="T29" s="6"/>
      <c r="U29" s="6">
        <f t="shared" si="10"/>
        <v>0</v>
      </c>
      <c r="V29" s="6">
        <f t="shared" si="10"/>
        <v>0</v>
      </c>
      <c r="W29" s="20">
        <f t="shared" si="21"/>
        <v>1</v>
      </c>
      <c r="Y29">
        <f t="shared" si="12"/>
        <v>2015</v>
      </c>
      <c r="Z29" s="1" t="b">
        <f t="shared" si="18"/>
        <v>1</v>
      </c>
      <c r="AB29" s="1"/>
      <c r="AC29" s="1"/>
      <c r="AE29" s="1"/>
      <c r="AF29" s="1"/>
      <c r="AG29" s="1" t="b">
        <f t="shared" si="13"/>
        <v>1</v>
      </c>
      <c r="AI29">
        <f t="shared" si="14"/>
        <v>2015</v>
      </c>
      <c r="AJ29" s="24">
        <f t="shared" si="19"/>
        <v>173088.00050610074</v>
      </c>
      <c r="AK29" s="58"/>
      <c r="AL29" s="58"/>
      <c r="AM29" s="58"/>
      <c r="AN29" s="58"/>
      <c r="AO29" s="58"/>
      <c r="AP29" s="58"/>
      <c r="AQ29" s="2">
        <f t="shared" si="15"/>
        <v>173088.00050610074</v>
      </c>
      <c r="AR29" s="2"/>
    </row>
    <row r="30" spans="1:44" x14ac:dyDescent="0.25">
      <c r="A30">
        <f t="shared" si="4"/>
        <v>2016</v>
      </c>
      <c r="B30" s="2">
        <f t="shared" si="16"/>
        <v>193547.00216592185</v>
      </c>
      <c r="C30" s="2"/>
      <c r="D30" s="2"/>
      <c r="E30" s="2"/>
      <c r="F30" s="2"/>
      <c r="G30" s="2"/>
      <c r="H30" s="2"/>
      <c r="I30" s="2">
        <f t="shared" si="22"/>
        <v>193547.00216592185</v>
      </c>
      <c r="J30" s="2">
        <f t="shared" si="6"/>
        <v>20459.001659821108</v>
      </c>
      <c r="K30" s="6">
        <f t="shared" si="7"/>
        <v>0.1182</v>
      </c>
      <c r="L30" s="7">
        <f t="shared" si="8"/>
        <v>1.1182000000000001</v>
      </c>
      <c r="O30">
        <f t="shared" si="9"/>
        <v>2016</v>
      </c>
      <c r="P30" s="6">
        <f t="shared" si="10"/>
        <v>1</v>
      </c>
      <c r="Q30" s="6"/>
      <c r="R30" s="6">
        <f t="shared" si="11"/>
        <v>0</v>
      </c>
      <c r="S30" s="6">
        <f t="shared" si="11"/>
        <v>0</v>
      </c>
      <c r="T30" s="6"/>
      <c r="U30" s="6">
        <f t="shared" si="10"/>
        <v>0</v>
      </c>
      <c r="V30" s="6">
        <f t="shared" si="10"/>
        <v>0</v>
      </c>
      <c r="W30" s="20">
        <f t="shared" si="21"/>
        <v>1</v>
      </c>
      <c r="Y30">
        <f t="shared" si="12"/>
        <v>2016</v>
      </c>
      <c r="Z30" s="1" t="b">
        <f t="shared" si="18"/>
        <v>1</v>
      </c>
      <c r="AB30" s="1"/>
      <c r="AC30" s="1"/>
      <c r="AE30" s="1"/>
      <c r="AF30" s="1"/>
      <c r="AG30" s="1" t="b">
        <f t="shared" si="13"/>
        <v>1</v>
      </c>
      <c r="AI30">
        <f t="shared" si="14"/>
        <v>2016</v>
      </c>
      <c r="AJ30" s="24">
        <f t="shared" si="19"/>
        <v>193547.00216592185</v>
      </c>
      <c r="AK30" s="58"/>
      <c r="AL30" s="58"/>
      <c r="AM30" s="58"/>
      <c r="AN30" s="58"/>
      <c r="AO30" s="58"/>
      <c r="AP30" s="58"/>
      <c r="AQ30" s="2">
        <f t="shared" si="15"/>
        <v>193547.00216592185</v>
      </c>
      <c r="AR30" s="2"/>
    </row>
    <row r="31" spans="1:44" x14ac:dyDescent="0.25">
      <c r="A31">
        <f t="shared" si="4"/>
        <v>2017</v>
      </c>
      <c r="B31" s="2">
        <f t="shared" si="16"/>
        <v>235488.63753527708</v>
      </c>
      <c r="C31" s="2"/>
      <c r="D31" s="2"/>
      <c r="E31" s="2"/>
      <c r="F31" s="2"/>
      <c r="G31" s="2"/>
      <c r="H31" s="2"/>
      <c r="I31" s="2">
        <f t="shared" si="22"/>
        <v>235488.63753527708</v>
      </c>
      <c r="J31" s="2">
        <f t="shared" si="6"/>
        <v>41941.635369355237</v>
      </c>
      <c r="K31" s="6">
        <f t="shared" si="7"/>
        <v>0.21669999999999986</v>
      </c>
      <c r="L31" s="7">
        <f t="shared" si="8"/>
        <v>1.2166999999999999</v>
      </c>
      <c r="O31">
        <f t="shared" si="9"/>
        <v>2017</v>
      </c>
      <c r="P31" s="6">
        <f t="shared" si="10"/>
        <v>1</v>
      </c>
      <c r="Q31" s="6"/>
      <c r="R31" s="6">
        <f t="shared" si="11"/>
        <v>0</v>
      </c>
      <c r="S31" s="6">
        <f t="shared" si="11"/>
        <v>0</v>
      </c>
      <c r="T31" s="6"/>
      <c r="U31" s="6">
        <f t="shared" si="10"/>
        <v>0</v>
      </c>
      <c r="V31" s="6">
        <f t="shared" si="10"/>
        <v>0</v>
      </c>
      <c r="W31" s="20">
        <f t="shared" si="21"/>
        <v>1</v>
      </c>
      <c r="Y31">
        <f t="shared" si="12"/>
        <v>2017</v>
      </c>
      <c r="Z31" s="1" t="b">
        <f t="shared" si="18"/>
        <v>1</v>
      </c>
      <c r="AB31" s="1"/>
      <c r="AC31" s="1"/>
      <c r="AE31" s="1"/>
      <c r="AF31" s="1"/>
      <c r="AG31" s="1" t="b">
        <f t="shared" si="13"/>
        <v>1</v>
      </c>
      <c r="AI31">
        <f t="shared" si="14"/>
        <v>2017</v>
      </c>
      <c r="AJ31" s="24">
        <f t="shared" si="19"/>
        <v>235488.63753527708</v>
      </c>
      <c r="AK31" s="58"/>
      <c r="AL31" s="58"/>
      <c r="AM31" s="58"/>
      <c r="AN31" s="58"/>
      <c r="AO31" s="58"/>
      <c r="AP31" s="58"/>
      <c r="AQ31" s="2">
        <f t="shared" si="15"/>
        <v>235488.63753527708</v>
      </c>
      <c r="AR31" s="2"/>
    </row>
    <row r="32" spans="1:44" x14ac:dyDescent="0.25">
      <c r="A32" s="9" t="s">
        <v>46</v>
      </c>
      <c r="B32" s="10">
        <f>AJ31</f>
        <v>235488.63753527708</v>
      </c>
      <c r="C32" s="10"/>
      <c r="D32" s="10"/>
      <c r="E32" s="10"/>
      <c r="F32" s="10"/>
      <c r="G32" s="10"/>
      <c r="H32" s="10">
        <f>AP31</f>
        <v>0</v>
      </c>
      <c r="I32" s="10">
        <f>SUM(B32:H32)</f>
        <v>235488.63753527708</v>
      </c>
      <c r="J32" s="10"/>
      <c r="K32" s="10"/>
    </row>
    <row r="33" spans="1:11" x14ac:dyDescent="0.25">
      <c r="A33" s="11" t="s">
        <v>47</v>
      </c>
      <c r="I33" s="6">
        <f>(I32-I20)/I20</f>
        <v>1.3548863753527709</v>
      </c>
      <c r="K33" s="6"/>
    </row>
    <row r="34" spans="1:11" x14ac:dyDescent="0.25">
      <c r="A34" s="1" t="s">
        <v>48</v>
      </c>
      <c r="I34" s="25">
        <f>STDEV(L21:L31)</f>
        <v>0.1829339503258437</v>
      </c>
      <c r="K34" s="26"/>
    </row>
    <row r="35" spans="1:11" x14ac:dyDescent="0.25">
      <c r="A35" s="1" t="s">
        <v>49</v>
      </c>
      <c r="I35" s="13">
        <f>((1+I33)^(1/I40))-1</f>
        <v>8.0974503718597157E-2</v>
      </c>
      <c r="K35" s="26"/>
    </row>
    <row r="36" spans="1:11" x14ac:dyDescent="0.25">
      <c r="A36" s="1" t="s">
        <v>50</v>
      </c>
      <c r="I36" s="27">
        <f>J22</f>
        <v>-39015.378000000012</v>
      </c>
    </row>
    <row r="37" spans="1:11" x14ac:dyDescent="0.25">
      <c r="A37" s="1" t="s">
        <v>51</v>
      </c>
      <c r="I37" s="28">
        <f>K22</f>
        <v>-0.37020000000000008</v>
      </c>
    </row>
    <row r="38" spans="1:11" x14ac:dyDescent="0.25">
      <c r="A38" s="3" t="s">
        <v>52</v>
      </c>
      <c r="I38" s="29">
        <f>I32-I31</f>
        <v>0</v>
      </c>
    </row>
    <row r="39" spans="1:11" x14ac:dyDescent="0.25">
      <c r="A39" s="3" t="s">
        <v>141</v>
      </c>
      <c r="I39" s="29">
        <f>((SUM(J21:J31))-(I32-I20))</f>
        <v>0</v>
      </c>
    </row>
    <row r="40" spans="1:11" x14ac:dyDescent="0.25">
      <c r="A40" s="3" t="s">
        <v>146</v>
      </c>
      <c r="I40" s="3">
        <f>COUNTA(I21:I31)</f>
        <v>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7D4F-5604-4979-B97F-161B389ABF2C}">
  <dimension ref="A1:AP42"/>
  <sheetViews>
    <sheetView topLeftCell="Y1" workbookViewId="0">
      <selection activeCell="V27" sqref="V27"/>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19</v>
      </c>
      <c r="N1" s="63" t="s">
        <v>138</v>
      </c>
      <c r="O1" s="42"/>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2"/>
      <c r="O2" s="42"/>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2" t="s">
        <v>18</v>
      </c>
      <c r="O3" s="42" t="s">
        <v>78</v>
      </c>
      <c r="P3" s="41"/>
    </row>
    <row r="4" spans="1:16"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c r="N4" s="46">
        <f>'4% Withdrawals-No Rebalancing'!N4</f>
        <v>2007</v>
      </c>
      <c r="O4" s="47">
        <f>'4% Withdrawals-No Rebalancing'!O4</f>
        <v>4.1000000000000002E-2</v>
      </c>
      <c r="P4" s="41"/>
    </row>
    <row r="5" spans="1:16"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c r="N5" s="46">
        <f>'4% Withdrawals-No Rebalancing'!N5</f>
        <v>2008</v>
      </c>
      <c r="O5" s="47">
        <f>'4% Withdrawals-No Rebalancing'!O5</f>
        <v>0</v>
      </c>
      <c r="P5" s="41"/>
    </row>
    <row r="6" spans="1:16"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c r="N6" s="46">
        <f>'4% Withdrawals-No Rebalancing'!N6</f>
        <v>2009</v>
      </c>
      <c r="O6" s="47">
        <f>'4% Withdrawals-No Rebalancing'!O6</f>
        <v>2.8000000000000001E-2</v>
      </c>
      <c r="P6" s="41"/>
    </row>
    <row r="7" spans="1:16"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c r="N7" s="46">
        <f>'4% Withdrawals-No Rebalancing'!N7</f>
        <v>2010</v>
      </c>
      <c r="O7" s="47">
        <f>'4% Withdrawals-No Rebalancing'!O7</f>
        <v>1.4E-2</v>
      </c>
      <c r="P7" s="41"/>
    </row>
    <row r="8" spans="1:16"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c r="N8" s="46">
        <f>'4% Withdrawals-No Rebalancing'!N8</f>
        <v>2011</v>
      </c>
      <c r="O8" s="47">
        <f>'4% Withdrawals-No Rebalancing'!O8</f>
        <v>0.03</v>
      </c>
      <c r="P8" s="41"/>
    </row>
    <row r="9" spans="1:16"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c r="N9" s="46">
        <f>'4% Withdrawals-No Rebalancing'!N9</f>
        <v>2012</v>
      </c>
      <c r="O9" s="47">
        <f>'4% Withdrawals-No Rebalancing'!O9</f>
        <v>1.7999999999999999E-2</v>
      </c>
      <c r="P9" s="41"/>
    </row>
    <row r="10" spans="1:16"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c r="N10" s="46">
        <f>'4% Withdrawals-No Rebalancing'!N10</f>
        <v>2013</v>
      </c>
      <c r="O10" s="47">
        <f>'4% Withdrawals-No Rebalancing'!O10</f>
        <v>1.15559170535223E-2</v>
      </c>
      <c r="P10" s="41"/>
    </row>
    <row r="11" spans="1:16"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c r="N11" s="46">
        <f>'4% Withdrawals-No Rebalancing'!N11</f>
        <v>2014</v>
      </c>
      <c r="O11" s="47">
        <f>'4% Withdrawals-No Rebalancing'!O11</f>
        <v>1.29E-2</v>
      </c>
      <c r="P11" s="41"/>
    </row>
    <row r="12" spans="1:16"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c r="N12" s="46">
        <f>'4% Withdrawals-No Rebalancing'!N12</f>
        <v>2015</v>
      </c>
      <c r="O12" s="47">
        <f>'4% Withdrawals-No Rebalancing'!O12</f>
        <v>4.4000000000000003E-3</v>
      </c>
      <c r="P12" s="41"/>
    </row>
    <row r="13" spans="1:16"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c r="N13" s="46">
        <f>'4% Withdrawals-No Rebalancing'!N13</f>
        <v>2016</v>
      </c>
      <c r="O13" s="47">
        <f>'4% Withdrawals-No Rebalancing'!O13</f>
        <v>1.7000000000000001E-2</v>
      </c>
      <c r="P13" s="41"/>
    </row>
    <row r="14" spans="1:16"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c r="N14" s="46">
        <f>'4% Withdrawals-No Rebalancing'!N14</f>
        <v>2017</v>
      </c>
      <c r="O14" s="47">
        <f>'4% Withdrawals-No Rebalancing'!O14</f>
        <v>2.23E-2</v>
      </c>
      <c r="P14" s="41"/>
    </row>
    <row r="15" spans="1:16" x14ac:dyDescent="0.25">
      <c r="N15" s="1"/>
      <c r="O15" s="64"/>
    </row>
    <row r="17" spans="1:42" x14ac:dyDescent="0.25">
      <c r="A17" s="18" t="s">
        <v>105</v>
      </c>
      <c r="N17" s="18" t="s">
        <v>66</v>
      </c>
      <c r="R17" s="18" t="s">
        <v>114</v>
      </c>
      <c r="AG17" s="18" t="s">
        <v>115</v>
      </c>
    </row>
    <row r="18" spans="1:42" x14ac:dyDescent="0.25">
      <c r="B18" s="4" t="str">
        <f t="shared" ref="B18:H19" si="0">B2</f>
        <v>LC Stocks</v>
      </c>
      <c r="C18" s="4" t="str">
        <f t="shared" si="0"/>
        <v>Ext Mkt</v>
      </c>
      <c r="D18" s="4" t="str">
        <f t="shared" si="0"/>
        <v>Mcap Stk</v>
      </c>
      <c r="E18" s="4" t="str">
        <f t="shared" si="0"/>
        <v>Small Cap</v>
      </c>
      <c r="F18" s="4" t="str">
        <f t="shared" si="0"/>
        <v>Intl Val</v>
      </c>
      <c r="G18" s="4" t="str">
        <f t="shared" si="0"/>
        <v>Tot Int Stk</v>
      </c>
      <c r="H18" s="4" t="str">
        <f t="shared" si="0"/>
        <v>Bonds</v>
      </c>
      <c r="I18" s="5"/>
      <c r="J18" s="5" t="s">
        <v>44</v>
      </c>
      <c r="K18" s="5" t="s">
        <v>41</v>
      </c>
      <c r="L18" s="5" t="s">
        <v>42</v>
      </c>
      <c r="O18" s="66">
        <v>4.4999999999999998E-2</v>
      </c>
      <c r="S18" s="4" t="str">
        <f t="shared" ref="S18:Z20" si="1">B18</f>
        <v>LC Stocks</v>
      </c>
      <c r="T18" s="4" t="str">
        <f t="shared" si="1"/>
        <v>Ext Mkt</v>
      </c>
      <c r="U18" s="4" t="str">
        <f t="shared" si="1"/>
        <v>Mcap Stk</v>
      </c>
      <c r="V18" s="4" t="str">
        <f t="shared" si="1"/>
        <v>Small Cap</v>
      </c>
      <c r="W18" s="4" t="str">
        <f t="shared" si="1"/>
        <v>Intl Val</v>
      </c>
      <c r="X18" s="4" t="str">
        <f t="shared" si="1"/>
        <v>Tot Int Stk</v>
      </c>
      <c r="Y18" s="4" t="str">
        <f t="shared" si="1"/>
        <v>Bonds</v>
      </c>
      <c r="Z18" s="5"/>
      <c r="AA18" s="5" t="s">
        <v>44</v>
      </c>
      <c r="AB18" s="5" t="s">
        <v>41</v>
      </c>
      <c r="AC18" s="5" t="s">
        <v>42</v>
      </c>
      <c r="AD18" s="5" t="s">
        <v>56</v>
      </c>
      <c r="AE18" s="5"/>
      <c r="AH18" s="4" t="str">
        <f t="shared" ref="AH18:AN19" si="2">B18</f>
        <v>LC Stocks</v>
      </c>
      <c r="AI18" s="4" t="str">
        <f t="shared" si="2"/>
        <v>Ext Mkt</v>
      </c>
      <c r="AJ18" s="4" t="str">
        <f t="shared" si="2"/>
        <v>Mcap Stk</v>
      </c>
      <c r="AK18" s="4" t="str">
        <f t="shared" si="2"/>
        <v>Small Cap</v>
      </c>
      <c r="AL18" s="4" t="str">
        <f t="shared" si="2"/>
        <v>Intl Val</v>
      </c>
      <c r="AM18" s="4" t="str">
        <f t="shared" si="2"/>
        <v>Tot Int Stk</v>
      </c>
      <c r="AN18" s="4" t="str">
        <f t="shared" si="2"/>
        <v>Bonds</v>
      </c>
      <c r="AO18" s="5"/>
    </row>
    <row r="19" spans="1:42" x14ac:dyDescent="0.25">
      <c r="A19" t="s">
        <v>40</v>
      </c>
      <c r="B19" s="4" t="str">
        <f t="shared" si="0"/>
        <v>VFINX</v>
      </c>
      <c r="C19" s="4" t="str">
        <f t="shared" si="0"/>
        <v>VEXMX</v>
      </c>
      <c r="D19" s="4" t="str">
        <f t="shared" si="0"/>
        <v>VIMSX</v>
      </c>
      <c r="E19" s="4" t="str">
        <f t="shared" si="0"/>
        <v>NAESX</v>
      </c>
      <c r="F19" s="4" t="str">
        <f t="shared" si="0"/>
        <v>VTRIX</v>
      </c>
      <c r="G19" s="4" t="str">
        <f t="shared" si="0"/>
        <v>VGTSX</v>
      </c>
      <c r="H19" s="4" t="str">
        <f t="shared" si="0"/>
        <v>VBMFX</v>
      </c>
      <c r="I19" s="5" t="s">
        <v>38</v>
      </c>
      <c r="J19" s="5" t="s">
        <v>45</v>
      </c>
      <c r="K19" s="5" t="s">
        <v>43</v>
      </c>
      <c r="L19" s="5" t="s">
        <v>43</v>
      </c>
      <c r="R19" t="str">
        <f>A19</f>
        <v>Fund</v>
      </c>
      <c r="S19" s="4" t="str">
        <f t="shared" si="1"/>
        <v>VFINX</v>
      </c>
      <c r="T19" s="4" t="str">
        <f t="shared" si="1"/>
        <v>VEXMX</v>
      </c>
      <c r="U19" s="4" t="str">
        <f t="shared" si="1"/>
        <v>VIMSX</v>
      </c>
      <c r="V19" s="4" t="str">
        <f t="shared" si="1"/>
        <v>NAESX</v>
      </c>
      <c r="W19" s="4" t="str">
        <f t="shared" si="1"/>
        <v>VTRIX</v>
      </c>
      <c r="X19" s="4" t="str">
        <f t="shared" si="1"/>
        <v>VGTSX</v>
      </c>
      <c r="Y19" s="4" t="str">
        <f t="shared" si="1"/>
        <v>VBMFX</v>
      </c>
      <c r="Z19" s="5" t="str">
        <f t="shared" si="1"/>
        <v>Total</v>
      </c>
      <c r="AA19" s="5" t="s">
        <v>45</v>
      </c>
      <c r="AB19" s="5" t="s">
        <v>43</v>
      </c>
      <c r="AC19" s="5" t="s">
        <v>43</v>
      </c>
      <c r="AD19" s="5" t="s">
        <v>55</v>
      </c>
      <c r="AE19" s="5"/>
      <c r="AG19" t="s">
        <v>40</v>
      </c>
      <c r="AH19" s="4" t="str">
        <f t="shared" si="2"/>
        <v>VFINX</v>
      </c>
      <c r="AI19" s="4" t="str">
        <f t="shared" si="2"/>
        <v>VEXMX</v>
      </c>
      <c r="AJ19" s="4" t="str">
        <f t="shared" si="2"/>
        <v>VIMSX</v>
      </c>
      <c r="AK19" s="4" t="str">
        <f t="shared" si="2"/>
        <v>NAESX</v>
      </c>
      <c r="AL19" s="4" t="str">
        <f t="shared" si="2"/>
        <v>VTRIX</v>
      </c>
      <c r="AM19" s="4" t="str">
        <f t="shared" si="2"/>
        <v>VGTSX</v>
      </c>
      <c r="AN19" s="4" t="str">
        <f t="shared" si="2"/>
        <v>VBMFX</v>
      </c>
      <c r="AO19" s="5" t="s">
        <v>38</v>
      </c>
    </row>
    <row r="20" spans="1:42" x14ac:dyDescent="0.25">
      <c r="A20" t="s">
        <v>39</v>
      </c>
      <c r="B20" s="2">
        <f>'Non-Rebalanced Strategy'!B20</f>
        <v>20000</v>
      </c>
      <c r="C20" s="2"/>
      <c r="D20" s="2">
        <f>'Non-Rebalanced Strategy'!D20</f>
        <v>20000</v>
      </c>
      <c r="E20" s="2">
        <f>'Non-Rebalanced Strategy'!E20</f>
        <v>10000</v>
      </c>
      <c r="F20" s="2"/>
      <c r="G20" s="2">
        <f>'Non-Rebalanced Strategy'!G20</f>
        <v>20000</v>
      </c>
      <c r="H20" s="2">
        <f>'Non-Rebalanced Strategy'!H20</f>
        <v>30000</v>
      </c>
      <c r="I20" s="2">
        <f>SUM(B20:H20)</f>
        <v>100000</v>
      </c>
      <c r="N20" s="19"/>
      <c r="R20" t="str">
        <f>A20</f>
        <v>Stating Balance</v>
      </c>
      <c r="S20" s="2">
        <f>B20</f>
        <v>20000</v>
      </c>
      <c r="T20" s="2"/>
      <c r="U20" s="2">
        <f t="shared" si="1"/>
        <v>20000</v>
      </c>
      <c r="V20" s="2">
        <f t="shared" si="1"/>
        <v>10000</v>
      </c>
      <c r="W20" s="2"/>
      <c r="X20" s="2">
        <f t="shared" si="1"/>
        <v>20000</v>
      </c>
      <c r="Y20" s="2">
        <f t="shared" si="1"/>
        <v>30000</v>
      </c>
      <c r="Z20" s="2">
        <f t="shared" si="1"/>
        <v>100000</v>
      </c>
      <c r="AD20" s="2"/>
      <c r="AE20" s="2"/>
      <c r="AG20" s="19" t="s">
        <v>54</v>
      </c>
      <c r="AH20" s="6">
        <f>S20/$Z20</f>
        <v>0.2</v>
      </c>
      <c r="AI20" s="6"/>
      <c r="AJ20" s="6">
        <f>U20/$Z20</f>
        <v>0.2</v>
      </c>
      <c r="AK20" s="6">
        <f>V20/$Z20</f>
        <v>0.1</v>
      </c>
      <c r="AL20" s="6"/>
      <c r="AM20" s="6">
        <f>X20/$Z20</f>
        <v>0.2</v>
      </c>
      <c r="AN20" s="6">
        <f>Y20/$Z20</f>
        <v>0.3</v>
      </c>
      <c r="AO20" s="6">
        <f>Z20/$Z20</f>
        <v>1</v>
      </c>
      <c r="AP20" s="22"/>
    </row>
    <row r="21" spans="1:42" x14ac:dyDescent="0.25">
      <c r="A21">
        <f t="shared" ref="A21:A29" si="3">A4</f>
        <v>2007</v>
      </c>
      <c r="B21" s="2">
        <f>B$20*(1+(B4/100))</f>
        <v>21078</v>
      </c>
      <c r="C21" s="2"/>
      <c r="D21" s="2">
        <f>D$20*(1+(D4/100))</f>
        <v>21204.2</v>
      </c>
      <c r="E21" s="2">
        <f>E$20*(1+(E4/100))</f>
        <v>10115.6</v>
      </c>
      <c r="F21" s="2"/>
      <c r="G21" s="2">
        <f>G$20*(1+(G4/100))</f>
        <v>23104.399999999998</v>
      </c>
      <c r="H21" s="2">
        <f>H$20*(1+(H4/100))</f>
        <v>32075.999999999996</v>
      </c>
      <c r="I21" s="2">
        <f t="shared" ref="I21:I23" si="4">SUM(B21:H21)</f>
        <v>107578.2</v>
      </c>
      <c r="J21" s="2">
        <f>I21-I20</f>
        <v>7578.1999999999971</v>
      </c>
      <c r="K21" s="6">
        <f>(J21/I20)</f>
        <v>7.5781999999999974E-2</v>
      </c>
      <c r="L21" s="7">
        <f t="shared" ref="L21:L31" si="5">K21+1</f>
        <v>1.075782</v>
      </c>
      <c r="N21">
        <f t="shared" ref="N21:N31" si="6">A21</f>
        <v>2007</v>
      </c>
      <c r="O21" s="2">
        <f>I21*O18</f>
        <v>4841.0189999999993</v>
      </c>
      <c r="P21" s="2"/>
      <c r="Q21" s="2"/>
      <c r="R21">
        <f t="shared" ref="R21:R31" si="7">A21</f>
        <v>2007</v>
      </c>
      <c r="S21" s="2">
        <f t="shared" ref="S21:S31" si="8">B21-($O21/5)</f>
        <v>20109.796200000001</v>
      </c>
      <c r="T21" s="2"/>
      <c r="U21" s="2">
        <f t="shared" ref="U21:V31" si="9">D21-($O21/5)</f>
        <v>20235.996200000001</v>
      </c>
      <c r="V21" s="2">
        <f t="shared" si="9"/>
        <v>9147.396200000001</v>
      </c>
      <c r="W21" s="2"/>
      <c r="X21" s="2">
        <f t="shared" ref="X21:Y31" si="10">G21-($O21/5)</f>
        <v>22136.196199999998</v>
      </c>
      <c r="Y21" s="2">
        <f t="shared" si="10"/>
        <v>31107.796199999997</v>
      </c>
      <c r="Z21" s="2">
        <f t="shared" ref="Z21:Z31" si="11">SUM(S21:Y21)</f>
        <v>102737.181</v>
      </c>
      <c r="AA21" s="2">
        <f>Z21-Z20</f>
        <v>2737.1809999999969</v>
      </c>
      <c r="AB21" s="6">
        <f>(AA21/Z20)</f>
        <v>2.7371809999999969E-2</v>
      </c>
      <c r="AC21" s="7">
        <f t="shared" ref="AC21:AC31" si="12">AB21+1</f>
        <v>1.02737181</v>
      </c>
      <c r="AD21" s="2">
        <f t="shared" ref="AD21:AD31" si="13">Z21-(I21-O21)</f>
        <v>0</v>
      </c>
      <c r="AE21" s="2"/>
      <c r="AG21">
        <f t="shared" ref="AG21:AG31" si="14">A21</f>
        <v>2007</v>
      </c>
      <c r="AH21" s="6">
        <f t="shared" ref="AH21:AN31" si="15">S21/$Z21</f>
        <v>0.19574019847790064</v>
      </c>
      <c r="AI21" s="6"/>
      <c r="AJ21" s="6">
        <f t="shared" si="15"/>
        <v>0.19696857557343336</v>
      </c>
      <c r="AK21" s="6">
        <f t="shared" si="15"/>
        <v>8.9036861932195718E-2</v>
      </c>
      <c r="AL21" s="6"/>
      <c r="AM21" s="6">
        <f t="shared" si="15"/>
        <v>0.21546431374246097</v>
      </c>
      <c r="AN21" s="6">
        <f t="shared" si="15"/>
        <v>0.30279005027400935</v>
      </c>
      <c r="AO21" s="20">
        <f>SUM(AH21:AN21)</f>
        <v>1</v>
      </c>
      <c r="AP21" s="22"/>
    </row>
    <row r="22" spans="1:42" x14ac:dyDescent="0.25">
      <c r="A22">
        <f t="shared" si="3"/>
        <v>2008</v>
      </c>
      <c r="B22" s="2">
        <f t="shared" ref="B22:B29" si="16">S21*(1+(B5/100))</f>
        <v>12665.149646759999</v>
      </c>
      <c r="C22" s="2"/>
      <c r="D22" s="2">
        <f t="shared" ref="D22:E28" si="17">U21*(1+(D5/100))</f>
        <v>11772.493149312002</v>
      </c>
      <c r="E22" s="2">
        <f t="shared" si="17"/>
        <v>5847.9303906600007</v>
      </c>
      <c r="F22" s="2"/>
      <c r="G22" s="2">
        <f t="shared" ref="G22:H28" si="18">X21*(1+(G5/100))</f>
        <v>12373.912313837998</v>
      </c>
      <c r="H22" s="2">
        <f t="shared" si="18"/>
        <v>32678.739908099997</v>
      </c>
      <c r="I22" s="2">
        <f t="shared" si="4"/>
        <v>75338.225408669998</v>
      </c>
      <c r="J22" s="2">
        <f t="shared" ref="J22:J31" si="19">I22-I21</f>
        <v>-32239.974591329999</v>
      </c>
      <c r="K22" s="6">
        <f t="shared" ref="K22:K31" si="20">(J22/I21)</f>
        <v>-0.2996887342540589</v>
      </c>
      <c r="L22" s="7">
        <f t="shared" si="5"/>
        <v>0.70031126574594116</v>
      </c>
      <c r="N22">
        <f t="shared" si="6"/>
        <v>2008</v>
      </c>
      <c r="O22" s="2">
        <f t="shared" ref="O22:O29" si="21">O21*(1+O5)</f>
        <v>4841.0189999999993</v>
      </c>
      <c r="P22" s="2"/>
      <c r="Q22" s="2"/>
      <c r="R22">
        <f t="shared" si="7"/>
        <v>2008</v>
      </c>
      <c r="S22" s="2">
        <f t="shared" si="8"/>
        <v>11696.94584676</v>
      </c>
      <c r="T22" s="2"/>
      <c r="U22" s="2">
        <f t="shared" si="9"/>
        <v>10804.289349312003</v>
      </c>
      <c r="V22" s="2">
        <f t="shared" si="9"/>
        <v>4879.7265906600005</v>
      </c>
      <c r="W22" s="2"/>
      <c r="X22" s="2">
        <f t="shared" si="10"/>
        <v>11405.708513837999</v>
      </c>
      <c r="Y22" s="2">
        <f t="shared" si="10"/>
        <v>31710.536108099997</v>
      </c>
      <c r="Z22" s="2">
        <f t="shared" si="11"/>
        <v>70497.206408669997</v>
      </c>
      <c r="AA22" s="2">
        <f t="shared" ref="AA22:AA31" si="22">Z22-Z21</f>
        <v>-32239.974591329999</v>
      </c>
      <c r="AB22" s="6">
        <f t="shared" ref="AB22:AB31" si="23">(AA22/Z21)</f>
        <v>-0.31381019293618734</v>
      </c>
      <c r="AC22" s="7">
        <f t="shared" si="12"/>
        <v>0.68618980706381261</v>
      </c>
      <c r="AD22" s="2">
        <f t="shared" si="13"/>
        <v>0</v>
      </c>
      <c r="AE22" s="2"/>
      <c r="AG22">
        <f t="shared" si="14"/>
        <v>2008</v>
      </c>
      <c r="AH22" s="6">
        <f t="shared" si="15"/>
        <v>0.16592070016155233</v>
      </c>
      <c r="AI22" s="6"/>
      <c r="AJ22" s="6">
        <f t="shared" si="15"/>
        <v>0.15325840412285122</v>
      </c>
      <c r="AK22" s="6">
        <f t="shared" si="15"/>
        <v>6.9218722829559876E-2</v>
      </c>
      <c r="AL22" s="6"/>
      <c r="AM22" s="6">
        <f t="shared" si="15"/>
        <v>0.16178951046257747</v>
      </c>
      <c r="AN22" s="6">
        <f t="shared" si="15"/>
        <v>0.44981266242345913</v>
      </c>
      <c r="AO22" s="20">
        <f t="shared" ref="AO22:AO25" si="24">SUM(AH22:AN22)</f>
        <v>1</v>
      </c>
      <c r="AP22" s="22"/>
    </row>
    <row r="23" spans="1:42" x14ac:dyDescent="0.25">
      <c r="A23">
        <f t="shared" si="3"/>
        <v>2009</v>
      </c>
      <c r="B23" s="2">
        <f t="shared" si="16"/>
        <v>14795.466801566723</v>
      </c>
      <c r="C23" s="2"/>
      <c r="D23" s="2">
        <f t="shared" si="17"/>
        <v>15149.558439818304</v>
      </c>
      <c r="E23" s="2">
        <f t="shared" si="17"/>
        <v>6642.1862406745795</v>
      </c>
      <c r="F23" s="2"/>
      <c r="G23" s="2">
        <f t="shared" si="18"/>
        <v>15594.68307971528</v>
      </c>
      <c r="H23" s="2">
        <f t="shared" si="18"/>
        <v>33590.970899310327</v>
      </c>
      <c r="I23" s="2">
        <f t="shared" si="4"/>
        <v>85772.86546108521</v>
      </c>
      <c r="J23" s="2">
        <f t="shared" si="19"/>
        <v>10434.640052415212</v>
      </c>
      <c r="K23" s="6">
        <f t="shared" si="20"/>
        <v>0.13850392673590084</v>
      </c>
      <c r="L23" s="7">
        <f t="shared" si="5"/>
        <v>1.138503926735901</v>
      </c>
      <c r="N23">
        <f t="shared" si="6"/>
        <v>2009</v>
      </c>
      <c r="O23" s="2">
        <f t="shared" si="21"/>
        <v>4976.5675319999991</v>
      </c>
      <c r="P23" s="2"/>
      <c r="Q23" s="2"/>
      <c r="R23">
        <f t="shared" si="7"/>
        <v>2009</v>
      </c>
      <c r="S23" s="2">
        <f t="shared" si="8"/>
        <v>13800.153295166723</v>
      </c>
      <c r="T23" s="2"/>
      <c r="U23" s="2">
        <f t="shared" si="9"/>
        <v>14154.244933418304</v>
      </c>
      <c r="V23" s="2">
        <f t="shared" si="9"/>
        <v>5646.8727342745797</v>
      </c>
      <c r="W23" s="2"/>
      <c r="X23" s="2">
        <f t="shared" si="10"/>
        <v>14599.36957331528</v>
      </c>
      <c r="Y23" s="2">
        <f t="shared" si="10"/>
        <v>32595.657392910325</v>
      </c>
      <c r="Z23" s="2">
        <f t="shared" si="11"/>
        <v>80796.297929085209</v>
      </c>
      <c r="AA23" s="2">
        <f t="shared" si="22"/>
        <v>10299.091520415212</v>
      </c>
      <c r="AB23" s="6">
        <f t="shared" si="23"/>
        <v>0.14609219350780675</v>
      </c>
      <c r="AC23" s="7">
        <f t="shared" si="12"/>
        <v>1.1460921935078068</v>
      </c>
      <c r="AD23" s="2">
        <f t="shared" si="13"/>
        <v>0</v>
      </c>
      <c r="AE23" s="2"/>
      <c r="AG23">
        <f t="shared" si="14"/>
        <v>2009</v>
      </c>
      <c r="AH23" s="6">
        <f t="shared" si="15"/>
        <v>0.17080180217265767</v>
      </c>
      <c r="AI23" s="6"/>
      <c r="AJ23" s="6">
        <f t="shared" si="15"/>
        <v>0.17518432522541397</v>
      </c>
      <c r="AK23" s="6">
        <f t="shared" si="15"/>
        <v>6.9890241001274972E-2</v>
      </c>
      <c r="AL23" s="6"/>
      <c r="AM23" s="6">
        <f t="shared" si="15"/>
        <v>0.18069354596084494</v>
      </c>
      <c r="AN23" s="6">
        <f t="shared" si="15"/>
        <v>0.40343008563980848</v>
      </c>
      <c r="AO23" s="20">
        <f t="shared" si="24"/>
        <v>1</v>
      </c>
      <c r="AP23" s="22"/>
    </row>
    <row r="24" spans="1:42" x14ac:dyDescent="0.25">
      <c r="A24">
        <f t="shared" si="3"/>
        <v>2010</v>
      </c>
      <c r="B24" s="2">
        <f t="shared" si="16"/>
        <v>15857.756151476082</v>
      </c>
      <c r="C24" s="2"/>
      <c r="D24" s="2">
        <f t="shared" si="17"/>
        <v>17757.915693466603</v>
      </c>
      <c r="E24" s="2">
        <f t="shared" si="17"/>
        <v>7212.1858562154939</v>
      </c>
      <c r="F24" s="2"/>
      <c r="G24" s="2">
        <f t="shared" si="18"/>
        <v>16222.819469867938</v>
      </c>
      <c r="H24" s="2">
        <f t="shared" si="18"/>
        <v>34688.298597535169</v>
      </c>
      <c r="I24" s="2">
        <f t="shared" ref="I24:I26" si="25">SUM(B24:H24)</f>
        <v>91738.975768561286</v>
      </c>
      <c r="J24" s="2">
        <f t="shared" si="19"/>
        <v>5966.1103074760758</v>
      </c>
      <c r="K24" s="6">
        <f t="shared" si="20"/>
        <v>6.9557082830383865E-2</v>
      </c>
      <c r="L24" s="7">
        <f t="shared" si="5"/>
        <v>1.069557082830384</v>
      </c>
      <c r="N24">
        <f t="shared" si="6"/>
        <v>2010</v>
      </c>
      <c r="O24" s="2">
        <f t="shared" si="21"/>
        <v>5046.239477447999</v>
      </c>
      <c r="P24" s="2"/>
      <c r="Q24" s="2"/>
      <c r="R24">
        <f t="shared" si="7"/>
        <v>2010</v>
      </c>
      <c r="S24" s="2">
        <f t="shared" si="8"/>
        <v>14848.508255986482</v>
      </c>
      <c r="T24" s="2"/>
      <c r="U24" s="2">
        <f t="shared" si="9"/>
        <v>16748.667797977003</v>
      </c>
      <c r="V24" s="2">
        <f t="shared" si="9"/>
        <v>6202.9379607258943</v>
      </c>
      <c r="W24" s="2"/>
      <c r="X24" s="2">
        <f t="shared" si="10"/>
        <v>15213.571574378338</v>
      </c>
      <c r="Y24" s="2">
        <f t="shared" si="10"/>
        <v>33679.05070204557</v>
      </c>
      <c r="Z24" s="2">
        <f t="shared" si="11"/>
        <v>86692.73629111328</v>
      </c>
      <c r="AA24" s="2">
        <f t="shared" si="22"/>
        <v>5896.4383620280714</v>
      </c>
      <c r="AB24" s="6">
        <f t="shared" si="23"/>
        <v>7.2979066035963269E-2</v>
      </c>
      <c r="AC24" s="7">
        <f t="shared" si="12"/>
        <v>1.0729790660359633</v>
      </c>
      <c r="AD24" s="2">
        <f t="shared" si="13"/>
        <v>0</v>
      </c>
      <c r="AE24" s="2"/>
      <c r="AG24">
        <f t="shared" si="14"/>
        <v>2010</v>
      </c>
      <c r="AH24" s="6">
        <f t="shared" si="15"/>
        <v>0.17127742059179388</v>
      </c>
      <c r="AI24" s="6"/>
      <c r="AJ24" s="6">
        <f t="shared" si="15"/>
        <v>0.19319574527830286</v>
      </c>
      <c r="AK24" s="6">
        <f t="shared" si="15"/>
        <v>7.1550838352783044E-2</v>
      </c>
      <c r="AL24" s="6"/>
      <c r="AM24" s="6">
        <f t="shared" si="15"/>
        <v>0.17548842296650238</v>
      </c>
      <c r="AN24" s="6">
        <f t="shared" si="15"/>
        <v>0.38848757281061791</v>
      </c>
      <c r="AO24" s="20">
        <f t="shared" si="24"/>
        <v>1</v>
      </c>
      <c r="AP24" s="22"/>
    </row>
    <row r="25" spans="1:42" x14ac:dyDescent="0.25">
      <c r="A25">
        <f t="shared" si="3"/>
        <v>2011</v>
      </c>
      <c r="B25" s="2">
        <f t="shared" si="16"/>
        <v>15141.023868629416</v>
      </c>
      <c r="C25" s="2"/>
      <c r="D25" s="2">
        <f t="shared" si="17"/>
        <v>16395.270907439688</v>
      </c>
      <c r="E25" s="2">
        <f t="shared" si="17"/>
        <v>6029.2556978255689</v>
      </c>
      <c r="F25" s="2"/>
      <c r="G25" s="2">
        <f t="shared" si="18"/>
        <v>12998.475553148854</v>
      </c>
      <c r="H25" s="2">
        <f t="shared" si="18"/>
        <v>36225.186935120219</v>
      </c>
      <c r="I25" s="2">
        <f t="shared" si="25"/>
        <v>86789.212962163743</v>
      </c>
      <c r="J25" s="2">
        <f t="shared" si="19"/>
        <v>-4949.7628063975426</v>
      </c>
      <c r="K25" s="6">
        <f t="shared" si="20"/>
        <v>-5.3954851413261729E-2</v>
      </c>
      <c r="L25" s="7">
        <f t="shared" si="5"/>
        <v>0.94604514858673827</v>
      </c>
      <c r="N25">
        <f t="shared" si="6"/>
        <v>2011</v>
      </c>
      <c r="O25" s="2">
        <f t="shared" si="21"/>
        <v>5197.6266617714391</v>
      </c>
      <c r="P25" s="2"/>
      <c r="Q25" s="2"/>
      <c r="R25">
        <f t="shared" si="7"/>
        <v>2011</v>
      </c>
      <c r="S25" s="2">
        <f t="shared" si="8"/>
        <v>14101.498536275129</v>
      </c>
      <c r="T25" s="2"/>
      <c r="U25" s="2">
        <f t="shared" si="9"/>
        <v>15355.745575085401</v>
      </c>
      <c r="V25" s="2">
        <f t="shared" si="9"/>
        <v>4989.7303654712814</v>
      </c>
      <c r="W25" s="2"/>
      <c r="X25" s="2">
        <f t="shared" si="10"/>
        <v>11958.950220794566</v>
      </c>
      <c r="Y25" s="2">
        <f t="shared" si="10"/>
        <v>35185.661602765933</v>
      </c>
      <c r="Z25" s="2">
        <f t="shared" si="11"/>
        <v>81591.586300392315</v>
      </c>
      <c r="AA25" s="2">
        <f t="shared" si="22"/>
        <v>-5101.1499907209654</v>
      </c>
      <c r="AB25" s="6">
        <f t="shared" si="23"/>
        <v>-5.8841723181874875E-2</v>
      </c>
      <c r="AC25" s="7">
        <f t="shared" si="12"/>
        <v>0.94115827681812514</v>
      </c>
      <c r="AD25" s="2">
        <f t="shared" si="13"/>
        <v>0</v>
      </c>
      <c r="AE25" s="2"/>
      <c r="AG25">
        <f t="shared" si="14"/>
        <v>2011</v>
      </c>
      <c r="AH25" s="6">
        <f t="shared" si="15"/>
        <v>0.17283030243287872</v>
      </c>
      <c r="AI25" s="6"/>
      <c r="AJ25" s="6">
        <f t="shared" si="15"/>
        <v>0.18820256194738999</v>
      </c>
      <c r="AK25" s="6">
        <f t="shared" si="15"/>
        <v>6.1154962070486055E-2</v>
      </c>
      <c r="AL25" s="7"/>
      <c r="AM25" s="6">
        <f t="shared" si="15"/>
        <v>0.14657087529547227</v>
      </c>
      <c r="AN25" s="6">
        <f t="shared" si="15"/>
        <v>0.43124129825377289</v>
      </c>
      <c r="AO25" s="20">
        <f t="shared" si="24"/>
        <v>0.99999999999999989</v>
      </c>
      <c r="AP25" s="22"/>
    </row>
    <row r="26" spans="1:42" x14ac:dyDescent="0.25">
      <c r="A26">
        <f t="shared" si="3"/>
        <v>2012</v>
      </c>
      <c r="B26" s="2">
        <f t="shared" si="16"/>
        <v>16332.355604713852</v>
      </c>
      <c r="C26" s="2"/>
      <c r="D26" s="2">
        <f t="shared" si="17"/>
        <v>17781.953375948891</v>
      </c>
      <c r="E26" s="2">
        <f t="shared" si="17"/>
        <v>5889.8777234023009</v>
      </c>
      <c r="F26" s="2"/>
      <c r="G26" s="2">
        <f t="shared" si="18"/>
        <v>14128.303790846701</v>
      </c>
      <c r="H26" s="2">
        <f t="shared" si="18"/>
        <v>36610.68089767795</v>
      </c>
      <c r="I26" s="2">
        <f t="shared" si="25"/>
        <v>90743.171392589691</v>
      </c>
      <c r="J26" s="2">
        <f t="shared" si="19"/>
        <v>3953.9584304259479</v>
      </c>
      <c r="K26" s="6">
        <f t="shared" si="20"/>
        <v>4.5558178205276488E-2</v>
      </c>
      <c r="L26" s="7">
        <f t="shared" si="5"/>
        <v>1.0455581782052765</v>
      </c>
      <c r="N26">
        <f t="shared" si="6"/>
        <v>2012</v>
      </c>
      <c r="O26" s="2">
        <f t="shared" si="21"/>
        <v>5291.1839416833254</v>
      </c>
      <c r="P26" s="2"/>
      <c r="Q26" s="2"/>
      <c r="R26">
        <f t="shared" si="7"/>
        <v>2012</v>
      </c>
      <c r="S26" s="2">
        <f t="shared" si="8"/>
        <v>15274.118816377188</v>
      </c>
      <c r="T26" s="2"/>
      <c r="U26" s="2">
        <f t="shared" si="9"/>
        <v>16723.716587612227</v>
      </c>
      <c r="V26" s="2">
        <f t="shared" si="9"/>
        <v>4831.6409350656359</v>
      </c>
      <c r="W26" s="2"/>
      <c r="X26" s="2">
        <f t="shared" si="10"/>
        <v>13070.067002510037</v>
      </c>
      <c r="Y26" s="2">
        <f t="shared" si="10"/>
        <v>35552.444109341282</v>
      </c>
      <c r="Z26" s="2">
        <f t="shared" si="11"/>
        <v>85451.987450906367</v>
      </c>
      <c r="AA26" s="2">
        <f t="shared" si="22"/>
        <v>3860.4011505140516</v>
      </c>
      <c r="AB26" s="6">
        <f t="shared" si="23"/>
        <v>4.7313716101821758E-2</v>
      </c>
      <c r="AC26" s="7">
        <f t="shared" si="12"/>
        <v>1.0473137161018218</v>
      </c>
      <c r="AD26" s="2">
        <f t="shared" si="13"/>
        <v>0</v>
      </c>
      <c r="AE26" s="2"/>
      <c r="AG26">
        <f t="shared" si="14"/>
        <v>2012</v>
      </c>
      <c r="AH26" s="6">
        <f t="shared" si="15"/>
        <v>0.17874503884596518</v>
      </c>
      <c r="AI26" s="6"/>
      <c r="AJ26" s="6">
        <f t="shared" si="15"/>
        <v>0.19570892481839922</v>
      </c>
      <c r="AK26" s="6">
        <f t="shared" si="15"/>
        <v>5.6542171565541366E-2</v>
      </c>
      <c r="AL26" s="7"/>
      <c r="AM26" s="6">
        <f t="shared" si="15"/>
        <v>0.15295217106587503</v>
      </c>
      <c r="AN26" s="6">
        <f t="shared" si="15"/>
        <v>0.41605169370421924</v>
      </c>
      <c r="AO26" s="20">
        <f t="shared" ref="AO26:AO31" si="26">SUM(AH26:AN26)</f>
        <v>1</v>
      </c>
      <c r="AP26" s="22"/>
    </row>
    <row r="27" spans="1:42" x14ac:dyDescent="0.25">
      <c r="A27">
        <f t="shared" si="3"/>
        <v>2013</v>
      </c>
      <c r="B27" s="2">
        <f t="shared" si="16"/>
        <v>20189.330251487369</v>
      </c>
      <c r="C27" s="2"/>
      <c r="D27" s="2">
        <f t="shared" si="17"/>
        <v>22577.017393276506</v>
      </c>
      <c r="E27" s="2">
        <f t="shared" si="17"/>
        <v>6649.3042548373278</v>
      </c>
      <c r="F27" s="2"/>
      <c r="G27" s="2">
        <f t="shared" si="18"/>
        <v>15035.805079687545</v>
      </c>
      <c r="H27" s="2">
        <f t="shared" si="18"/>
        <v>34748.958872470168</v>
      </c>
      <c r="I27" s="2">
        <f t="shared" ref="I27:I28" si="27">SUM(B27:H27)</f>
        <v>99200.415851758909</v>
      </c>
      <c r="J27" s="2">
        <f t="shared" si="19"/>
        <v>8457.2444591692183</v>
      </c>
      <c r="K27" s="6">
        <f t="shared" si="20"/>
        <v>9.319978935472667E-2</v>
      </c>
      <c r="L27" s="7">
        <f t="shared" si="5"/>
        <v>1.0931997893547267</v>
      </c>
      <c r="N27">
        <f t="shared" si="6"/>
        <v>2013</v>
      </c>
      <c r="O27" s="2">
        <f t="shared" si="21"/>
        <v>5352.3284244283468</v>
      </c>
      <c r="P27" s="2"/>
      <c r="Q27" s="2"/>
      <c r="R27">
        <f t="shared" si="7"/>
        <v>2013</v>
      </c>
      <c r="S27" s="2">
        <f t="shared" si="8"/>
        <v>19118.8645666017</v>
      </c>
      <c r="T27" s="2"/>
      <c r="U27" s="2">
        <f t="shared" si="9"/>
        <v>21506.551708390838</v>
      </c>
      <c r="V27" s="2">
        <f t="shared" si="9"/>
        <v>5578.8385699516584</v>
      </c>
      <c r="W27" s="2"/>
      <c r="X27" s="2">
        <f t="shared" si="10"/>
        <v>13965.339394801875</v>
      </c>
      <c r="Y27" s="2">
        <f t="shared" si="10"/>
        <v>33678.4931875845</v>
      </c>
      <c r="Z27" s="2">
        <f t="shared" si="11"/>
        <v>93848.087427330582</v>
      </c>
      <c r="AA27" s="2">
        <f t="shared" si="22"/>
        <v>8396.0999764242151</v>
      </c>
      <c r="AB27" s="6">
        <f t="shared" si="23"/>
        <v>9.8255174945438437E-2</v>
      </c>
      <c r="AC27" s="7">
        <f t="shared" si="12"/>
        <v>1.0982551749454383</v>
      </c>
      <c r="AD27" s="2">
        <f t="shared" si="13"/>
        <v>0</v>
      </c>
      <c r="AE27" s="2"/>
      <c r="AG27">
        <f t="shared" si="14"/>
        <v>2013</v>
      </c>
      <c r="AH27" s="6">
        <f t="shared" si="15"/>
        <v>0.20372140861587634</v>
      </c>
      <c r="AI27" s="6"/>
      <c r="AJ27" s="6">
        <f t="shared" si="15"/>
        <v>0.22916345231908974</v>
      </c>
      <c r="AK27" s="6">
        <f t="shared" si="15"/>
        <v>5.944541570196113E-2</v>
      </c>
      <c r="AL27" s="7"/>
      <c r="AM27" s="6">
        <f t="shared" si="15"/>
        <v>0.1488079275522334</v>
      </c>
      <c r="AN27" s="6">
        <f t="shared" si="15"/>
        <v>0.35886179581083927</v>
      </c>
      <c r="AO27" s="20">
        <f t="shared" si="26"/>
        <v>0.99999999999999978</v>
      </c>
      <c r="AP27" s="22"/>
    </row>
    <row r="28" spans="1:42" x14ac:dyDescent="0.25">
      <c r="A28">
        <f t="shared" si="3"/>
        <v>2014</v>
      </c>
      <c r="B28" s="2">
        <f t="shared" si="16"/>
        <v>21701.823169549589</v>
      </c>
      <c r="C28" s="2"/>
      <c r="D28" s="2">
        <f t="shared" si="17"/>
        <v>24431.442740731996</v>
      </c>
      <c r="E28" s="2">
        <f t="shared" si="17"/>
        <v>5989.9989725570958</v>
      </c>
      <c r="F28" s="2"/>
      <c r="G28" s="2">
        <f t="shared" si="18"/>
        <v>13373.209004462275</v>
      </c>
      <c r="H28" s="2">
        <f t="shared" si="18"/>
        <v>35618.37439518937</v>
      </c>
      <c r="I28" s="2">
        <f t="shared" si="27"/>
        <v>101114.84828249032</v>
      </c>
      <c r="J28" s="2">
        <f t="shared" si="19"/>
        <v>1914.4324307314091</v>
      </c>
      <c r="K28" s="6">
        <f t="shared" si="20"/>
        <v>1.9298633118557281E-2</v>
      </c>
      <c r="L28" s="7">
        <f t="shared" si="5"/>
        <v>1.0192986331185572</v>
      </c>
      <c r="N28">
        <f t="shared" si="6"/>
        <v>2014</v>
      </c>
      <c r="O28" s="2">
        <f t="shared" si="21"/>
        <v>5421.3734611034724</v>
      </c>
      <c r="P28" s="2"/>
      <c r="Q28" s="2"/>
      <c r="R28">
        <f t="shared" si="7"/>
        <v>2014</v>
      </c>
      <c r="S28" s="2">
        <f t="shared" si="8"/>
        <v>20617.548477328895</v>
      </c>
      <c r="T28" s="2"/>
      <c r="U28" s="2">
        <f t="shared" si="9"/>
        <v>23347.168048511303</v>
      </c>
      <c r="V28" s="2">
        <f t="shared" si="9"/>
        <v>4905.7242803364015</v>
      </c>
      <c r="W28" s="2"/>
      <c r="X28" s="2">
        <f t="shared" si="10"/>
        <v>12288.934312241579</v>
      </c>
      <c r="Y28" s="2">
        <f t="shared" si="10"/>
        <v>34534.099702968677</v>
      </c>
      <c r="Z28" s="2">
        <f t="shared" si="11"/>
        <v>95693.474821386859</v>
      </c>
      <c r="AA28" s="2">
        <f t="shared" si="22"/>
        <v>1845.3873940562771</v>
      </c>
      <c r="AB28" s="6">
        <f t="shared" si="23"/>
        <v>1.9663558892291932E-2</v>
      </c>
      <c r="AC28" s="7">
        <f t="shared" si="12"/>
        <v>1.019663558892292</v>
      </c>
      <c r="AD28" s="2">
        <f t="shared" si="13"/>
        <v>0</v>
      </c>
      <c r="AE28" s="2"/>
      <c r="AG28">
        <f t="shared" si="14"/>
        <v>2014</v>
      </c>
      <c r="AH28" s="6">
        <f t="shared" si="15"/>
        <v>0.21545406848075926</v>
      </c>
      <c r="AI28" s="6"/>
      <c r="AJ28" s="6">
        <f t="shared" si="15"/>
        <v>0.24397868393941283</v>
      </c>
      <c r="AK28" s="6">
        <f t="shared" si="15"/>
        <v>5.1264982168251295E-2</v>
      </c>
      <c r="AL28" s="7"/>
      <c r="AM28" s="6">
        <f t="shared" si="15"/>
        <v>0.12841977298012261</v>
      </c>
      <c r="AN28" s="6">
        <f t="shared" si="15"/>
        <v>0.36088249243145398</v>
      </c>
      <c r="AO28" s="20">
        <f t="shared" si="26"/>
        <v>1</v>
      </c>
      <c r="AP28" s="22"/>
    </row>
    <row r="29" spans="1:42" x14ac:dyDescent="0.25">
      <c r="A29">
        <f t="shared" si="3"/>
        <v>2015</v>
      </c>
      <c r="B29" s="2">
        <f t="shared" si="16"/>
        <v>20875.267833295507</v>
      </c>
      <c r="C29" s="2"/>
      <c r="D29" s="2">
        <f t="shared" ref="D29:E31" si="28">U28*(1+(D12/100))</f>
        <v>23006.29939500304</v>
      </c>
      <c r="E29" s="2">
        <f t="shared" si="28"/>
        <v>4720.2879025396851</v>
      </c>
      <c r="F29" s="2"/>
      <c r="G29" s="2">
        <f t="shared" ref="G29:H31" si="29">X28*(1+(G12/100))</f>
        <v>11751.907882796622</v>
      </c>
      <c r="H29" s="2">
        <f t="shared" si="29"/>
        <v>34637.702002077582</v>
      </c>
      <c r="I29" s="2">
        <f t="shared" ref="I29:I31" si="30">SUM(B29:H29)</f>
        <v>94991.465015712427</v>
      </c>
      <c r="J29" s="2">
        <f t="shared" si="19"/>
        <v>-6123.3832667778915</v>
      </c>
      <c r="K29" s="6">
        <f t="shared" si="20"/>
        <v>-6.055869509560699E-2</v>
      </c>
      <c r="L29" s="7">
        <f t="shared" si="5"/>
        <v>0.93944130490439304</v>
      </c>
      <c r="N29">
        <f t="shared" si="6"/>
        <v>2015</v>
      </c>
      <c r="O29" s="2">
        <f t="shared" si="21"/>
        <v>5445.227504332327</v>
      </c>
      <c r="P29" s="2"/>
      <c r="Q29" s="2"/>
      <c r="R29">
        <f t="shared" si="7"/>
        <v>2015</v>
      </c>
      <c r="S29" s="2">
        <f t="shared" si="8"/>
        <v>19786.222332429043</v>
      </c>
      <c r="T29" s="2"/>
      <c r="U29" s="2">
        <f t="shared" si="9"/>
        <v>21917.253894136575</v>
      </c>
      <c r="V29" s="2">
        <f t="shared" si="9"/>
        <v>3631.2424016732198</v>
      </c>
      <c r="W29" s="2"/>
      <c r="X29" s="2">
        <f t="shared" si="10"/>
        <v>10662.862381930157</v>
      </c>
      <c r="Y29" s="2">
        <f t="shared" si="10"/>
        <v>33548.656501211117</v>
      </c>
      <c r="Z29" s="2">
        <f t="shared" si="11"/>
        <v>89546.23751138011</v>
      </c>
      <c r="AA29" s="2">
        <f t="shared" si="22"/>
        <v>-6147.2373100067489</v>
      </c>
      <c r="AB29" s="6">
        <f t="shared" si="23"/>
        <v>-6.4238834690459809E-2</v>
      </c>
      <c r="AC29" s="7">
        <f t="shared" si="12"/>
        <v>0.93576116530954023</v>
      </c>
      <c r="AD29" s="2">
        <f t="shared" si="13"/>
        <v>0</v>
      </c>
      <c r="AE29" s="2"/>
      <c r="AG29">
        <f t="shared" si="14"/>
        <v>2015</v>
      </c>
      <c r="AH29" s="6">
        <f t="shared" si="15"/>
        <v>0.22096095695717513</v>
      </c>
      <c r="AI29" s="6"/>
      <c r="AJ29" s="6">
        <f t="shared" si="15"/>
        <v>0.24475907088057372</v>
      </c>
      <c r="AK29" s="6">
        <f t="shared" si="15"/>
        <v>4.0551591028174003E-2</v>
      </c>
      <c r="AL29" s="7"/>
      <c r="AM29" s="6">
        <f t="shared" si="15"/>
        <v>0.11907660978581096</v>
      </c>
      <c r="AN29" s="6">
        <f t="shared" si="15"/>
        <v>0.37465177134826616</v>
      </c>
      <c r="AO29" s="20">
        <f t="shared" si="26"/>
        <v>1</v>
      </c>
      <c r="AP29" s="22"/>
    </row>
    <row r="30" spans="1:42" x14ac:dyDescent="0.25">
      <c r="A30">
        <f t="shared" ref="A30:A31" si="31">A13</f>
        <v>2016</v>
      </c>
      <c r="B30" s="2">
        <f t="shared" ref="B30:B31" si="32">S29*(1+(B13/100))</f>
        <v>22124.953812122156</v>
      </c>
      <c r="C30" s="2"/>
      <c r="D30" s="2">
        <f t="shared" si="28"/>
        <v>24343.493900217494</v>
      </c>
      <c r="E30" s="2">
        <f t="shared" si="28"/>
        <v>4291.0391460572437</v>
      </c>
      <c r="F30" s="2"/>
      <c r="G30" s="2">
        <f t="shared" si="29"/>
        <v>11158.685482689909</v>
      </c>
      <c r="H30" s="2">
        <f t="shared" si="29"/>
        <v>34387.37291374139</v>
      </c>
      <c r="I30" s="2">
        <f t="shared" si="30"/>
        <v>96305.54525482819</v>
      </c>
      <c r="J30" s="2">
        <f t="shared" si="19"/>
        <v>1314.0802391157631</v>
      </c>
      <c r="K30" s="6">
        <f t="shared" si="20"/>
        <v>1.3833666413065665E-2</v>
      </c>
      <c r="L30" s="7">
        <f t="shared" si="5"/>
        <v>1.0138336664130656</v>
      </c>
      <c r="N30">
        <f t="shared" si="6"/>
        <v>2016</v>
      </c>
      <c r="O30" s="2">
        <f t="shared" ref="O30:O31" si="33">O29*(1+O13)</f>
        <v>5537.7963719059762</v>
      </c>
      <c r="P30" s="2"/>
      <c r="Q30" s="2"/>
      <c r="R30">
        <f t="shared" si="7"/>
        <v>2016</v>
      </c>
      <c r="S30" s="2">
        <f t="shared" si="8"/>
        <v>21017.394537740962</v>
      </c>
      <c r="T30" s="2"/>
      <c r="U30" s="2">
        <f t="shared" si="9"/>
        <v>23235.9346258363</v>
      </c>
      <c r="V30" s="2">
        <f t="shared" si="9"/>
        <v>3183.4798716760483</v>
      </c>
      <c r="W30" s="2"/>
      <c r="X30" s="2">
        <f t="shared" si="10"/>
        <v>10051.126208308713</v>
      </c>
      <c r="Y30" s="2">
        <f t="shared" si="10"/>
        <v>33279.813639360196</v>
      </c>
      <c r="Z30" s="2">
        <f t="shared" si="11"/>
        <v>90767.748882922227</v>
      </c>
      <c r="AA30" s="2">
        <f t="shared" si="22"/>
        <v>1221.5113715421176</v>
      </c>
      <c r="AB30" s="6">
        <f t="shared" si="23"/>
        <v>1.3641124468092588E-2</v>
      </c>
      <c r="AC30" s="7">
        <f t="shared" si="12"/>
        <v>1.0136411244680925</v>
      </c>
      <c r="AD30" s="2">
        <f t="shared" si="13"/>
        <v>0</v>
      </c>
      <c r="AE30" s="2"/>
      <c r="AG30">
        <f t="shared" si="14"/>
        <v>2016</v>
      </c>
      <c r="AH30" s="6">
        <f t="shared" si="15"/>
        <v>0.2315513472175065</v>
      </c>
      <c r="AI30" s="6"/>
      <c r="AJ30" s="6">
        <f t="shared" si="15"/>
        <v>0.2559932895968085</v>
      </c>
      <c r="AK30" s="6">
        <f t="shared" si="15"/>
        <v>3.5072808468372338E-2</v>
      </c>
      <c r="AL30" s="7"/>
      <c r="AM30" s="6">
        <f t="shared" si="15"/>
        <v>0.11073455420022885</v>
      </c>
      <c r="AN30" s="6">
        <f t="shared" si="15"/>
        <v>0.36664800051708374</v>
      </c>
      <c r="AO30" s="20">
        <f t="shared" si="26"/>
        <v>1</v>
      </c>
      <c r="AP30" s="22"/>
    </row>
    <row r="31" spans="1:42" x14ac:dyDescent="0.25">
      <c r="A31">
        <f t="shared" si="31"/>
        <v>2017</v>
      </c>
      <c r="B31" s="2">
        <f t="shared" si="32"/>
        <v>25571.863934069424</v>
      </c>
      <c r="C31" s="2"/>
      <c r="D31" s="2">
        <f t="shared" si="28"/>
        <v>27790.177812500213</v>
      </c>
      <c r="E31" s="2">
        <f t="shared" si="28"/>
        <v>3696.0201310158923</v>
      </c>
      <c r="F31" s="2"/>
      <c r="G31" s="2">
        <f t="shared" si="29"/>
        <v>12805.1347893853</v>
      </c>
      <c r="H31" s="2">
        <f t="shared" si="29"/>
        <v>34431.295191282057</v>
      </c>
      <c r="I31" s="2">
        <f t="shared" si="30"/>
        <v>104294.49185825289</v>
      </c>
      <c r="J31" s="2">
        <f t="shared" si="19"/>
        <v>7988.9466034247016</v>
      </c>
      <c r="K31" s="6">
        <f t="shared" si="20"/>
        <v>8.2954170315796882E-2</v>
      </c>
      <c r="L31" s="7">
        <f t="shared" si="5"/>
        <v>1.082954170315797</v>
      </c>
      <c r="N31">
        <f t="shared" si="6"/>
        <v>2017</v>
      </c>
      <c r="O31" s="2">
        <f t="shared" si="33"/>
        <v>5661.2892309994795</v>
      </c>
      <c r="P31" s="2"/>
      <c r="Q31" s="2"/>
      <c r="R31">
        <f t="shared" si="7"/>
        <v>2017</v>
      </c>
      <c r="S31" s="2">
        <f t="shared" si="8"/>
        <v>24439.606087869528</v>
      </c>
      <c r="T31" s="2"/>
      <c r="U31" s="2">
        <f t="shared" si="9"/>
        <v>26657.919966300316</v>
      </c>
      <c r="V31" s="2">
        <f t="shared" si="9"/>
        <v>2563.7622848159963</v>
      </c>
      <c r="W31" s="2"/>
      <c r="X31" s="2">
        <f t="shared" si="10"/>
        <v>11672.876943185403</v>
      </c>
      <c r="Y31" s="2">
        <f t="shared" si="10"/>
        <v>33299.037345082164</v>
      </c>
      <c r="Z31" s="2">
        <f t="shared" si="11"/>
        <v>98633.202627253399</v>
      </c>
      <c r="AA31" s="2">
        <f t="shared" si="22"/>
        <v>7865.453744331171</v>
      </c>
      <c r="AB31" s="6">
        <f t="shared" si="23"/>
        <v>8.6654718676305531E-2</v>
      </c>
      <c r="AC31" s="7">
        <f t="shared" si="12"/>
        <v>1.0866547186763056</v>
      </c>
      <c r="AD31" s="2">
        <f t="shared" si="13"/>
        <v>0</v>
      </c>
      <c r="AE31" s="2"/>
      <c r="AG31">
        <f t="shared" si="14"/>
        <v>2017</v>
      </c>
      <c r="AH31" s="6">
        <f t="shared" si="15"/>
        <v>0.2477827489818992</v>
      </c>
      <c r="AI31" s="6"/>
      <c r="AJ31" s="6">
        <f t="shared" si="15"/>
        <v>0.27027328786071936</v>
      </c>
      <c r="AK31" s="6">
        <f t="shared" si="15"/>
        <v>2.5992893027155965E-2</v>
      </c>
      <c r="AL31" s="7"/>
      <c r="AM31" s="6">
        <f t="shared" si="15"/>
        <v>0.11834632387735186</v>
      </c>
      <c r="AN31" s="6">
        <f t="shared" si="15"/>
        <v>0.33760474625287373</v>
      </c>
      <c r="AO31" s="20">
        <f t="shared" si="26"/>
        <v>1.0000000000000002</v>
      </c>
      <c r="AP31" s="22"/>
    </row>
    <row r="32" spans="1:42" x14ac:dyDescent="0.25">
      <c r="A32" s="9" t="s">
        <v>46</v>
      </c>
      <c r="B32" s="10">
        <f>S31</f>
        <v>24439.606087869528</v>
      </c>
      <c r="C32" s="10"/>
      <c r="D32" s="10">
        <f>U31</f>
        <v>26657.919966300316</v>
      </c>
      <c r="E32" s="10">
        <f>V31</f>
        <v>2563.7622848159963</v>
      </c>
      <c r="F32" s="10"/>
      <c r="G32" s="10">
        <f>X31</f>
        <v>11672.876943185403</v>
      </c>
      <c r="H32" s="10">
        <f>Y31</f>
        <v>33299.037345082164</v>
      </c>
      <c r="I32" s="10">
        <f>SUM(B32:H32)</f>
        <v>98633.202627253399</v>
      </c>
      <c r="J32" s="10"/>
      <c r="K32" s="10"/>
      <c r="N32" t="s">
        <v>77</v>
      </c>
      <c r="O32" s="2">
        <f>O31</f>
        <v>5661.2892309994795</v>
      </c>
      <c r="P32" s="2"/>
      <c r="R32" s="9" t="s">
        <v>46</v>
      </c>
      <c r="S32" s="10">
        <f>S31</f>
        <v>24439.606087869528</v>
      </c>
      <c r="T32" s="10"/>
      <c r="U32" s="10">
        <f>U31</f>
        <v>26657.919966300316</v>
      </c>
      <c r="V32" s="10">
        <f>V31</f>
        <v>2563.7622848159963</v>
      </c>
      <c r="W32" s="10"/>
      <c r="X32" s="10">
        <f>X31</f>
        <v>11672.876943185403</v>
      </c>
      <c r="Y32" s="10">
        <f>Y31</f>
        <v>33299.037345082164</v>
      </c>
      <c r="Z32" s="10">
        <f>Z31</f>
        <v>98633.202627253399</v>
      </c>
      <c r="AA32" s="40"/>
      <c r="AB32" s="40"/>
      <c r="AC32" s="40"/>
      <c r="AD32" s="40"/>
      <c r="AE32" s="40"/>
      <c r="AH32" s="6"/>
      <c r="AK32" s="7"/>
      <c r="AN32" s="6"/>
    </row>
    <row r="33" spans="1:16" x14ac:dyDescent="0.25">
      <c r="A33" s="11" t="s">
        <v>92</v>
      </c>
      <c r="I33" s="6">
        <f>(Z32-Z20)/Z20</f>
        <v>-1.3667973727466014E-2</v>
      </c>
      <c r="K33" s="6"/>
      <c r="N33" t="s">
        <v>38</v>
      </c>
      <c r="O33" s="2">
        <f>SUM(O21:O31)</f>
        <v>57611.670605672363</v>
      </c>
      <c r="P33" s="2"/>
    </row>
    <row r="34" spans="1:16" x14ac:dyDescent="0.25">
      <c r="A34" s="1" t="s">
        <v>93</v>
      </c>
      <c r="I34" s="12">
        <f>STDEV(AC21:AC28)</f>
        <v>0.1421499420252732</v>
      </c>
    </row>
    <row r="35" spans="1:16" x14ac:dyDescent="0.25">
      <c r="A35" s="1" t="s">
        <v>94</v>
      </c>
      <c r="I35" s="13">
        <f>((1+I33)^(1/I42))-1</f>
        <v>-1.2503304503845847E-3</v>
      </c>
    </row>
    <row r="36" spans="1:16" x14ac:dyDescent="0.25">
      <c r="A36" s="1" t="s">
        <v>50</v>
      </c>
      <c r="I36" s="27">
        <f>J22</f>
        <v>-32239.974591329999</v>
      </c>
      <c r="O36" s="2"/>
      <c r="P36" s="2"/>
    </row>
    <row r="37" spans="1:16" x14ac:dyDescent="0.25">
      <c r="A37" s="1" t="s">
        <v>51</v>
      </c>
      <c r="I37" s="28">
        <f>K22</f>
        <v>-0.2996887342540589</v>
      </c>
    </row>
    <row r="38" spans="1:16" x14ac:dyDescent="0.25">
      <c r="A38" s="1" t="s">
        <v>79</v>
      </c>
      <c r="I38" s="2">
        <f>O33</f>
        <v>57611.670605672363</v>
      </c>
    </row>
    <row r="39" spans="1:16" x14ac:dyDescent="0.25">
      <c r="A39" s="3" t="s">
        <v>52</v>
      </c>
      <c r="I39" s="29">
        <f>I32-Z31</f>
        <v>0</v>
      </c>
    </row>
    <row r="40" spans="1:16" x14ac:dyDescent="0.25">
      <c r="A40" s="3" t="s">
        <v>141</v>
      </c>
      <c r="I40" s="29">
        <f>((SUM(AA21:AA31)))-(I32-I20)</f>
        <v>0</v>
      </c>
    </row>
    <row r="41" spans="1:16" x14ac:dyDescent="0.25">
      <c r="A41" s="3" t="s">
        <v>142</v>
      </c>
      <c r="I41" s="29">
        <f>(SUM(O21:O31))-I38</f>
        <v>0</v>
      </c>
    </row>
    <row r="42" spans="1:16" x14ac:dyDescent="0.25">
      <c r="A42" s="3" t="s">
        <v>146</v>
      </c>
      <c r="I42" s="3">
        <f>COUNTA(I21:I31)</f>
        <v>11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Notes</vt:lpstr>
      <vt:lpstr>Summary</vt:lpstr>
      <vt:lpstr>Non-Rebalanced Strategy</vt:lpstr>
      <vt:lpstr>Rebalanced Strategy</vt:lpstr>
      <vt:lpstr>Panic Portfolio</vt:lpstr>
      <vt:lpstr>60-40 Portfolio</vt:lpstr>
      <vt:lpstr>SP500 Only</vt:lpstr>
      <vt:lpstr>4.5% Withdrawals-No Rebalancing</vt:lpstr>
      <vt:lpstr>4.5% 60-40 Portfolio</vt:lpstr>
      <vt:lpstr>4.5% Withdrawals-Rebalanced</vt:lpstr>
      <vt:lpstr>4.5% Withdrawals-Panic</vt:lpstr>
      <vt:lpstr>4.5% SP500</vt:lpstr>
      <vt:lpstr>4% Withdrawals-No Rebalancing</vt:lpstr>
      <vt:lpstr>4% Withdrawals-Rebalanced</vt:lpstr>
      <vt:lpstr>4% Withdrawals-Panic</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2014-03-14T21:59:20Z</cp:lastPrinted>
  <dcterms:created xsi:type="dcterms:W3CDTF">2014-01-10T23:26:08Z</dcterms:created>
  <dcterms:modified xsi:type="dcterms:W3CDTF">2018-03-29T21:21:09Z</dcterms:modified>
</cp:coreProperties>
</file>