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1"/>
  <workbookPr autoCompressPictures="0" defaultThemeVersion="124226"/>
  <mc:AlternateContent xmlns:mc="http://schemas.openxmlformats.org/markup-compatibility/2006">
    <mc:Choice Requires="x15">
      <x15ac:absPath xmlns:x15ac="http://schemas.microsoft.com/office/spreadsheetml/2010/11/ac" url="/Users/Charles/Dropbox/AAII/Rebalancing/"/>
    </mc:Choice>
  </mc:AlternateContent>
  <xr:revisionPtr revIDLastSave="0" documentId="13_ncr:1_{1E81151E-2EAC-BE48-AF83-F3459B913BD7}" xr6:coauthVersionLast="31" xr6:coauthVersionMax="31" xr10:uidLastSave="{00000000-0000-0000-0000-000000000000}"/>
  <bookViews>
    <workbookView xWindow="15760" yWindow="6140" windowWidth="27980" windowHeight="18620" tabRatio="892" firstSheet="2" activeTab="7" xr2:uid="{00000000-000D-0000-FFFF-FFFF00000000}"/>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60-40 Portfolio" sheetId="25" r:id="rId8"/>
    <sheet name="SP500 Only" sheetId="28" r:id="rId9"/>
    <sheet name="4.5% Withdrawals-No Rebalancing" sheetId="21" r:id="rId10"/>
    <sheet name="4.5% Withdrawals-Rebalanced" sheetId="22" r:id="rId11"/>
    <sheet name="4.5% Withdrawals-Annual Rebal" sheetId="23" r:id="rId12"/>
    <sheet name="4.5% Withdrawals-Panic" sheetId="24" r:id="rId13"/>
    <sheet name="4.5% 60-40 Portfolio" sheetId="26" r:id="rId14"/>
    <sheet name="4.5% SP500" sheetId="29" r:id="rId15"/>
    <sheet name="Chart2" sheetId="16" r:id="rId16"/>
    <sheet name="Chart Data" sheetId="14" r:id="rId17"/>
    <sheet name="Panic Chart" sheetId="18" r:id="rId18"/>
  </sheets>
  <definedNames>
    <definedName name="_xlnm.Print_Area" localSheetId="2">Summary!$A$1:$D$29</definedName>
  </definedNames>
  <calcPr calcId="179017"/>
  <extLst>
    <ext xmlns:mx="http://schemas.microsoft.com/office/mac/excel/2008/main" uri="http://schemas.microsoft.com/office/mac/excel/2008/main">
      <mx:ArchID Flags="2"/>
    </ext>
  </extLst>
</workbook>
</file>

<file path=xl/calcChain.xml><?xml version="1.0" encoding="utf-8"?>
<calcChain xmlns="http://schemas.openxmlformats.org/spreadsheetml/2006/main">
  <c r="G12" i="29" l="1"/>
  <c r="E14" i="29"/>
  <c r="D14" i="29"/>
  <c r="G12" i="26" l="1"/>
  <c r="E14" i="26"/>
  <c r="D14" i="26"/>
  <c r="E14" i="24"/>
  <c r="D14" i="24"/>
  <c r="G12" i="24"/>
  <c r="G12" i="23"/>
  <c r="E14" i="23"/>
  <c r="D14" i="23"/>
  <c r="G12" i="21"/>
  <c r="E14" i="21"/>
  <c r="D14" i="21"/>
  <c r="G12" i="28"/>
  <c r="E14" i="28"/>
  <c r="D14" i="28"/>
  <c r="G12" i="25"/>
  <c r="E14" i="25"/>
  <c r="D14" i="25"/>
  <c r="G12" i="7"/>
  <c r="E14" i="7"/>
  <c r="D14" i="7"/>
  <c r="G12" i="19"/>
  <c r="E14" i="19"/>
  <c r="D14" i="19"/>
  <c r="G12"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H5" i="4"/>
  <c r="H4" i="4"/>
  <c r="G33" i="4"/>
  <c r="G32" i="4"/>
  <c r="G31" i="4"/>
  <c r="G30" i="4"/>
  <c r="G29" i="4"/>
  <c r="G28" i="4"/>
  <c r="G27" i="4"/>
  <c r="G26" i="4"/>
  <c r="G25" i="4"/>
  <c r="G24" i="4"/>
  <c r="G23" i="4"/>
  <c r="G22" i="4"/>
  <c r="G21" i="4"/>
  <c r="G20" i="4"/>
  <c r="G19" i="4"/>
  <c r="G18" i="4"/>
  <c r="G17" i="4"/>
  <c r="G16" i="4"/>
  <c r="G15" i="4"/>
  <c r="G14" i="4"/>
  <c r="G13" i="4"/>
  <c r="F11" i="4"/>
  <c r="F10" i="4"/>
  <c r="F9" i="4"/>
  <c r="F8" i="4"/>
  <c r="F7" i="4"/>
  <c r="F6" i="4"/>
  <c r="F5" i="4"/>
  <c r="F4" i="4"/>
  <c r="C13" i="4"/>
  <c r="C12" i="4"/>
  <c r="C11" i="4"/>
  <c r="C10" i="4"/>
  <c r="C9" i="4"/>
  <c r="C8" i="4"/>
  <c r="C7" i="4"/>
  <c r="C6" i="4"/>
  <c r="C5" i="4"/>
  <c r="C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E14" i="4"/>
  <c r="D14" i="4"/>
  <c r="I5" i="1" l="1"/>
  <c r="I6" i="1" s="1"/>
  <c r="I7" i="1" s="1"/>
  <c r="I8" i="1" s="1"/>
  <c r="I9" i="1" s="1"/>
  <c r="I10" i="1" s="1"/>
  <c r="I11" i="1" s="1"/>
  <c r="I12" i="1" s="1"/>
  <c r="I13" i="1" s="1"/>
  <c r="I14" i="1" s="1"/>
  <c r="I15" i="1" s="1"/>
  <c r="I16" i="1" s="1"/>
  <c r="I17" i="1" s="1"/>
  <c r="I18" i="1" s="1"/>
  <c r="I19" i="1" s="1"/>
  <c r="I20" i="1" s="1"/>
  <c r="I21" i="1" s="1"/>
  <c r="I22" i="1" s="1"/>
  <c r="I23" i="1" s="1"/>
  <c r="I24" i="1" s="1"/>
  <c r="I25" i="1" s="1"/>
  <c r="I26" i="1" s="1"/>
  <c r="I27" i="1" s="1"/>
  <c r="I28" i="1" s="1"/>
  <c r="O33" i="29" l="1"/>
  <c r="N33" i="29"/>
  <c r="O32" i="29"/>
  <c r="N32" i="29"/>
  <c r="O31" i="29"/>
  <c r="N31" i="29"/>
  <c r="O30" i="29"/>
  <c r="N30" i="29"/>
  <c r="O29" i="29"/>
  <c r="N29" i="29"/>
  <c r="O28" i="29"/>
  <c r="N28" i="29"/>
  <c r="O27" i="29"/>
  <c r="N27" i="29"/>
  <c r="O26" i="29"/>
  <c r="N26" i="29"/>
  <c r="O25" i="29"/>
  <c r="N25" i="29"/>
  <c r="O24" i="29"/>
  <c r="N24" i="29"/>
  <c r="O23" i="29"/>
  <c r="N23" i="29"/>
  <c r="O22" i="29"/>
  <c r="N22" i="29"/>
  <c r="O21" i="29"/>
  <c r="N21" i="29"/>
  <c r="O20" i="29"/>
  <c r="N20" i="29"/>
  <c r="O19" i="29"/>
  <c r="N19" i="29"/>
  <c r="O18" i="29"/>
  <c r="N18" i="29"/>
  <c r="O17" i="29"/>
  <c r="N17" i="29"/>
  <c r="O16" i="29"/>
  <c r="N16" i="29"/>
  <c r="O15" i="29"/>
  <c r="N15" i="29"/>
  <c r="O14" i="29"/>
  <c r="N14" i="29"/>
  <c r="O13" i="29"/>
  <c r="N13" i="29"/>
  <c r="O12" i="29"/>
  <c r="N12" i="29"/>
  <c r="O11" i="29"/>
  <c r="N11" i="29"/>
  <c r="O10" i="29"/>
  <c r="N10" i="29"/>
  <c r="O9" i="29"/>
  <c r="N9" i="29"/>
  <c r="O8" i="29"/>
  <c r="N8" i="29"/>
  <c r="O7" i="29"/>
  <c r="N7" i="29"/>
  <c r="O6" i="29"/>
  <c r="N6" i="29"/>
  <c r="O5" i="29"/>
  <c r="N5" i="29"/>
  <c r="O4" i="29"/>
  <c r="N4" i="29"/>
  <c r="O3" i="29"/>
  <c r="N3" i="29"/>
  <c r="Y39" i="29"/>
  <c r="X39" i="29"/>
  <c r="W39" i="29"/>
  <c r="V39" i="29"/>
  <c r="U39" i="29"/>
  <c r="T39" i="29"/>
  <c r="S39" i="29"/>
  <c r="R39" i="29"/>
  <c r="I39" i="29"/>
  <c r="Z39" i="29" s="1"/>
  <c r="AM39" i="29" s="1"/>
  <c r="Z38" i="29"/>
  <c r="R38" i="29"/>
  <c r="H33" i="29"/>
  <c r="G33" i="29"/>
  <c r="E33" i="29"/>
  <c r="D33" i="29"/>
  <c r="B33" i="29"/>
  <c r="A33" i="29"/>
  <c r="H32" i="29"/>
  <c r="G32" i="29"/>
  <c r="E32" i="29"/>
  <c r="D32" i="29"/>
  <c r="B32" i="29"/>
  <c r="A32" i="29"/>
  <c r="H31" i="29"/>
  <c r="G31" i="29"/>
  <c r="E31" i="29"/>
  <c r="D31" i="29"/>
  <c r="B31" i="29"/>
  <c r="A31" i="29"/>
  <c r="H30" i="29"/>
  <c r="G30" i="29"/>
  <c r="E30" i="29"/>
  <c r="D30" i="29"/>
  <c r="B30" i="29"/>
  <c r="A30" i="29"/>
  <c r="H29" i="29"/>
  <c r="G29" i="29"/>
  <c r="E29" i="29"/>
  <c r="D29" i="29"/>
  <c r="B29" i="29"/>
  <c r="A29" i="29"/>
  <c r="H28" i="29"/>
  <c r="G28" i="29"/>
  <c r="E28" i="29"/>
  <c r="D28" i="29"/>
  <c r="B28" i="29"/>
  <c r="A28" i="29"/>
  <c r="A64" i="29" s="1"/>
  <c r="H27" i="29"/>
  <c r="G27" i="29"/>
  <c r="E27" i="29"/>
  <c r="D27" i="29"/>
  <c r="B27" i="29"/>
  <c r="A27" i="29"/>
  <c r="A63" i="29" s="1"/>
  <c r="H26" i="29"/>
  <c r="G26" i="29"/>
  <c r="E26" i="29"/>
  <c r="D26" i="29"/>
  <c r="B26" i="29"/>
  <c r="A26" i="29"/>
  <c r="A62" i="29" s="1"/>
  <c r="H25" i="29"/>
  <c r="G25" i="29"/>
  <c r="E25" i="29"/>
  <c r="D25" i="29"/>
  <c r="B25" i="29"/>
  <c r="A25" i="29"/>
  <c r="A61" i="29" s="1"/>
  <c r="H24" i="29"/>
  <c r="G24" i="29"/>
  <c r="E24" i="29"/>
  <c r="D24" i="29"/>
  <c r="B24" i="29"/>
  <c r="A24" i="29"/>
  <c r="A60" i="29" s="1"/>
  <c r="H23" i="29"/>
  <c r="G23" i="29"/>
  <c r="E23" i="29"/>
  <c r="D23" i="29"/>
  <c r="B23" i="29"/>
  <c r="A23" i="29"/>
  <c r="A59" i="29" s="1"/>
  <c r="H22" i="29"/>
  <c r="G22" i="29"/>
  <c r="E22" i="29"/>
  <c r="D22" i="29"/>
  <c r="B22" i="29"/>
  <c r="A22" i="29"/>
  <c r="A58" i="29" s="1"/>
  <c r="H21" i="29"/>
  <c r="G21" i="29"/>
  <c r="E21" i="29"/>
  <c r="D21" i="29"/>
  <c r="B21" i="29"/>
  <c r="A21" i="29"/>
  <c r="A57" i="29" s="1"/>
  <c r="H20" i="29"/>
  <c r="G20" i="29"/>
  <c r="E20" i="29"/>
  <c r="D20" i="29"/>
  <c r="B20" i="29"/>
  <c r="A20" i="29"/>
  <c r="A56" i="29" s="1"/>
  <c r="H19" i="29"/>
  <c r="G19" i="29"/>
  <c r="E19" i="29"/>
  <c r="D19" i="29"/>
  <c r="B19" i="29"/>
  <c r="A19" i="29"/>
  <c r="A55" i="29" s="1"/>
  <c r="H18" i="29"/>
  <c r="G18" i="29"/>
  <c r="E18" i="29"/>
  <c r="D18" i="29"/>
  <c r="B18" i="29"/>
  <c r="A18" i="29"/>
  <c r="A54" i="29" s="1"/>
  <c r="H17" i="29"/>
  <c r="G17" i="29"/>
  <c r="E17" i="29"/>
  <c r="D17" i="29"/>
  <c r="B17" i="29"/>
  <c r="A17" i="29"/>
  <c r="A53" i="29" s="1"/>
  <c r="H16" i="29"/>
  <c r="G16" i="29"/>
  <c r="E16" i="29"/>
  <c r="D16" i="29"/>
  <c r="B16" i="29"/>
  <c r="A16" i="29"/>
  <c r="A52" i="29" s="1"/>
  <c r="H15" i="29"/>
  <c r="G15" i="29"/>
  <c r="E15" i="29"/>
  <c r="D15" i="29"/>
  <c r="B15" i="29"/>
  <c r="A15" i="29"/>
  <c r="A51" i="29" s="1"/>
  <c r="H14" i="29"/>
  <c r="G14" i="29"/>
  <c r="C14" i="29"/>
  <c r="B14" i="29"/>
  <c r="A14" i="29"/>
  <c r="A50" i="29" s="1"/>
  <c r="R50" i="29" s="1"/>
  <c r="H13" i="29"/>
  <c r="G13" i="29"/>
  <c r="C13" i="29"/>
  <c r="B13" i="29"/>
  <c r="A13" i="29"/>
  <c r="A49" i="29" s="1"/>
  <c r="H12" i="29"/>
  <c r="F12" i="29"/>
  <c r="C12" i="29"/>
  <c r="B12" i="29"/>
  <c r="A12" i="29"/>
  <c r="A48" i="29" s="1"/>
  <c r="R48" i="29" s="1"/>
  <c r="H11" i="29"/>
  <c r="F11" i="29"/>
  <c r="C11" i="29"/>
  <c r="B11" i="29"/>
  <c r="A11" i="29"/>
  <c r="A47" i="29" s="1"/>
  <c r="H10" i="29"/>
  <c r="F10" i="29"/>
  <c r="C10" i="29"/>
  <c r="B10" i="29"/>
  <c r="A10" i="29"/>
  <c r="A46" i="29" s="1"/>
  <c r="H9" i="29"/>
  <c r="F9" i="29"/>
  <c r="C9" i="29"/>
  <c r="B9" i="29"/>
  <c r="A9" i="29"/>
  <c r="A45" i="29" s="1"/>
  <c r="H8" i="29"/>
  <c r="F8" i="29"/>
  <c r="C8" i="29"/>
  <c r="B8" i="29"/>
  <c r="A8" i="29"/>
  <c r="A44" i="29" s="1"/>
  <c r="H7" i="29"/>
  <c r="F7" i="29"/>
  <c r="C7" i="29"/>
  <c r="B7" i="29"/>
  <c r="A7" i="29"/>
  <c r="A43" i="29" s="1"/>
  <c r="H6" i="29"/>
  <c r="F6" i="29"/>
  <c r="C6" i="29"/>
  <c r="B6" i="29"/>
  <c r="A6" i="29"/>
  <c r="A42" i="29" s="1"/>
  <c r="H5" i="29"/>
  <c r="F5" i="29"/>
  <c r="C5" i="29"/>
  <c r="B5" i="29"/>
  <c r="A5" i="29"/>
  <c r="A41" i="29" s="1"/>
  <c r="H4" i="29"/>
  <c r="H40" i="29" s="1"/>
  <c r="Y40" i="29" s="1"/>
  <c r="F4" i="29"/>
  <c r="F40" i="29" s="1"/>
  <c r="W40" i="29" s="1"/>
  <c r="C4" i="29"/>
  <c r="C40" i="29" s="1"/>
  <c r="T40" i="29" s="1"/>
  <c r="B4" i="29"/>
  <c r="B40" i="29" s="1"/>
  <c r="A4" i="29"/>
  <c r="A40" i="29" s="1"/>
  <c r="H3" i="29"/>
  <c r="H38" i="29" s="1"/>
  <c r="G3" i="29"/>
  <c r="G38" i="29" s="1"/>
  <c r="F3" i="29"/>
  <c r="F38" i="29" s="1"/>
  <c r="AK38" i="29" s="1"/>
  <c r="E3" i="29"/>
  <c r="E38" i="29" s="1"/>
  <c r="D3" i="29"/>
  <c r="D38" i="29" s="1"/>
  <c r="C3" i="29"/>
  <c r="C38" i="29" s="1"/>
  <c r="B3" i="29"/>
  <c r="B38" i="29" s="1"/>
  <c r="AG38" i="29" s="1"/>
  <c r="A3" i="29"/>
  <c r="H2" i="29"/>
  <c r="H37" i="29" s="1"/>
  <c r="G2" i="29"/>
  <c r="G37" i="29" s="1"/>
  <c r="F2" i="29"/>
  <c r="F37" i="29" s="1"/>
  <c r="E2" i="29"/>
  <c r="E37" i="29" s="1"/>
  <c r="D2" i="29"/>
  <c r="D37" i="29" s="1"/>
  <c r="C2" i="29"/>
  <c r="C37" i="29" s="1"/>
  <c r="B2" i="29"/>
  <c r="B37" i="29" s="1"/>
  <c r="H33" i="28"/>
  <c r="G33" i="28"/>
  <c r="E33" i="28"/>
  <c r="D33" i="28"/>
  <c r="B33" i="28"/>
  <c r="A33" i="28"/>
  <c r="H32" i="28"/>
  <c r="G32" i="28"/>
  <c r="E32" i="28"/>
  <c r="D32" i="28"/>
  <c r="B32" i="28"/>
  <c r="A32" i="28"/>
  <c r="H31" i="28"/>
  <c r="G31" i="28"/>
  <c r="E31" i="28"/>
  <c r="D31" i="28"/>
  <c r="B31" i="28"/>
  <c r="A31" i="28"/>
  <c r="H30" i="28"/>
  <c r="G30" i="28"/>
  <c r="E30" i="28"/>
  <c r="D30" i="28"/>
  <c r="B30" i="28"/>
  <c r="A30" i="28"/>
  <c r="H29" i="28"/>
  <c r="G29" i="28"/>
  <c r="E29" i="28"/>
  <c r="D29" i="28"/>
  <c r="B29" i="28"/>
  <c r="A29" i="28"/>
  <c r="H28" i="28"/>
  <c r="G28" i="28"/>
  <c r="E28" i="28"/>
  <c r="D28" i="28"/>
  <c r="B28" i="28"/>
  <c r="A28" i="28"/>
  <c r="H27" i="28"/>
  <c r="G27" i="28"/>
  <c r="E27" i="28"/>
  <c r="D27" i="28"/>
  <c r="B27" i="28"/>
  <c r="A27" i="28"/>
  <c r="H26" i="28"/>
  <c r="G26" i="28"/>
  <c r="E26" i="28"/>
  <c r="D26" i="28"/>
  <c r="B26" i="28"/>
  <c r="A26" i="28"/>
  <c r="A62" i="28" s="1"/>
  <c r="O62" i="28" s="1"/>
  <c r="H25" i="28"/>
  <c r="G25" i="28"/>
  <c r="E25" i="28"/>
  <c r="D25" i="28"/>
  <c r="B25" i="28"/>
  <c r="A25" i="28"/>
  <c r="A61" i="28" s="1"/>
  <c r="O61" i="28" s="1"/>
  <c r="H24" i="28"/>
  <c r="G24" i="28"/>
  <c r="E24" i="28"/>
  <c r="D24" i="28"/>
  <c r="B24" i="28"/>
  <c r="A24" i="28"/>
  <c r="A60" i="28" s="1"/>
  <c r="O60" i="28" s="1"/>
  <c r="H23" i="28"/>
  <c r="G23" i="28"/>
  <c r="E23" i="28"/>
  <c r="D23" i="28"/>
  <c r="B23" i="28"/>
  <c r="A23" i="28"/>
  <c r="H22" i="28"/>
  <c r="G22" i="28"/>
  <c r="E22" i="28"/>
  <c r="D22" i="28"/>
  <c r="B22" i="28"/>
  <c r="A22" i="28"/>
  <c r="A58" i="28" s="1"/>
  <c r="O58" i="28" s="1"/>
  <c r="H21" i="28"/>
  <c r="G21" i="28"/>
  <c r="E21" i="28"/>
  <c r="D21" i="28"/>
  <c r="B21" i="28"/>
  <c r="A21" i="28"/>
  <c r="A57" i="28" s="1"/>
  <c r="O57" i="28" s="1"/>
  <c r="H20" i="28"/>
  <c r="G20" i="28"/>
  <c r="E20" i="28"/>
  <c r="D20" i="28"/>
  <c r="B20" i="28"/>
  <c r="A20" i="28"/>
  <c r="H19" i="28"/>
  <c r="G19" i="28"/>
  <c r="E19" i="28"/>
  <c r="D19" i="28"/>
  <c r="B19" i="28"/>
  <c r="A19" i="28"/>
  <c r="A55" i="28" s="1"/>
  <c r="O55" i="28" s="1"/>
  <c r="H18" i="28"/>
  <c r="G18" i="28"/>
  <c r="E18" i="28"/>
  <c r="D18" i="28"/>
  <c r="B18" i="28"/>
  <c r="A18" i="28"/>
  <c r="A54" i="28" s="1"/>
  <c r="O54" i="28" s="1"/>
  <c r="H17" i="28"/>
  <c r="G17" i="28"/>
  <c r="E17" i="28"/>
  <c r="D17" i="28"/>
  <c r="B17" i="28"/>
  <c r="A17" i="28"/>
  <c r="H16" i="28"/>
  <c r="G16" i="28"/>
  <c r="E16" i="28"/>
  <c r="D16" i="28"/>
  <c r="B16" i="28"/>
  <c r="A16" i="28"/>
  <c r="A52" i="28" s="1"/>
  <c r="O52" i="28" s="1"/>
  <c r="H15" i="28"/>
  <c r="G15" i="28"/>
  <c r="E15" i="28"/>
  <c r="D15" i="28"/>
  <c r="B15" i="28"/>
  <c r="A15" i="28"/>
  <c r="H14" i="28"/>
  <c r="G14" i="28"/>
  <c r="C14" i="28"/>
  <c r="B14" i="28"/>
  <c r="A14" i="28"/>
  <c r="A50" i="28" s="1"/>
  <c r="O50" i="28" s="1"/>
  <c r="H13" i="28"/>
  <c r="G13" i="28"/>
  <c r="C13" i="28"/>
  <c r="B13" i="28"/>
  <c r="A13" i="28"/>
  <c r="A49" i="28" s="1"/>
  <c r="O49" i="28" s="1"/>
  <c r="H12" i="28"/>
  <c r="F12" i="28"/>
  <c r="C12" i="28"/>
  <c r="B12" i="28"/>
  <c r="A12" i="28"/>
  <c r="A48" i="28" s="1"/>
  <c r="O48" i="28" s="1"/>
  <c r="H11" i="28"/>
  <c r="F11" i="28"/>
  <c r="C11" i="28"/>
  <c r="B11" i="28"/>
  <c r="A11" i="28"/>
  <c r="A47" i="28" s="1"/>
  <c r="O47" i="28" s="1"/>
  <c r="H10" i="28"/>
  <c r="F10" i="28"/>
  <c r="C10" i="28"/>
  <c r="B10" i="28"/>
  <c r="A10" i="28"/>
  <c r="A46" i="28" s="1"/>
  <c r="O46" i="28" s="1"/>
  <c r="H9" i="28"/>
  <c r="F9" i="28"/>
  <c r="C9" i="28"/>
  <c r="B9" i="28"/>
  <c r="A9" i="28"/>
  <c r="A45" i="28" s="1"/>
  <c r="O45" i="28" s="1"/>
  <c r="H8" i="28"/>
  <c r="F8" i="28"/>
  <c r="C8" i="28"/>
  <c r="B8" i="28"/>
  <c r="A8" i="28"/>
  <c r="A44" i="28" s="1"/>
  <c r="O44" i="28" s="1"/>
  <c r="H7" i="28"/>
  <c r="F7" i="28"/>
  <c r="C7" i="28"/>
  <c r="B7" i="28"/>
  <c r="A7" i="28"/>
  <c r="A43" i="28" s="1"/>
  <c r="O43" i="28" s="1"/>
  <c r="H6" i="28"/>
  <c r="F6" i="28"/>
  <c r="C6" i="28"/>
  <c r="B6" i="28"/>
  <c r="A6" i="28"/>
  <c r="A42" i="28" s="1"/>
  <c r="O42" i="28" s="1"/>
  <c r="H5" i="28"/>
  <c r="F5" i="28"/>
  <c r="C5" i="28"/>
  <c r="B5" i="28"/>
  <c r="A5" i="28"/>
  <c r="A41" i="28" s="1"/>
  <c r="O41" i="28" s="1"/>
  <c r="H4" i="28"/>
  <c r="H40" i="28" s="1"/>
  <c r="F4" i="28"/>
  <c r="F40" i="28" s="1"/>
  <c r="C4" i="28"/>
  <c r="C40" i="28" s="1"/>
  <c r="C41" i="28" s="1"/>
  <c r="B4" i="28"/>
  <c r="B40" i="28" s="1"/>
  <c r="A4" i="28"/>
  <c r="A40" i="28" s="1"/>
  <c r="O40" i="28" s="1"/>
  <c r="H3" i="28"/>
  <c r="H38" i="28" s="1"/>
  <c r="V38" i="28" s="1"/>
  <c r="G3" i="28"/>
  <c r="G38" i="28" s="1"/>
  <c r="U38" i="28" s="1"/>
  <c r="F3" i="28"/>
  <c r="F38" i="28" s="1"/>
  <c r="T38" i="28" s="1"/>
  <c r="E3" i="28"/>
  <c r="D3" i="28"/>
  <c r="C3" i="28"/>
  <c r="C38" i="28" s="1"/>
  <c r="Q38" i="28" s="1"/>
  <c r="B3" i="28"/>
  <c r="B38" i="28" s="1"/>
  <c r="P38" i="28" s="1"/>
  <c r="A3" i="28"/>
  <c r="H2" i="28"/>
  <c r="H37" i="28" s="1"/>
  <c r="V37" i="28" s="1"/>
  <c r="G2" i="28"/>
  <c r="G37" i="28" s="1"/>
  <c r="U37" i="28" s="1"/>
  <c r="F2" i="28"/>
  <c r="F37" i="28" s="1"/>
  <c r="T37" i="28" s="1"/>
  <c r="E2" i="28"/>
  <c r="E37" i="28" s="1"/>
  <c r="S37" i="28" s="1"/>
  <c r="D2" i="28"/>
  <c r="D37" i="28" s="1"/>
  <c r="R37" i="28" s="1"/>
  <c r="C2" i="28"/>
  <c r="C37" i="28" s="1"/>
  <c r="Q37" i="28" s="1"/>
  <c r="B2" i="28"/>
  <c r="B37" i="28" s="1"/>
  <c r="P37" i="28" s="1"/>
  <c r="A64" i="28"/>
  <c r="O64" i="28" s="1"/>
  <c r="A63" i="28"/>
  <c r="O63" i="28" s="1"/>
  <c r="A59" i="28"/>
  <c r="O59" i="28" s="1"/>
  <c r="A56" i="28"/>
  <c r="O56" i="28" s="1"/>
  <c r="A53" i="28"/>
  <c r="O53" i="28" s="1"/>
  <c r="A51" i="28"/>
  <c r="O51" i="28" s="1"/>
  <c r="I39" i="28"/>
  <c r="W39" i="28" s="1"/>
  <c r="E38" i="28"/>
  <c r="S38" i="28" s="1"/>
  <c r="D38" i="28"/>
  <c r="R38" i="28" s="1"/>
  <c r="F41" i="28" l="1"/>
  <c r="B41" i="28"/>
  <c r="AG39" i="29"/>
  <c r="AK39" i="29"/>
  <c r="AH39" i="29"/>
  <c r="AI37" i="29"/>
  <c r="U37" i="29"/>
  <c r="R47" i="29"/>
  <c r="AF47" i="29"/>
  <c r="N47" i="29"/>
  <c r="AJ37" i="29"/>
  <c r="V37" i="29"/>
  <c r="AJ38" i="29"/>
  <c r="V38" i="29"/>
  <c r="AF40" i="29"/>
  <c r="N40" i="29"/>
  <c r="R40" i="29"/>
  <c r="AF44" i="29"/>
  <c r="N44" i="29"/>
  <c r="R44" i="29"/>
  <c r="AM37" i="29"/>
  <c r="Y37" i="29"/>
  <c r="AM38" i="29"/>
  <c r="Y38" i="29"/>
  <c r="S37" i="29"/>
  <c r="AG37" i="29"/>
  <c r="W37" i="29"/>
  <c r="AK37" i="29"/>
  <c r="I40" i="29"/>
  <c r="O40" i="29" s="1"/>
  <c r="S40" i="29" s="1"/>
  <c r="R41" i="29"/>
  <c r="AF41" i="29"/>
  <c r="N41" i="29"/>
  <c r="R45" i="29"/>
  <c r="N45" i="29"/>
  <c r="AF45" i="29"/>
  <c r="AI38" i="29"/>
  <c r="U38" i="29"/>
  <c r="AF43" i="29"/>
  <c r="N43" i="29"/>
  <c r="R43" i="29"/>
  <c r="T37" i="29"/>
  <c r="AH37" i="29"/>
  <c r="X37" i="29"/>
  <c r="AL37" i="29"/>
  <c r="AH38" i="29"/>
  <c r="T38" i="29"/>
  <c r="AL38" i="29"/>
  <c r="X38" i="29"/>
  <c r="R42" i="29"/>
  <c r="AF42" i="29"/>
  <c r="N42" i="29"/>
  <c r="AF46" i="29"/>
  <c r="R46" i="29"/>
  <c r="N46" i="29"/>
  <c r="S38" i="29"/>
  <c r="AF53" i="29"/>
  <c r="N53" i="29"/>
  <c r="AF54" i="29"/>
  <c r="N54" i="29"/>
  <c r="N55" i="29"/>
  <c r="R55" i="29"/>
  <c r="AF55" i="29"/>
  <c r="N57" i="29"/>
  <c r="R57" i="29"/>
  <c r="AF57" i="29"/>
  <c r="N59" i="29"/>
  <c r="R59" i="29"/>
  <c r="AF59" i="29"/>
  <c r="N61" i="29"/>
  <c r="AF61" i="29"/>
  <c r="R61" i="29"/>
  <c r="N63" i="29"/>
  <c r="AF63" i="29"/>
  <c r="R63" i="29"/>
  <c r="AN39" i="29"/>
  <c r="AF51" i="29"/>
  <c r="N51" i="29"/>
  <c r="AF52" i="29"/>
  <c r="N52" i="29"/>
  <c r="AF48" i="29"/>
  <c r="N48" i="29"/>
  <c r="AF50" i="29"/>
  <c r="W38" i="29"/>
  <c r="AF49" i="29"/>
  <c r="N49" i="29"/>
  <c r="R49" i="29"/>
  <c r="N56" i="29"/>
  <c r="R56" i="29"/>
  <c r="AF56" i="29"/>
  <c r="N58" i="29"/>
  <c r="R58" i="29"/>
  <c r="AF58" i="29"/>
  <c r="N60" i="29"/>
  <c r="AF60" i="29"/>
  <c r="R60" i="29"/>
  <c r="N62" i="29"/>
  <c r="AF62" i="29"/>
  <c r="R62" i="29"/>
  <c r="N64" i="29"/>
  <c r="AF64" i="29"/>
  <c r="R64" i="29"/>
  <c r="N50" i="29"/>
  <c r="R51" i="29"/>
  <c r="R52" i="29"/>
  <c r="R53" i="29"/>
  <c r="R54" i="29"/>
  <c r="Q39" i="28"/>
  <c r="C42" i="28"/>
  <c r="F42" i="28"/>
  <c r="B42" i="28"/>
  <c r="H41" i="28"/>
  <c r="I41" i="28" s="1"/>
  <c r="T39" i="28"/>
  <c r="I40" i="28"/>
  <c r="Q40" i="28" s="1"/>
  <c r="V39" i="28"/>
  <c r="P39" i="28"/>
  <c r="AY39" i="26"/>
  <c r="BI39" i="26" s="1"/>
  <c r="AW39" i="26"/>
  <c r="BG39" i="26" s="1"/>
  <c r="AV39" i="26"/>
  <c r="BF39" i="26" s="1"/>
  <c r="AS39" i="26"/>
  <c r="BC39" i="26" s="1"/>
  <c r="Y39" i="26"/>
  <c r="X39" i="26"/>
  <c r="W39" i="26"/>
  <c r="V39" i="26"/>
  <c r="U39" i="26"/>
  <c r="T39" i="26"/>
  <c r="S39" i="26"/>
  <c r="R39" i="26"/>
  <c r="I39" i="26"/>
  <c r="Z39" i="26" s="1"/>
  <c r="AO39" i="26" s="1"/>
  <c r="BA39" i="26" s="1"/>
  <c r="BK39" i="26" s="1"/>
  <c r="BA38" i="26"/>
  <c r="BK38" i="26" s="1"/>
  <c r="AS38" i="26"/>
  <c r="Z38" i="26"/>
  <c r="R38" i="26"/>
  <c r="O33" i="26"/>
  <c r="N33" i="26"/>
  <c r="H33" i="26"/>
  <c r="G33" i="26"/>
  <c r="E33" i="26"/>
  <c r="D33" i="26"/>
  <c r="B33" i="26"/>
  <c r="A33" i="26"/>
  <c r="O32" i="26"/>
  <c r="N32" i="26"/>
  <c r="H32" i="26"/>
  <c r="G32" i="26"/>
  <c r="E32" i="26"/>
  <c r="D32" i="26"/>
  <c r="B32" i="26"/>
  <c r="A32" i="26"/>
  <c r="O31" i="26"/>
  <c r="N31" i="26"/>
  <c r="H31" i="26"/>
  <c r="G31" i="26"/>
  <c r="E31" i="26"/>
  <c r="D31" i="26"/>
  <c r="B31" i="26"/>
  <c r="A31" i="26"/>
  <c r="O30" i="26"/>
  <c r="N30" i="26"/>
  <c r="H30" i="26"/>
  <c r="G30" i="26"/>
  <c r="E30" i="26"/>
  <c r="D30" i="26"/>
  <c r="B30" i="26"/>
  <c r="A30" i="26"/>
  <c r="O29" i="26"/>
  <c r="N29" i="26"/>
  <c r="H29" i="26"/>
  <c r="G29" i="26"/>
  <c r="E29" i="26"/>
  <c r="D29" i="26"/>
  <c r="B29" i="26"/>
  <c r="A29" i="26"/>
  <c r="O28" i="26"/>
  <c r="N28" i="26"/>
  <c r="H28" i="26"/>
  <c r="G28" i="26"/>
  <c r="E28" i="26"/>
  <c r="D28" i="26"/>
  <c r="B28" i="26"/>
  <c r="A28" i="26"/>
  <c r="A64" i="26" s="1"/>
  <c r="O27" i="26"/>
  <c r="N27" i="26"/>
  <c r="H27" i="26"/>
  <c r="G27" i="26"/>
  <c r="E27" i="26"/>
  <c r="D27" i="26"/>
  <c r="B27" i="26"/>
  <c r="A27" i="26"/>
  <c r="A63" i="26" s="1"/>
  <c r="O26" i="26"/>
  <c r="N26" i="26"/>
  <c r="H26" i="26"/>
  <c r="G26" i="26"/>
  <c r="E26" i="26"/>
  <c r="D26" i="26"/>
  <c r="B26" i="26"/>
  <c r="A26" i="26"/>
  <c r="A62" i="26" s="1"/>
  <c r="O25" i="26"/>
  <c r="N25" i="26"/>
  <c r="H25" i="26"/>
  <c r="G25" i="26"/>
  <c r="E25" i="26"/>
  <c r="D25" i="26"/>
  <c r="B25" i="26"/>
  <c r="A25" i="26"/>
  <c r="A61" i="26" s="1"/>
  <c r="O24" i="26"/>
  <c r="N24" i="26"/>
  <c r="H24" i="26"/>
  <c r="G24" i="26"/>
  <c r="E24" i="26"/>
  <c r="D24" i="26"/>
  <c r="B24" i="26"/>
  <c r="A24" i="26"/>
  <c r="A60" i="26" s="1"/>
  <c r="O23" i="26"/>
  <c r="N23" i="26"/>
  <c r="H23" i="26"/>
  <c r="G23" i="26"/>
  <c r="E23" i="26"/>
  <c r="D23" i="26"/>
  <c r="B23" i="26"/>
  <c r="A23" i="26"/>
  <c r="A59" i="26" s="1"/>
  <c r="O22" i="26"/>
  <c r="N22" i="26"/>
  <c r="H22" i="26"/>
  <c r="G22" i="26"/>
  <c r="E22" i="26"/>
  <c r="D22" i="26"/>
  <c r="B22" i="26"/>
  <c r="A22" i="26"/>
  <c r="A58" i="26" s="1"/>
  <c r="O21" i="26"/>
  <c r="N21" i="26"/>
  <c r="H21" i="26"/>
  <c r="G21" i="26"/>
  <c r="E21" i="26"/>
  <c r="D21" i="26"/>
  <c r="B21" i="26"/>
  <c r="A21" i="26"/>
  <c r="A57" i="26" s="1"/>
  <c r="O20" i="26"/>
  <c r="N20" i="26"/>
  <c r="H20" i="26"/>
  <c r="G20" i="26"/>
  <c r="E20" i="26"/>
  <c r="D20" i="26"/>
  <c r="B20" i="26"/>
  <c r="A20" i="26"/>
  <c r="A56" i="26" s="1"/>
  <c r="O19" i="26"/>
  <c r="N19" i="26"/>
  <c r="H19" i="26"/>
  <c r="G19" i="26"/>
  <c r="E19" i="26"/>
  <c r="D19" i="26"/>
  <c r="B19" i="26"/>
  <c r="A19" i="26"/>
  <c r="A55" i="26" s="1"/>
  <c r="O18" i="26"/>
  <c r="N18" i="26"/>
  <c r="H18" i="26"/>
  <c r="G18" i="26"/>
  <c r="E18" i="26"/>
  <c r="D18" i="26"/>
  <c r="B18" i="26"/>
  <c r="A18" i="26"/>
  <c r="A54" i="26" s="1"/>
  <c r="O17" i="26"/>
  <c r="N17" i="26"/>
  <c r="H17" i="26"/>
  <c r="G17" i="26"/>
  <c r="E17" i="26"/>
  <c r="D17" i="26"/>
  <c r="B17" i="26"/>
  <c r="A17" i="26"/>
  <c r="A53" i="26" s="1"/>
  <c r="O16" i="26"/>
  <c r="N16" i="26"/>
  <c r="H16" i="26"/>
  <c r="G16" i="26"/>
  <c r="E16" i="26"/>
  <c r="D16" i="26"/>
  <c r="B16" i="26"/>
  <c r="A16" i="26"/>
  <c r="A52" i="26" s="1"/>
  <c r="O15" i="26"/>
  <c r="N15" i="26"/>
  <c r="H15" i="26"/>
  <c r="G15" i="26"/>
  <c r="E15" i="26"/>
  <c r="D15" i="26"/>
  <c r="B15" i="26"/>
  <c r="A15" i="26"/>
  <c r="A51" i="26" s="1"/>
  <c r="O14" i="26"/>
  <c r="N14" i="26"/>
  <c r="H14" i="26"/>
  <c r="G14" i="26"/>
  <c r="C14" i="26"/>
  <c r="B14" i="26"/>
  <c r="A14" i="26"/>
  <c r="A50" i="26" s="1"/>
  <c r="R50" i="26" s="1"/>
  <c r="O13" i="26"/>
  <c r="N13" i="26"/>
  <c r="H13" i="26"/>
  <c r="G13" i="26"/>
  <c r="C13" i="26"/>
  <c r="B13" i="26"/>
  <c r="A13" i="26"/>
  <c r="A49" i="26" s="1"/>
  <c r="R49" i="26" s="1"/>
  <c r="O12" i="26"/>
  <c r="N12" i="26"/>
  <c r="H12" i="26"/>
  <c r="F12" i="26"/>
  <c r="C12" i="26"/>
  <c r="B12" i="26"/>
  <c r="A12" i="26"/>
  <c r="A48" i="26" s="1"/>
  <c r="O11" i="26"/>
  <c r="N11" i="26"/>
  <c r="H11" i="26"/>
  <c r="F11" i="26"/>
  <c r="C11" i="26"/>
  <c r="B11" i="26"/>
  <c r="A11" i="26"/>
  <c r="A47" i="26" s="1"/>
  <c r="R47" i="26" s="1"/>
  <c r="O10" i="26"/>
  <c r="N10" i="26"/>
  <c r="H10" i="26"/>
  <c r="F10" i="26"/>
  <c r="C10" i="26"/>
  <c r="B10" i="26"/>
  <c r="A10" i="26"/>
  <c r="A46" i="26" s="1"/>
  <c r="O9" i="26"/>
  <c r="N9" i="26"/>
  <c r="H9" i="26"/>
  <c r="F9" i="26"/>
  <c r="C9" i="26"/>
  <c r="B9" i="26"/>
  <c r="A9" i="26"/>
  <c r="A45" i="26" s="1"/>
  <c r="O8" i="26"/>
  <c r="N8" i="26"/>
  <c r="H8" i="26"/>
  <c r="F8" i="26"/>
  <c r="C8" i="26"/>
  <c r="B8" i="26"/>
  <c r="A8" i="26"/>
  <c r="A44" i="26" s="1"/>
  <c r="O7" i="26"/>
  <c r="N7" i="26"/>
  <c r="H7" i="26"/>
  <c r="F7" i="26"/>
  <c r="C7" i="26"/>
  <c r="B7" i="26"/>
  <c r="A7" i="26"/>
  <c r="A43" i="26" s="1"/>
  <c r="O6" i="26"/>
  <c r="N6" i="26"/>
  <c r="H6" i="26"/>
  <c r="F6" i="26"/>
  <c r="C6" i="26"/>
  <c r="B6" i="26"/>
  <c r="A6" i="26"/>
  <c r="A42" i="26" s="1"/>
  <c r="O5" i="26"/>
  <c r="N5" i="26"/>
  <c r="H5" i="26"/>
  <c r="F5" i="26"/>
  <c r="C5" i="26"/>
  <c r="B5" i="26"/>
  <c r="A5" i="26"/>
  <c r="A41" i="26" s="1"/>
  <c r="R41" i="26" s="1"/>
  <c r="O4" i="26"/>
  <c r="N4" i="26"/>
  <c r="H4" i="26"/>
  <c r="H40" i="26" s="1"/>
  <c r="F4" i="26"/>
  <c r="F40" i="26" s="1"/>
  <c r="C4" i="26"/>
  <c r="C40" i="26" s="1"/>
  <c r="B4" i="26"/>
  <c r="B40" i="26" s="1"/>
  <c r="A4" i="26"/>
  <c r="A40" i="26" s="1"/>
  <c r="O3" i="26"/>
  <c r="N3" i="26"/>
  <c r="H3" i="26"/>
  <c r="H38" i="26" s="1"/>
  <c r="G3" i="26"/>
  <c r="G38" i="26" s="1"/>
  <c r="F3" i="26"/>
  <c r="F38" i="26" s="1"/>
  <c r="E3" i="26"/>
  <c r="E38" i="26" s="1"/>
  <c r="D3" i="26"/>
  <c r="D38" i="26" s="1"/>
  <c r="C3" i="26"/>
  <c r="C38" i="26" s="1"/>
  <c r="B3" i="26"/>
  <c r="B38" i="26" s="1"/>
  <c r="A3" i="26"/>
  <c r="H2" i="26"/>
  <c r="H37" i="26" s="1"/>
  <c r="G2" i="26"/>
  <c r="G37" i="26" s="1"/>
  <c r="X37" i="26" s="1"/>
  <c r="F2" i="26"/>
  <c r="F37" i="26" s="1"/>
  <c r="AL37" i="26" s="1"/>
  <c r="AX37" i="26" s="1"/>
  <c r="BH37" i="26" s="1"/>
  <c r="E2" i="26"/>
  <c r="E37" i="26" s="1"/>
  <c r="D2" i="26"/>
  <c r="D37" i="26" s="1"/>
  <c r="C2" i="26"/>
  <c r="C37" i="26" s="1"/>
  <c r="T37" i="26" s="1"/>
  <c r="B2" i="26"/>
  <c r="B37" i="26" s="1"/>
  <c r="AH37" i="26" s="1"/>
  <c r="AT37" i="26" s="1"/>
  <c r="BD37" i="26" s="1"/>
  <c r="AH39" i="25"/>
  <c r="AR39" i="25" s="1"/>
  <c r="AB39" i="25"/>
  <c r="AL39" i="25" s="1"/>
  <c r="AF39" i="25"/>
  <c r="AP39" i="25" s="1"/>
  <c r="AE39" i="25"/>
  <c r="AO39" i="25" s="1"/>
  <c r="AJ38" i="25"/>
  <c r="AT38" i="25" s="1"/>
  <c r="AB38" i="25"/>
  <c r="H33" i="25"/>
  <c r="G33" i="25"/>
  <c r="E33" i="25"/>
  <c r="D33" i="25"/>
  <c r="B33" i="25"/>
  <c r="A33" i="25"/>
  <c r="H32" i="25"/>
  <c r="G32" i="25"/>
  <c r="E32" i="25"/>
  <c r="D32" i="25"/>
  <c r="B32" i="25"/>
  <c r="A32" i="25"/>
  <c r="H31" i="25"/>
  <c r="G31" i="25"/>
  <c r="E31" i="25"/>
  <c r="D31" i="25"/>
  <c r="B31" i="25"/>
  <c r="A31" i="25"/>
  <c r="H30" i="25"/>
  <c r="G30" i="25"/>
  <c r="E30" i="25"/>
  <c r="D30" i="25"/>
  <c r="B30" i="25"/>
  <c r="A30" i="25"/>
  <c r="H29" i="25"/>
  <c r="G29" i="25"/>
  <c r="E29" i="25"/>
  <c r="D29" i="25"/>
  <c r="B29" i="25"/>
  <c r="A29" i="25"/>
  <c r="H28" i="25"/>
  <c r="G28" i="25"/>
  <c r="E28" i="25"/>
  <c r="D28" i="25"/>
  <c r="B28" i="25"/>
  <c r="A28" i="25"/>
  <c r="A64" i="25" s="1"/>
  <c r="H27" i="25"/>
  <c r="G27" i="25"/>
  <c r="E27" i="25"/>
  <c r="D27" i="25"/>
  <c r="B27" i="25"/>
  <c r="A27" i="25"/>
  <c r="A63" i="25" s="1"/>
  <c r="H26" i="25"/>
  <c r="G26" i="25"/>
  <c r="E26" i="25"/>
  <c r="D26" i="25"/>
  <c r="B26" i="25"/>
  <c r="A26" i="25"/>
  <c r="A62" i="25" s="1"/>
  <c r="O62" i="25" s="1"/>
  <c r="AB62" i="25" s="1"/>
  <c r="H25" i="25"/>
  <c r="G25" i="25"/>
  <c r="E25" i="25"/>
  <c r="D25" i="25"/>
  <c r="B25" i="25"/>
  <c r="A25" i="25"/>
  <c r="A61" i="25" s="1"/>
  <c r="H24" i="25"/>
  <c r="G24" i="25"/>
  <c r="E24" i="25"/>
  <c r="D24" i="25"/>
  <c r="B24" i="25"/>
  <c r="A24" i="25"/>
  <c r="A60" i="25" s="1"/>
  <c r="AL60" i="25" s="1"/>
  <c r="H23" i="25"/>
  <c r="G23" i="25"/>
  <c r="E23" i="25"/>
  <c r="D23" i="25"/>
  <c r="B23" i="25"/>
  <c r="A23" i="25"/>
  <c r="A59" i="25" s="1"/>
  <c r="H22" i="25"/>
  <c r="G22" i="25"/>
  <c r="E22" i="25"/>
  <c r="D22" i="25"/>
  <c r="B22" i="25"/>
  <c r="A22" i="25"/>
  <c r="A58" i="25" s="1"/>
  <c r="H21" i="25"/>
  <c r="G21" i="25"/>
  <c r="E21" i="25"/>
  <c r="D21" i="25"/>
  <c r="B21" i="25"/>
  <c r="A21" i="25"/>
  <c r="A57" i="25" s="1"/>
  <c r="H20" i="25"/>
  <c r="G20" i="25"/>
  <c r="E20" i="25"/>
  <c r="D20" i="25"/>
  <c r="B20" i="25"/>
  <c r="A20" i="25"/>
  <c r="A56" i="25" s="1"/>
  <c r="O56" i="25" s="1"/>
  <c r="AB56" i="25" s="1"/>
  <c r="H19" i="25"/>
  <c r="G19" i="25"/>
  <c r="E19" i="25"/>
  <c r="D19" i="25"/>
  <c r="B19" i="25"/>
  <c r="A19" i="25"/>
  <c r="A55" i="25" s="1"/>
  <c r="H18" i="25"/>
  <c r="G18" i="25"/>
  <c r="E18" i="25"/>
  <c r="D18" i="25"/>
  <c r="B18" i="25"/>
  <c r="A18" i="25"/>
  <c r="A54" i="25" s="1"/>
  <c r="AL54" i="25" s="1"/>
  <c r="H17" i="25"/>
  <c r="G17" i="25"/>
  <c r="E17" i="25"/>
  <c r="D17" i="25"/>
  <c r="B17" i="25"/>
  <c r="A17" i="25"/>
  <c r="A53" i="25" s="1"/>
  <c r="H16" i="25"/>
  <c r="G16" i="25"/>
  <c r="E16" i="25"/>
  <c r="D16" i="25"/>
  <c r="B16" i="25"/>
  <c r="A16" i="25"/>
  <c r="A52" i="25" s="1"/>
  <c r="H15" i="25"/>
  <c r="G15" i="25"/>
  <c r="E15" i="25"/>
  <c r="D15" i="25"/>
  <c r="B15" i="25"/>
  <c r="A15" i="25"/>
  <c r="A51" i="25" s="1"/>
  <c r="AL51" i="25" s="1"/>
  <c r="H14" i="25"/>
  <c r="G14" i="25"/>
  <c r="G50" i="25" s="1"/>
  <c r="C14" i="25"/>
  <c r="B14" i="25"/>
  <c r="A14" i="25"/>
  <c r="A50" i="25" s="1"/>
  <c r="H13" i="25"/>
  <c r="G13" i="25"/>
  <c r="C13" i="25"/>
  <c r="B13" i="25"/>
  <c r="A13" i="25"/>
  <c r="A49" i="25" s="1"/>
  <c r="AL49" i="25" s="1"/>
  <c r="H12" i="25"/>
  <c r="F12" i="25"/>
  <c r="C12" i="25"/>
  <c r="B12" i="25"/>
  <c r="A12" i="25"/>
  <c r="A48" i="25" s="1"/>
  <c r="O48" i="25" s="1"/>
  <c r="AB48" i="25" s="1"/>
  <c r="H11" i="25"/>
  <c r="F11" i="25"/>
  <c r="C11" i="25"/>
  <c r="B11" i="25"/>
  <c r="A11" i="25"/>
  <c r="A47" i="25" s="1"/>
  <c r="AL47" i="25" s="1"/>
  <c r="H10" i="25"/>
  <c r="F10" i="25"/>
  <c r="C10" i="25"/>
  <c r="B10" i="25"/>
  <c r="A10" i="25"/>
  <c r="A46" i="25" s="1"/>
  <c r="H9" i="25"/>
  <c r="F9" i="25"/>
  <c r="C9" i="25"/>
  <c r="B9" i="25"/>
  <c r="A9" i="25"/>
  <c r="A45" i="25" s="1"/>
  <c r="AL45" i="25" s="1"/>
  <c r="H8" i="25"/>
  <c r="F8" i="25"/>
  <c r="C8" i="25"/>
  <c r="B8" i="25"/>
  <c r="A8" i="25"/>
  <c r="A44" i="25" s="1"/>
  <c r="O44" i="25" s="1"/>
  <c r="AB44" i="25" s="1"/>
  <c r="H7" i="25"/>
  <c r="F7" i="25"/>
  <c r="C7" i="25"/>
  <c r="B7" i="25"/>
  <c r="A7" i="25"/>
  <c r="A43" i="25" s="1"/>
  <c r="AL43" i="25" s="1"/>
  <c r="H6" i="25"/>
  <c r="F6" i="25"/>
  <c r="C6" i="25"/>
  <c r="B6" i="25"/>
  <c r="A6" i="25"/>
  <c r="A42" i="25" s="1"/>
  <c r="H5" i="25"/>
  <c r="F5" i="25"/>
  <c r="C5" i="25"/>
  <c r="B5" i="25"/>
  <c r="A5" i="25"/>
  <c r="A41" i="25" s="1"/>
  <c r="AL41" i="25" s="1"/>
  <c r="H4" i="25"/>
  <c r="F4" i="25"/>
  <c r="F40" i="25" s="1"/>
  <c r="C4" i="25"/>
  <c r="C40" i="25" s="1"/>
  <c r="B4" i="25"/>
  <c r="B40" i="25" s="1"/>
  <c r="A4" i="25"/>
  <c r="A40" i="25" s="1"/>
  <c r="O40" i="25" s="1"/>
  <c r="AB40" i="25" s="1"/>
  <c r="H3" i="25"/>
  <c r="H38" i="25" s="1"/>
  <c r="V38" i="25" s="1"/>
  <c r="AI38" i="25" s="1"/>
  <c r="AS38" i="25" s="1"/>
  <c r="G3" i="25"/>
  <c r="G38" i="25" s="1"/>
  <c r="U38" i="25" s="1"/>
  <c r="AH38" i="25" s="1"/>
  <c r="AR38" i="25" s="1"/>
  <c r="F3" i="25"/>
  <c r="F38" i="25" s="1"/>
  <c r="T38" i="25" s="1"/>
  <c r="AG38" i="25" s="1"/>
  <c r="AQ38" i="25" s="1"/>
  <c r="E3" i="25"/>
  <c r="E38" i="25" s="1"/>
  <c r="S38" i="25" s="1"/>
  <c r="AF38" i="25" s="1"/>
  <c r="AP38" i="25" s="1"/>
  <c r="D3" i="25"/>
  <c r="D38" i="25" s="1"/>
  <c r="R38" i="25" s="1"/>
  <c r="AE38" i="25" s="1"/>
  <c r="AO38" i="25" s="1"/>
  <c r="C3" i="25"/>
  <c r="C38" i="25" s="1"/>
  <c r="Q38" i="25" s="1"/>
  <c r="AD38" i="25" s="1"/>
  <c r="AN38" i="25" s="1"/>
  <c r="B3" i="25"/>
  <c r="B38" i="25" s="1"/>
  <c r="P38" i="25" s="1"/>
  <c r="AC38" i="25" s="1"/>
  <c r="AM38" i="25" s="1"/>
  <c r="A3" i="25"/>
  <c r="H2" i="25"/>
  <c r="H37" i="25" s="1"/>
  <c r="V37" i="25" s="1"/>
  <c r="AI37" i="25" s="1"/>
  <c r="AS37" i="25" s="1"/>
  <c r="G2" i="25"/>
  <c r="G37" i="25" s="1"/>
  <c r="U37" i="25" s="1"/>
  <c r="AH37" i="25" s="1"/>
  <c r="AR37" i="25" s="1"/>
  <c r="F2" i="25"/>
  <c r="F37" i="25" s="1"/>
  <c r="T37" i="25" s="1"/>
  <c r="AG37" i="25" s="1"/>
  <c r="AQ37" i="25" s="1"/>
  <c r="E2" i="25"/>
  <c r="E37" i="25" s="1"/>
  <c r="S37" i="25" s="1"/>
  <c r="AF37" i="25" s="1"/>
  <c r="AP37" i="25" s="1"/>
  <c r="D2" i="25"/>
  <c r="D37" i="25" s="1"/>
  <c r="R37" i="25" s="1"/>
  <c r="AE37" i="25" s="1"/>
  <c r="AO37" i="25" s="1"/>
  <c r="C2" i="25"/>
  <c r="C37" i="25" s="1"/>
  <c r="Q37" i="25" s="1"/>
  <c r="AD37" i="25" s="1"/>
  <c r="AN37" i="25" s="1"/>
  <c r="B2" i="25"/>
  <c r="B37" i="25" s="1"/>
  <c r="P37" i="25" s="1"/>
  <c r="AC37" i="25" s="1"/>
  <c r="AM37" i="25" s="1"/>
  <c r="S38" i="26" l="1"/>
  <c r="AH38" i="26"/>
  <c r="AT38" i="26" s="1"/>
  <c r="BD38" i="26" s="1"/>
  <c r="W38" i="26"/>
  <c r="AL38" i="26"/>
  <c r="AX38" i="26" s="1"/>
  <c r="BH38" i="26" s="1"/>
  <c r="AL56" i="25"/>
  <c r="AL62" i="25"/>
  <c r="AG47" i="26"/>
  <c r="AS47" i="26" s="1"/>
  <c r="BC47" i="26" s="1"/>
  <c r="O60" i="25"/>
  <c r="AB60" i="25" s="1"/>
  <c r="J40" i="29"/>
  <c r="K40" i="29" s="1"/>
  <c r="L40" i="29" s="1"/>
  <c r="J41" i="28"/>
  <c r="K41" i="28" s="1"/>
  <c r="L41" i="28" s="1"/>
  <c r="Q41" i="28"/>
  <c r="P41" i="28"/>
  <c r="T41" i="28"/>
  <c r="J40" i="28"/>
  <c r="K40" i="28" s="1"/>
  <c r="L40" i="28" s="1"/>
  <c r="T40" i="28"/>
  <c r="F43" i="28"/>
  <c r="C43" i="28"/>
  <c r="H42" i="28"/>
  <c r="I42" i="28" s="1"/>
  <c r="V41" i="28"/>
  <c r="P40" i="28"/>
  <c r="V40" i="28"/>
  <c r="B43" i="28"/>
  <c r="AL39" i="26"/>
  <c r="AX39" i="26" s="1"/>
  <c r="BH39" i="26" s="1"/>
  <c r="AG48" i="26"/>
  <c r="AS48" i="26" s="1"/>
  <c r="BC48" i="26" s="1"/>
  <c r="N48" i="26"/>
  <c r="R48" i="26"/>
  <c r="AI37" i="26"/>
  <c r="AU37" i="26" s="1"/>
  <c r="BE37" i="26" s="1"/>
  <c r="AK38" i="26"/>
  <c r="AW38" i="26" s="1"/>
  <c r="BG38" i="26" s="1"/>
  <c r="V38" i="26"/>
  <c r="AG42" i="26"/>
  <c r="AS42" i="26" s="1"/>
  <c r="BC42" i="26" s="1"/>
  <c r="N42" i="26"/>
  <c r="S37" i="26"/>
  <c r="AI39" i="26"/>
  <c r="AU39" i="26" s="1"/>
  <c r="BE39" i="26" s="1"/>
  <c r="N41" i="26"/>
  <c r="AI38" i="26"/>
  <c r="AU38" i="26" s="1"/>
  <c r="BE38" i="26" s="1"/>
  <c r="T38" i="26"/>
  <c r="AG40" i="26"/>
  <c r="AS40" i="26" s="1"/>
  <c r="BC40" i="26" s="1"/>
  <c r="N40" i="26"/>
  <c r="AG44" i="26"/>
  <c r="AS44" i="26" s="1"/>
  <c r="BC44" i="26" s="1"/>
  <c r="N44" i="26"/>
  <c r="R44" i="26"/>
  <c r="R45" i="26"/>
  <c r="AG45" i="26"/>
  <c r="AS45" i="26" s="1"/>
  <c r="BC45" i="26" s="1"/>
  <c r="N45" i="26"/>
  <c r="W37" i="26"/>
  <c r="AN39" i="26"/>
  <c r="AZ39" i="26" s="1"/>
  <c r="BJ39" i="26" s="1"/>
  <c r="AM38" i="26"/>
  <c r="AY38" i="26" s="1"/>
  <c r="BI38" i="26" s="1"/>
  <c r="X38" i="26"/>
  <c r="R40" i="26"/>
  <c r="U37" i="26"/>
  <c r="AJ37" i="26"/>
  <c r="AV37" i="26" s="1"/>
  <c r="BF37" i="26" s="1"/>
  <c r="Y37" i="26"/>
  <c r="AN37" i="26"/>
  <c r="AZ37" i="26" s="1"/>
  <c r="BJ37" i="26" s="1"/>
  <c r="AJ38" i="26"/>
  <c r="AV38" i="26" s="1"/>
  <c r="BF38" i="26" s="1"/>
  <c r="U38" i="26"/>
  <c r="AN38" i="26"/>
  <c r="AZ38" i="26" s="1"/>
  <c r="BJ38" i="26" s="1"/>
  <c r="Y38" i="26"/>
  <c r="I40" i="26"/>
  <c r="O40" i="26" s="1"/>
  <c r="Y40" i="26" s="1"/>
  <c r="AG43" i="26"/>
  <c r="AS43" i="26" s="1"/>
  <c r="BC43" i="26" s="1"/>
  <c r="R43" i="26"/>
  <c r="N43" i="26"/>
  <c r="AG58" i="26"/>
  <c r="AS58" i="26" s="1"/>
  <c r="BC58" i="26" s="1"/>
  <c r="R58" i="26"/>
  <c r="N58" i="26"/>
  <c r="V37" i="26"/>
  <c r="AK37" i="26"/>
  <c r="AW37" i="26" s="1"/>
  <c r="BG37" i="26" s="1"/>
  <c r="AM37" i="26"/>
  <c r="AY37" i="26" s="1"/>
  <c r="BI37" i="26" s="1"/>
  <c r="AH39" i="26"/>
  <c r="AT39" i="26" s="1"/>
  <c r="BD39" i="26" s="1"/>
  <c r="AG41" i="26"/>
  <c r="AS41" i="26" s="1"/>
  <c r="BC41" i="26" s="1"/>
  <c r="R42" i="26"/>
  <c r="AG54" i="26"/>
  <c r="AS54" i="26" s="1"/>
  <c r="BC54" i="26" s="1"/>
  <c r="N54" i="26"/>
  <c r="R51" i="26"/>
  <c r="AG51" i="26"/>
  <c r="AS51" i="26" s="1"/>
  <c r="BC51" i="26" s="1"/>
  <c r="N51" i="26"/>
  <c r="R52" i="26"/>
  <c r="AG52" i="26"/>
  <c r="AS52" i="26" s="1"/>
  <c r="BC52" i="26" s="1"/>
  <c r="N53" i="26"/>
  <c r="R53" i="26"/>
  <c r="R55" i="26"/>
  <c r="AG55" i="26"/>
  <c r="AS55" i="26" s="1"/>
  <c r="BC55" i="26" s="1"/>
  <c r="N55" i="26"/>
  <c r="R56" i="26"/>
  <c r="AG56" i="26"/>
  <c r="AS56" i="26" s="1"/>
  <c r="BC56" i="26" s="1"/>
  <c r="N57" i="26"/>
  <c r="R57" i="26"/>
  <c r="N59" i="26"/>
  <c r="AG59" i="26"/>
  <c r="AS59" i="26" s="1"/>
  <c r="BC59" i="26" s="1"/>
  <c r="R59" i="26"/>
  <c r="AG60" i="26"/>
  <c r="AS60" i="26" s="1"/>
  <c r="BC60" i="26" s="1"/>
  <c r="N60" i="26"/>
  <c r="R61" i="26"/>
  <c r="AG61" i="26"/>
  <c r="AS61" i="26" s="1"/>
  <c r="BC61" i="26" s="1"/>
  <c r="N61" i="26"/>
  <c r="R62" i="26"/>
  <c r="AG62" i="26"/>
  <c r="AS62" i="26" s="1"/>
  <c r="BC62" i="26" s="1"/>
  <c r="N62" i="26"/>
  <c r="AG63" i="26"/>
  <c r="AS63" i="26" s="1"/>
  <c r="BC63" i="26" s="1"/>
  <c r="N63" i="26"/>
  <c r="R63" i="26"/>
  <c r="R64" i="26"/>
  <c r="AG64" i="26"/>
  <c r="AS64" i="26" s="1"/>
  <c r="BC64" i="26" s="1"/>
  <c r="N64" i="26"/>
  <c r="N47" i="26"/>
  <c r="AG49" i="26"/>
  <c r="AS49" i="26" s="1"/>
  <c r="BC49" i="26" s="1"/>
  <c r="AG57" i="26"/>
  <c r="AS57" i="26" s="1"/>
  <c r="BC57" i="26" s="1"/>
  <c r="R60" i="26"/>
  <c r="AG46" i="26"/>
  <c r="AS46" i="26" s="1"/>
  <c r="BC46" i="26" s="1"/>
  <c r="N46" i="26"/>
  <c r="AG50" i="26"/>
  <c r="AS50" i="26" s="1"/>
  <c r="BC50" i="26" s="1"/>
  <c r="N50" i="26"/>
  <c r="N49" i="26"/>
  <c r="AG53" i="26"/>
  <c r="AS53" i="26" s="1"/>
  <c r="BC53" i="26" s="1"/>
  <c r="N56" i="26"/>
  <c r="R46" i="26"/>
  <c r="N52" i="26"/>
  <c r="R54" i="26"/>
  <c r="O46" i="25"/>
  <c r="AB46" i="25" s="1"/>
  <c r="AL46" i="25"/>
  <c r="O50" i="25"/>
  <c r="AB50" i="25" s="1"/>
  <c r="AL50" i="25"/>
  <c r="O42" i="25"/>
  <c r="AB42" i="25" s="1"/>
  <c r="AL42" i="25"/>
  <c r="AL53" i="25"/>
  <c r="O53" i="25"/>
  <c r="AB53" i="25" s="1"/>
  <c r="AL58" i="25"/>
  <c r="O58" i="25"/>
  <c r="AB58" i="25" s="1"/>
  <c r="AL59" i="25"/>
  <c r="O59" i="25"/>
  <c r="AB59" i="25" s="1"/>
  <c r="H40" i="25"/>
  <c r="O51" i="25"/>
  <c r="AB51" i="25" s="1"/>
  <c r="AL52" i="25"/>
  <c r="O52" i="25"/>
  <c r="AB52" i="25" s="1"/>
  <c r="AL57" i="25"/>
  <c r="O57" i="25"/>
  <c r="AB57" i="25" s="1"/>
  <c r="AL55" i="25"/>
  <c r="O55" i="25"/>
  <c r="AB55" i="25" s="1"/>
  <c r="AL61" i="25"/>
  <c r="O61" i="25"/>
  <c r="AB61" i="25" s="1"/>
  <c r="O63" i="25"/>
  <c r="AB63" i="25" s="1"/>
  <c r="AL63" i="25"/>
  <c r="O43" i="25"/>
  <c r="AB43" i="25" s="1"/>
  <c r="O47" i="25"/>
  <c r="AB47" i="25" s="1"/>
  <c r="AL40" i="25"/>
  <c r="O41" i="25"/>
  <c r="AB41" i="25" s="1"/>
  <c r="AL44" i="25"/>
  <c r="O45" i="25"/>
  <c r="AB45" i="25" s="1"/>
  <c r="AL48" i="25"/>
  <c r="O49" i="25"/>
  <c r="AB49" i="25" s="1"/>
  <c r="I39" i="25"/>
  <c r="P39" i="25" s="1"/>
  <c r="AL64" i="25"/>
  <c r="O64" i="25"/>
  <c r="AB64" i="25" s="1"/>
  <c r="O54" i="25"/>
  <c r="AB54" i="25" s="1"/>
  <c r="N32" i="24"/>
  <c r="O31" i="23"/>
  <c r="N30" i="24"/>
  <c r="N28" i="24"/>
  <c r="O27" i="23"/>
  <c r="N26" i="24"/>
  <c r="N24" i="24"/>
  <c r="O23" i="23"/>
  <c r="N22" i="24"/>
  <c r="N20" i="24"/>
  <c r="O19" i="23"/>
  <c r="N18" i="24"/>
  <c r="N16" i="24"/>
  <c r="O15" i="23"/>
  <c r="N14" i="24"/>
  <c r="O12" i="23"/>
  <c r="N12" i="23"/>
  <c r="O11" i="23"/>
  <c r="O10" i="24"/>
  <c r="N10" i="23"/>
  <c r="O8" i="22"/>
  <c r="N8" i="22"/>
  <c r="O7" i="24"/>
  <c r="N6" i="24"/>
  <c r="O4" i="23"/>
  <c r="N4" i="23"/>
  <c r="O3" i="23"/>
  <c r="BT39" i="24"/>
  <c r="AY39" i="24" s="1"/>
  <c r="BR39" i="24"/>
  <c r="AW39" i="24" s="1"/>
  <c r="BQ39" i="24"/>
  <c r="AV39" i="24" s="1"/>
  <c r="BN39" i="24"/>
  <c r="Y39" i="24"/>
  <c r="AN39" i="24" s="1"/>
  <c r="BU39" i="24" s="1"/>
  <c r="AZ39" i="24" s="1"/>
  <c r="X39" i="24"/>
  <c r="W39" i="24"/>
  <c r="V39" i="24"/>
  <c r="U39" i="24"/>
  <c r="T39" i="24"/>
  <c r="S39" i="24"/>
  <c r="R39" i="24"/>
  <c r="AS39" i="24" s="1"/>
  <c r="I39" i="24"/>
  <c r="Z39" i="24" s="1"/>
  <c r="AO39" i="24" s="1"/>
  <c r="BV39" i="24" s="1"/>
  <c r="BA39" i="24" s="1"/>
  <c r="BV38" i="24"/>
  <c r="BA38" i="24" s="1"/>
  <c r="BN38" i="24"/>
  <c r="Z38" i="24"/>
  <c r="R38" i="24"/>
  <c r="O33" i="24"/>
  <c r="N33" i="24"/>
  <c r="H33" i="24"/>
  <c r="G33" i="24"/>
  <c r="E33" i="24"/>
  <c r="D33" i="24"/>
  <c r="B33" i="24"/>
  <c r="A33" i="24"/>
  <c r="O32" i="24"/>
  <c r="H32" i="24"/>
  <c r="G32" i="24"/>
  <c r="E32" i="24"/>
  <c r="D32" i="24"/>
  <c r="B32" i="24"/>
  <c r="A32" i="24"/>
  <c r="O31" i="24"/>
  <c r="N31" i="24"/>
  <c r="H31" i="24"/>
  <c r="G31" i="24"/>
  <c r="E31" i="24"/>
  <c r="D31" i="24"/>
  <c r="B31" i="24"/>
  <c r="A31" i="24"/>
  <c r="O30" i="24"/>
  <c r="H30" i="24"/>
  <c r="G30" i="24"/>
  <c r="E30" i="24"/>
  <c r="D30" i="24"/>
  <c r="B30" i="24"/>
  <c r="A30" i="24"/>
  <c r="O29" i="24"/>
  <c r="N29" i="24"/>
  <c r="H29" i="24"/>
  <c r="G29" i="24"/>
  <c r="E29" i="24"/>
  <c r="D29" i="24"/>
  <c r="B29" i="24"/>
  <c r="A29" i="24"/>
  <c r="O28" i="24"/>
  <c r="H28" i="24"/>
  <c r="G28" i="24"/>
  <c r="E28" i="24"/>
  <c r="D28" i="24"/>
  <c r="B28" i="24"/>
  <c r="A28" i="24"/>
  <c r="A64" i="24" s="1"/>
  <c r="AG64" i="24" s="1"/>
  <c r="BN64" i="24" s="1"/>
  <c r="O27" i="24"/>
  <c r="N27" i="24"/>
  <c r="H27" i="24"/>
  <c r="G27" i="24"/>
  <c r="E27" i="24"/>
  <c r="D27" i="24"/>
  <c r="B27" i="24"/>
  <c r="A27" i="24"/>
  <c r="A63" i="24" s="1"/>
  <c r="O26" i="24"/>
  <c r="H26" i="24"/>
  <c r="G26" i="24"/>
  <c r="E26" i="24"/>
  <c r="D26" i="24"/>
  <c r="B26" i="24"/>
  <c r="A26" i="24"/>
  <c r="A62" i="24" s="1"/>
  <c r="O25" i="24"/>
  <c r="N25" i="24"/>
  <c r="H25" i="24"/>
  <c r="G25" i="24"/>
  <c r="E25" i="24"/>
  <c r="D25" i="24"/>
  <c r="B25" i="24"/>
  <c r="A25" i="24"/>
  <c r="A61" i="24" s="1"/>
  <c r="O24" i="24"/>
  <c r="H24" i="24"/>
  <c r="G24" i="24"/>
  <c r="E24" i="24"/>
  <c r="D24" i="24"/>
  <c r="B24" i="24"/>
  <c r="A24" i="24"/>
  <c r="A60" i="24" s="1"/>
  <c r="N60" i="24" s="1"/>
  <c r="O23" i="24"/>
  <c r="N23" i="24"/>
  <c r="H23" i="24"/>
  <c r="G23" i="24"/>
  <c r="E23" i="24"/>
  <c r="D23" i="24"/>
  <c r="B23" i="24"/>
  <c r="A23" i="24"/>
  <c r="A59" i="24" s="1"/>
  <c r="N59" i="24" s="1"/>
  <c r="O22" i="24"/>
  <c r="H22" i="24"/>
  <c r="G22" i="24"/>
  <c r="E22" i="24"/>
  <c r="D22" i="24"/>
  <c r="B22" i="24"/>
  <c r="A22" i="24"/>
  <c r="A58" i="24" s="1"/>
  <c r="O21" i="24"/>
  <c r="N21" i="24"/>
  <c r="H21" i="24"/>
  <c r="G21" i="24"/>
  <c r="E21" i="24"/>
  <c r="D21" i="24"/>
  <c r="B21" i="24"/>
  <c r="A21" i="24"/>
  <c r="A57" i="24" s="1"/>
  <c r="O20" i="24"/>
  <c r="H20" i="24"/>
  <c r="G20" i="24"/>
  <c r="E20" i="24"/>
  <c r="D20" i="24"/>
  <c r="B20" i="24"/>
  <c r="A20" i="24"/>
  <c r="A56" i="24" s="1"/>
  <c r="O19" i="24"/>
  <c r="N19" i="24"/>
  <c r="H19" i="24"/>
  <c r="G19" i="24"/>
  <c r="E19" i="24"/>
  <c r="D19" i="24"/>
  <c r="B19" i="24"/>
  <c r="A19" i="24"/>
  <c r="A55" i="24" s="1"/>
  <c r="R55" i="24" s="1"/>
  <c r="O18" i="24"/>
  <c r="H18" i="24"/>
  <c r="G18" i="24"/>
  <c r="E18" i="24"/>
  <c r="D18" i="24"/>
  <c r="B18" i="24"/>
  <c r="A18" i="24"/>
  <c r="A54" i="24" s="1"/>
  <c r="AG54" i="24" s="1"/>
  <c r="BN54" i="24" s="1"/>
  <c r="O17" i="24"/>
  <c r="N17" i="24"/>
  <c r="H17" i="24"/>
  <c r="G17" i="24"/>
  <c r="E17" i="24"/>
  <c r="D17" i="24"/>
  <c r="B17" i="24"/>
  <c r="A17" i="24"/>
  <c r="A53" i="24" s="1"/>
  <c r="R53" i="24" s="1"/>
  <c r="O16" i="24"/>
  <c r="H16" i="24"/>
  <c r="G16" i="24"/>
  <c r="E16" i="24"/>
  <c r="D16" i="24"/>
  <c r="B16" i="24"/>
  <c r="A16" i="24"/>
  <c r="A52" i="24" s="1"/>
  <c r="O15" i="24"/>
  <c r="N15" i="24"/>
  <c r="H15" i="24"/>
  <c r="G15" i="24"/>
  <c r="E15" i="24"/>
  <c r="D15" i="24"/>
  <c r="B15" i="24"/>
  <c r="A15" i="24"/>
  <c r="A51" i="24" s="1"/>
  <c r="AG51" i="24" s="1"/>
  <c r="BN51" i="24" s="1"/>
  <c r="O14" i="24"/>
  <c r="H14" i="24"/>
  <c r="G14" i="24"/>
  <c r="C14" i="24"/>
  <c r="B14" i="24"/>
  <c r="A14" i="24"/>
  <c r="A50" i="24" s="1"/>
  <c r="AG50" i="24" s="1"/>
  <c r="BN50" i="24" s="1"/>
  <c r="O13" i="24"/>
  <c r="N13" i="24"/>
  <c r="H13" i="24"/>
  <c r="G13" i="24"/>
  <c r="C13" i="24"/>
  <c r="B13" i="24"/>
  <c r="A13" i="24"/>
  <c r="A49" i="24" s="1"/>
  <c r="AG49" i="24" s="1"/>
  <c r="BN49" i="24" s="1"/>
  <c r="O12" i="24"/>
  <c r="N12" i="24"/>
  <c r="H12" i="24"/>
  <c r="F12" i="24"/>
  <c r="C12" i="24"/>
  <c r="B12" i="24"/>
  <c r="A12" i="24"/>
  <c r="A48" i="24" s="1"/>
  <c r="AG48" i="24" s="1"/>
  <c r="BN48" i="24" s="1"/>
  <c r="N11" i="24"/>
  <c r="H11" i="24"/>
  <c r="F11" i="24"/>
  <c r="C11" i="24"/>
  <c r="B11" i="24"/>
  <c r="A11" i="24"/>
  <c r="A47" i="24" s="1"/>
  <c r="H10" i="24"/>
  <c r="F10" i="24"/>
  <c r="C10" i="24"/>
  <c r="B10" i="24"/>
  <c r="A10" i="24"/>
  <c r="A46" i="24" s="1"/>
  <c r="O9" i="24"/>
  <c r="N9" i="24"/>
  <c r="H9" i="24"/>
  <c r="F9" i="24"/>
  <c r="C9" i="24"/>
  <c r="B9" i="24"/>
  <c r="A9" i="24"/>
  <c r="A45" i="24" s="1"/>
  <c r="O8" i="24"/>
  <c r="N8" i="24"/>
  <c r="H8" i="24"/>
  <c r="F8" i="24"/>
  <c r="C8" i="24"/>
  <c r="B8" i="24"/>
  <c r="A8" i="24"/>
  <c r="A44" i="24" s="1"/>
  <c r="AS44" i="24" s="1"/>
  <c r="N7" i="24"/>
  <c r="H7" i="24"/>
  <c r="F7" i="24"/>
  <c r="C7" i="24"/>
  <c r="B7" i="24"/>
  <c r="A7" i="24"/>
  <c r="A43" i="24" s="1"/>
  <c r="AS43" i="24" s="1"/>
  <c r="O6" i="24"/>
  <c r="H6" i="24"/>
  <c r="F6" i="24"/>
  <c r="C6" i="24"/>
  <c r="B6" i="24"/>
  <c r="A6" i="24"/>
  <c r="A42" i="24" s="1"/>
  <c r="O5" i="24"/>
  <c r="N5" i="24"/>
  <c r="H5" i="24"/>
  <c r="F5" i="24"/>
  <c r="C5" i="24"/>
  <c r="B5" i="24"/>
  <c r="A5" i="24"/>
  <c r="A41" i="24" s="1"/>
  <c r="O4" i="24"/>
  <c r="N4" i="24"/>
  <c r="H4" i="24"/>
  <c r="H40" i="24" s="1"/>
  <c r="F4" i="24"/>
  <c r="F40" i="24" s="1"/>
  <c r="C4" i="24"/>
  <c r="C40" i="24" s="1"/>
  <c r="B4" i="24"/>
  <c r="B40" i="24" s="1"/>
  <c r="A4" i="24"/>
  <c r="A40" i="24" s="1"/>
  <c r="N3" i="24"/>
  <c r="H3" i="24"/>
  <c r="H38" i="24" s="1"/>
  <c r="Y38" i="24" s="1"/>
  <c r="G3" i="24"/>
  <c r="G38" i="24" s="1"/>
  <c r="F3" i="24"/>
  <c r="F38" i="24" s="1"/>
  <c r="E3" i="24"/>
  <c r="E38" i="24" s="1"/>
  <c r="D3" i="24"/>
  <c r="D38" i="24" s="1"/>
  <c r="C3" i="24"/>
  <c r="C38" i="24" s="1"/>
  <c r="B3" i="24"/>
  <c r="B38" i="24" s="1"/>
  <c r="A3" i="24"/>
  <c r="H2" i="24"/>
  <c r="H37" i="24" s="1"/>
  <c r="G2" i="24"/>
  <c r="G37" i="24" s="1"/>
  <c r="X37" i="24" s="1"/>
  <c r="F2" i="24"/>
  <c r="F37" i="24" s="1"/>
  <c r="E2" i="24"/>
  <c r="E37" i="24" s="1"/>
  <c r="D2" i="24"/>
  <c r="D37" i="24" s="1"/>
  <c r="AJ37" i="24" s="1"/>
  <c r="BQ37" i="24" s="1"/>
  <c r="AV37" i="24" s="1"/>
  <c r="C2" i="24"/>
  <c r="C37" i="24" s="1"/>
  <c r="T37" i="24" s="1"/>
  <c r="B2" i="24"/>
  <c r="B37" i="24" s="1"/>
  <c r="BG39" i="23"/>
  <c r="AY39" i="23"/>
  <c r="BI39" i="23" s="1"/>
  <c r="AW39" i="23"/>
  <c r="AV39" i="23"/>
  <c r="BF39" i="23" s="1"/>
  <c r="AS39" i="23"/>
  <c r="BC39" i="23" s="1"/>
  <c r="Y39" i="23"/>
  <c r="X39" i="23"/>
  <c r="W39" i="23"/>
  <c r="V39" i="23"/>
  <c r="U39" i="23"/>
  <c r="T39" i="23"/>
  <c r="S39" i="23"/>
  <c r="R39" i="23"/>
  <c r="I39" i="23"/>
  <c r="Z39" i="23" s="1"/>
  <c r="BA38" i="23"/>
  <c r="BK38" i="23" s="1"/>
  <c r="AS38" i="23"/>
  <c r="Z38" i="23"/>
  <c r="R38" i="23"/>
  <c r="O33" i="23"/>
  <c r="N33" i="23"/>
  <c r="H33" i="23"/>
  <c r="G33" i="23"/>
  <c r="E33" i="23"/>
  <c r="D33" i="23"/>
  <c r="B33" i="23"/>
  <c r="A33" i="23"/>
  <c r="O32" i="23"/>
  <c r="N32" i="23"/>
  <c r="H32" i="23"/>
  <c r="G32" i="23"/>
  <c r="E32" i="23"/>
  <c r="D32" i="23"/>
  <c r="B32" i="23"/>
  <c r="A32" i="23"/>
  <c r="N31" i="23"/>
  <c r="H31" i="23"/>
  <c r="G31" i="23"/>
  <c r="E31" i="23"/>
  <c r="D31" i="23"/>
  <c r="B31" i="23"/>
  <c r="A31" i="23"/>
  <c r="O30" i="23"/>
  <c r="N30" i="23"/>
  <c r="H30" i="23"/>
  <c r="G30" i="23"/>
  <c r="E30" i="23"/>
  <c r="D30" i="23"/>
  <c r="B30" i="23"/>
  <c r="A30" i="23"/>
  <c r="O29" i="23"/>
  <c r="N29" i="23"/>
  <c r="H29" i="23"/>
  <c r="G29" i="23"/>
  <c r="E29" i="23"/>
  <c r="D29" i="23"/>
  <c r="B29" i="23"/>
  <c r="A29" i="23"/>
  <c r="O28" i="23"/>
  <c r="N28" i="23"/>
  <c r="H28" i="23"/>
  <c r="G28" i="23"/>
  <c r="E28" i="23"/>
  <c r="D28" i="23"/>
  <c r="B28" i="23"/>
  <c r="A28" i="23"/>
  <c r="A64" i="23" s="1"/>
  <c r="N27" i="23"/>
  <c r="H27" i="23"/>
  <c r="G27" i="23"/>
  <c r="E27" i="23"/>
  <c r="D27" i="23"/>
  <c r="B27" i="23"/>
  <c r="A27" i="23"/>
  <c r="A63" i="23" s="1"/>
  <c r="O26" i="23"/>
  <c r="N26" i="23"/>
  <c r="H26" i="23"/>
  <c r="G26" i="23"/>
  <c r="E26" i="23"/>
  <c r="D26" i="23"/>
  <c r="B26" i="23"/>
  <c r="A26" i="23"/>
  <c r="A62" i="23" s="1"/>
  <c r="O25" i="23"/>
  <c r="N25" i="23"/>
  <c r="H25" i="23"/>
  <c r="G25" i="23"/>
  <c r="E25" i="23"/>
  <c r="D25" i="23"/>
  <c r="B25" i="23"/>
  <c r="A25" i="23"/>
  <c r="A61" i="23" s="1"/>
  <c r="O24" i="23"/>
  <c r="N24" i="23"/>
  <c r="H24" i="23"/>
  <c r="G24" i="23"/>
  <c r="E24" i="23"/>
  <c r="D24" i="23"/>
  <c r="B24" i="23"/>
  <c r="A24" i="23"/>
  <c r="A60" i="23" s="1"/>
  <c r="N23" i="23"/>
  <c r="H23" i="23"/>
  <c r="G23" i="23"/>
  <c r="E23" i="23"/>
  <c r="D23" i="23"/>
  <c r="B23" i="23"/>
  <c r="A23" i="23"/>
  <c r="A59" i="23" s="1"/>
  <c r="O22" i="23"/>
  <c r="N22" i="23"/>
  <c r="H22" i="23"/>
  <c r="G22" i="23"/>
  <c r="E22" i="23"/>
  <c r="D22" i="23"/>
  <c r="B22" i="23"/>
  <c r="A22" i="23"/>
  <c r="A58" i="23" s="1"/>
  <c r="O21" i="23"/>
  <c r="N21" i="23"/>
  <c r="H21" i="23"/>
  <c r="G21" i="23"/>
  <c r="E21" i="23"/>
  <c r="D21" i="23"/>
  <c r="B21" i="23"/>
  <c r="A21" i="23"/>
  <c r="A57" i="23" s="1"/>
  <c r="O20" i="23"/>
  <c r="N20" i="23"/>
  <c r="H20" i="23"/>
  <c r="G20" i="23"/>
  <c r="E20" i="23"/>
  <c r="D20" i="23"/>
  <c r="B20" i="23"/>
  <c r="A20" i="23"/>
  <c r="A56" i="23" s="1"/>
  <c r="N19" i="23"/>
  <c r="H19" i="23"/>
  <c r="G19" i="23"/>
  <c r="E19" i="23"/>
  <c r="D19" i="23"/>
  <c r="B19" i="23"/>
  <c r="A19" i="23"/>
  <c r="A55" i="23" s="1"/>
  <c r="O18" i="23"/>
  <c r="N18" i="23"/>
  <c r="H18" i="23"/>
  <c r="G18" i="23"/>
  <c r="E18" i="23"/>
  <c r="D18" i="23"/>
  <c r="B18" i="23"/>
  <c r="A18" i="23"/>
  <c r="A54" i="23" s="1"/>
  <c r="O17" i="23"/>
  <c r="N17" i="23"/>
  <c r="H17" i="23"/>
  <c r="G17" i="23"/>
  <c r="E17" i="23"/>
  <c r="D17" i="23"/>
  <c r="B17" i="23"/>
  <c r="A17" i="23"/>
  <c r="A53" i="23" s="1"/>
  <c r="O16" i="23"/>
  <c r="N16" i="23"/>
  <c r="H16" i="23"/>
  <c r="G16" i="23"/>
  <c r="E16" i="23"/>
  <c r="D16" i="23"/>
  <c r="B16" i="23"/>
  <c r="A16" i="23"/>
  <c r="A52" i="23" s="1"/>
  <c r="N15" i="23"/>
  <c r="H15" i="23"/>
  <c r="G15" i="23"/>
  <c r="E15" i="23"/>
  <c r="D15" i="23"/>
  <c r="B15" i="23"/>
  <c r="A15" i="23"/>
  <c r="A51" i="23" s="1"/>
  <c r="O14" i="23"/>
  <c r="N14" i="23"/>
  <c r="H14" i="23"/>
  <c r="G14" i="23"/>
  <c r="C14" i="23"/>
  <c r="B14" i="23"/>
  <c r="A14" i="23"/>
  <c r="A50" i="23" s="1"/>
  <c r="O13" i="23"/>
  <c r="N13" i="23"/>
  <c r="H13" i="23"/>
  <c r="G13" i="23"/>
  <c r="C13" i="23"/>
  <c r="B13" i="23"/>
  <c r="A13" i="23"/>
  <c r="A49" i="23" s="1"/>
  <c r="H12" i="23"/>
  <c r="F12" i="23"/>
  <c r="C12" i="23"/>
  <c r="B12" i="23"/>
  <c r="A12" i="23"/>
  <c r="A48" i="23" s="1"/>
  <c r="N11" i="23"/>
  <c r="H11" i="23"/>
  <c r="F11" i="23"/>
  <c r="C11" i="23"/>
  <c r="B11" i="23"/>
  <c r="A11" i="23"/>
  <c r="A47" i="23" s="1"/>
  <c r="O10" i="23"/>
  <c r="H10" i="23"/>
  <c r="F10" i="23"/>
  <c r="C10" i="23"/>
  <c r="B10" i="23"/>
  <c r="A10" i="23"/>
  <c r="A46" i="23" s="1"/>
  <c r="AG46" i="23" s="1"/>
  <c r="AS46" i="23" s="1"/>
  <c r="BC46" i="23" s="1"/>
  <c r="O9" i="23"/>
  <c r="N9" i="23"/>
  <c r="H9" i="23"/>
  <c r="F9" i="23"/>
  <c r="C9" i="23"/>
  <c r="B9" i="23"/>
  <c r="A9" i="23"/>
  <c r="A45" i="23" s="1"/>
  <c r="H8" i="23"/>
  <c r="F8" i="23"/>
  <c r="C8" i="23"/>
  <c r="B8" i="23"/>
  <c r="A8" i="23"/>
  <c r="A44" i="23" s="1"/>
  <c r="N44" i="23" s="1"/>
  <c r="O7" i="23"/>
  <c r="N7" i="23"/>
  <c r="H7" i="23"/>
  <c r="F7" i="23"/>
  <c r="C7" i="23"/>
  <c r="B7" i="23"/>
  <c r="A7" i="23"/>
  <c r="A43" i="23" s="1"/>
  <c r="O6" i="23"/>
  <c r="N6" i="23"/>
  <c r="H6" i="23"/>
  <c r="F6" i="23"/>
  <c r="C6" i="23"/>
  <c r="B6" i="23"/>
  <c r="A6" i="23"/>
  <c r="A42" i="23" s="1"/>
  <c r="O5" i="23"/>
  <c r="N5" i="23"/>
  <c r="H5" i="23"/>
  <c r="F5" i="23"/>
  <c r="C5" i="23"/>
  <c r="B5" i="23"/>
  <c r="A5" i="23"/>
  <c r="A41" i="23" s="1"/>
  <c r="H4" i="23"/>
  <c r="H40" i="23" s="1"/>
  <c r="F4" i="23"/>
  <c r="F40" i="23" s="1"/>
  <c r="C4" i="23"/>
  <c r="C40" i="23" s="1"/>
  <c r="B4" i="23"/>
  <c r="B40" i="23" s="1"/>
  <c r="A4" i="23"/>
  <c r="A40" i="23" s="1"/>
  <c r="N3" i="23"/>
  <c r="H3" i="23"/>
  <c r="H38" i="23" s="1"/>
  <c r="Y38" i="23" s="1"/>
  <c r="G3" i="23"/>
  <c r="G38" i="23" s="1"/>
  <c r="F3" i="23"/>
  <c r="F38" i="23" s="1"/>
  <c r="W38" i="23" s="1"/>
  <c r="E3" i="23"/>
  <c r="E38" i="23" s="1"/>
  <c r="D3" i="23"/>
  <c r="D38" i="23" s="1"/>
  <c r="C3" i="23"/>
  <c r="C38" i="23" s="1"/>
  <c r="AI38" i="23" s="1"/>
  <c r="AU38" i="23" s="1"/>
  <c r="BE38" i="23" s="1"/>
  <c r="B3" i="23"/>
  <c r="B38" i="23" s="1"/>
  <c r="A3" i="23"/>
  <c r="H2" i="23"/>
  <c r="H37" i="23" s="1"/>
  <c r="G2" i="23"/>
  <c r="G37" i="23" s="1"/>
  <c r="AM37" i="23" s="1"/>
  <c r="AY37" i="23" s="1"/>
  <c r="BI37" i="23" s="1"/>
  <c r="F2" i="23"/>
  <c r="F37" i="23" s="1"/>
  <c r="E2" i="23"/>
  <c r="E37" i="23" s="1"/>
  <c r="AK37" i="23" s="1"/>
  <c r="AW37" i="23" s="1"/>
  <c r="BG37" i="23" s="1"/>
  <c r="D2" i="23"/>
  <c r="D37" i="23" s="1"/>
  <c r="U37" i="23" s="1"/>
  <c r="C2" i="23"/>
  <c r="C37" i="23" s="1"/>
  <c r="B2" i="23"/>
  <c r="B37" i="23" s="1"/>
  <c r="AY39" i="22"/>
  <c r="BI39" i="22" s="1"/>
  <c r="AW39" i="22"/>
  <c r="BG39" i="22" s="1"/>
  <c r="AV39" i="22"/>
  <c r="BF39" i="22" s="1"/>
  <c r="AS39" i="22"/>
  <c r="BC39" i="22" s="1"/>
  <c r="Y39" i="22"/>
  <c r="X39" i="22"/>
  <c r="W39" i="22"/>
  <c r="V39" i="22"/>
  <c r="U39" i="22"/>
  <c r="T39" i="22"/>
  <c r="S39" i="22"/>
  <c r="R39" i="22"/>
  <c r="I39" i="22"/>
  <c r="Z39" i="22" s="1"/>
  <c r="AH39" i="22" s="1"/>
  <c r="AT39" i="22" s="1"/>
  <c r="BD39" i="22" s="1"/>
  <c r="BA38" i="22"/>
  <c r="BK38" i="22" s="1"/>
  <c r="AS38" i="22"/>
  <c r="Z38" i="22"/>
  <c r="R38" i="22"/>
  <c r="O33" i="22"/>
  <c r="N33" i="22"/>
  <c r="H33" i="22"/>
  <c r="G33" i="22"/>
  <c r="E33" i="22"/>
  <c r="D33" i="22"/>
  <c r="B33" i="22"/>
  <c r="A33" i="22"/>
  <c r="O32" i="22"/>
  <c r="N32" i="22"/>
  <c r="H32" i="22"/>
  <c r="G32" i="22"/>
  <c r="E32" i="22"/>
  <c r="D32" i="22"/>
  <c r="B32" i="22"/>
  <c r="A32" i="22"/>
  <c r="N31" i="22"/>
  <c r="H31" i="22"/>
  <c r="G31" i="22"/>
  <c r="E31" i="22"/>
  <c r="D31" i="22"/>
  <c r="B31" i="22"/>
  <c r="A31" i="22"/>
  <c r="O30" i="22"/>
  <c r="N30" i="22"/>
  <c r="H30" i="22"/>
  <c r="G30" i="22"/>
  <c r="E30" i="22"/>
  <c r="D30" i="22"/>
  <c r="B30" i="22"/>
  <c r="A30" i="22"/>
  <c r="O29" i="22"/>
  <c r="N29" i="22"/>
  <c r="H29" i="22"/>
  <c r="G29" i="22"/>
  <c r="E29" i="22"/>
  <c r="D29" i="22"/>
  <c r="B29" i="22"/>
  <c r="A29" i="22"/>
  <c r="O28" i="22"/>
  <c r="N28" i="22"/>
  <c r="H28" i="22"/>
  <c r="G28" i="22"/>
  <c r="E28" i="22"/>
  <c r="D28" i="22"/>
  <c r="B28" i="22"/>
  <c r="A28" i="22"/>
  <c r="A64" i="22" s="1"/>
  <c r="N27" i="22"/>
  <c r="H27" i="22"/>
  <c r="G27" i="22"/>
  <c r="E27" i="22"/>
  <c r="D27" i="22"/>
  <c r="B27" i="22"/>
  <c r="A27" i="22"/>
  <c r="A63" i="22" s="1"/>
  <c r="O26" i="22"/>
  <c r="N26" i="22"/>
  <c r="H26" i="22"/>
  <c r="G26" i="22"/>
  <c r="E26" i="22"/>
  <c r="D26" i="22"/>
  <c r="B26" i="22"/>
  <c r="A26" i="22"/>
  <c r="A62" i="22" s="1"/>
  <c r="O25" i="22"/>
  <c r="N25" i="22"/>
  <c r="H25" i="22"/>
  <c r="G25" i="22"/>
  <c r="E25" i="22"/>
  <c r="D25" i="22"/>
  <c r="B25" i="22"/>
  <c r="A25" i="22"/>
  <c r="A61" i="22" s="1"/>
  <c r="R61" i="22" s="1"/>
  <c r="O24" i="22"/>
  <c r="N24" i="22"/>
  <c r="H24" i="22"/>
  <c r="G24" i="22"/>
  <c r="E24" i="22"/>
  <c r="D24" i="22"/>
  <c r="B24" i="22"/>
  <c r="A24" i="22"/>
  <c r="A60" i="22" s="1"/>
  <c r="N23" i="22"/>
  <c r="H23" i="22"/>
  <c r="G23" i="22"/>
  <c r="E23" i="22"/>
  <c r="D23" i="22"/>
  <c r="B23" i="22"/>
  <c r="A23" i="22"/>
  <c r="A59" i="22" s="1"/>
  <c r="O22" i="22"/>
  <c r="N22" i="22"/>
  <c r="H22" i="22"/>
  <c r="G22" i="22"/>
  <c r="E22" i="22"/>
  <c r="D22" i="22"/>
  <c r="B22" i="22"/>
  <c r="A22" i="22"/>
  <c r="A58" i="22" s="1"/>
  <c r="O21" i="22"/>
  <c r="N21" i="22"/>
  <c r="H21" i="22"/>
  <c r="G21" i="22"/>
  <c r="E21" i="22"/>
  <c r="D21" i="22"/>
  <c r="B21" i="22"/>
  <c r="A21" i="22"/>
  <c r="A57" i="22" s="1"/>
  <c r="AG57" i="22" s="1"/>
  <c r="AS57" i="22" s="1"/>
  <c r="BC57" i="22" s="1"/>
  <c r="O20" i="22"/>
  <c r="N20" i="22"/>
  <c r="H20" i="22"/>
  <c r="G20" i="22"/>
  <c r="E20" i="22"/>
  <c r="D20" i="22"/>
  <c r="B20" i="22"/>
  <c r="A20" i="22"/>
  <c r="A56" i="22" s="1"/>
  <c r="N19" i="22"/>
  <c r="H19" i="22"/>
  <c r="G19" i="22"/>
  <c r="E19" i="22"/>
  <c r="D19" i="22"/>
  <c r="B19" i="22"/>
  <c r="A19" i="22"/>
  <c r="A55" i="22" s="1"/>
  <c r="O18" i="22"/>
  <c r="N18" i="22"/>
  <c r="H18" i="22"/>
  <c r="G18" i="22"/>
  <c r="E18" i="22"/>
  <c r="D18" i="22"/>
  <c r="B18" i="22"/>
  <c r="A18" i="22"/>
  <c r="A54" i="22" s="1"/>
  <c r="O17" i="22"/>
  <c r="N17" i="22"/>
  <c r="H17" i="22"/>
  <c r="G17" i="22"/>
  <c r="E17" i="22"/>
  <c r="D17" i="22"/>
  <c r="B17" i="22"/>
  <c r="A17" i="22"/>
  <c r="A53" i="22" s="1"/>
  <c r="O16" i="22"/>
  <c r="N16" i="22"/>
  <c r="H16" i="22"/>
  <c r="G16" i="22"/>
  <c r="E16" i="22"/>
  <c r="D16" i="22"/>
  <c r="B16" i="22"/>
  <c r="A16" i="22"/>
  <c r="A52" i="22" s="1"/>
  <c r="N15" i="22"/>
  <c r="H15" i="22"/>
  <c r="G15" i="22"/>
  <c r="E15" i="22"/>
  <c r="D15" i="22"/>
  <c r="B15" i="22"/>
  <c r="A15" i="22"/>
  <c r="A51" i="22" s="1"/>
  <c r="R51" i="22" s="1"/>
  <c r="O14" i="22"/>
  <c r="N14" i="22"/>
  <c r="H14" i="22"/>
  <c r="G14" i="22"/>
  <c r="C14" i="22"/>
  <c r="B14" i="22"/>
  <c r="A14" i="22"/>
  <c r="A50" i="22" s="1"/>
  <c r="O13" i="22"/>
  <c r="N13" i="22"/>
  <c r="H13" i="22"/>
  <c r="G13" i="22"/>
  <c r="C13" i="22"/>
  <c r="B13" i="22"/>
  <c r="A13" i="22"/>
  <c r="A49" i="22" s="1"/>
  <c r="N49" i="22" s="1"/>
  <c r="O12" i="22"/>
  <c r="H12" i="22"/>
  <c r="F12" i="22"/>
  <c r="C12" i="22"/>
  <c r="B12" i="22"/>
  <c r="A12" i="22"/>
  <c r="A48" i="22" s="1"/>
  <c r="AG48" i="22" s="1"/>
  <c r="AS48" i="22" s="1"/>
  <c r="BC48" i="22" s="1"/>
  <c r="N11" i="22"/>
  <c r="H11" i="22"/>
  <c r="F11" i="22"/>
  <c r="C11" i="22"/>
  <c r="B11" i="22"/>
  <c r="A11" i="22"/>
  <c r="A47" i="22" s="1"/>
  <c r="O10" i="22"/>
  <c r="N10" i="22"/>
  <c r="H10" i="22"/>
  <c r="F10" i="22"/>
  <c r="C10" i="22"/>
  <c r="B10" i="22"/>
  <c r="A10" i="22"/>
  <c r="A46" i="22" s="1"/>
  <c r="O9" i="22"/>
  <c r="N9" i="22"/>
  <c r="H9" i="22"/>
  <c r="F9" i="22"/>
  <c r="C9" i="22"/>
  <c r="B9" i="22"/>
  <c r="A9" i="22"/>
  <c r="A45" i="22" s="1"/>
  <c r="N45" i="22" s="1"/>
  <c r="H8" i="22"/>
  <c r="F8" i="22"/>
  <c r="C8" i="22"/>
  <c r="B8" i="22"/>
  <c r="A8" i="22"/>
  <c r="A44" i="22" s="1"/>
  <c r="N7" i="22"/>
  <c r="H7" i="22"/>
  <c r="F7" i="22"/>
  <c r="C7" i="22"/>
  <c r="B7" i="22"/>
  <c r="A7" i="22"/>
  <c r="A43" i="22" s="1"/>
  <c r="O6" i="22"/>
  <c r="N6" i="22"/>
  <c r="H6" i="22"/>
  <c r="F6" i="22"/>
  <c r="C6" i="22"/>
  <c r="B6" i="22"/>
  <c r="A6" i="22"/>
  <c r="A42" i="22" s="1"/>
  <c r="AG42" i="22" s="1"/>
  <c r="AS42" i="22" s="1"/>
  <c r="BC42" i="22" s="1"/>
  <c r="O5" i="22"/>
  <c r="N5" i="22"/>
  <c r="H5" i="22"/>
  <c r="F5" i="22"/>
  <c r="C5" i="22"/>
  <c r="B5" i="22"/>
  <c r="A5" i="22"/>
  <c r="A41" i="22" s="1"/>
  <c r="N41" i="22" s="1"/>
  <c r="O4" i="22"/>
  <c r="H4" i="22"/>
  <c r="H40" i="22" s="1"/>
  <c r="F4" i="22"/>
  <c r="F40" i="22" s="1"/>
  <c r="C4" i="22"/>
  <c r="C40" i="22" s="1"/>
  <c r="B4" i="22"/>
  <c r="B40" i="22" s="1"/>
  <c r="A4" i="22"/>
  <c r="A40" i="22" s="1"/>
  <c r="AG40" i="22" s="1"/>
  <c r="AS40" i="22" s="1"/>
  <c r="BC40" i="22" s="1"/>
  <c r="N3" i="22"/>
  <c r="H3" i="22"/>
  <c r="H38" i="22" s="1"/>
  <c r="G3" i="22"/>
  <c r="G38" i="22" s="1"/>
  <c r="AM38" i="22" s="1"/>
  <c r="AY38" i="22" s="1"/>
  <c r="BI38" i="22" s="1"/>
  <c r="F3" i="22"/>
  <c r="F38" i="22" s="1"/>
  <c r="E3" i="22"/>
  <c r="E38" i="22" s="1"/>
  <c r="D3" i="22"/>
  <c r="D38" i="22" s="1"/>
  <c r="C3" i="22"/>
  <c r="C38" i="22" s="1"/>
  <c r="B3" i="22"/>
  <c r="B38" i="22" s="1"/>
  <c r="A3" i="22"/>
  <c r="H2" i="22"/>
  <c r="H37" i="22" s="1"/>
  <c r="AN37" i="22" s="1"/>
  <c r="AZ37" i="22" s="1"/>
  <c r="BJ37" i="22" s="1"/>
  <c r="G2" i="22"/>
  <c r="G37" i="22" s="1"/>
  <c r="F2" i="22"/>
  <c r="F37" i="22" s="1"/>
  <c r="E2" i="22"/>
  <c r="E37" i="22" s="1"/>
  <c r="AK37" i="22" s="1"/>
  <c r="AW37" i="22" s="1"/>
  <c r="BG37" i="22" s="1"/>
  <c r="D2" i="22"/>
  <c r="D37" i="22" s="1"/>
  <c r="U37" i="22" s="1"/>
  <c r="C2" i="22"/>
  <c r="C37" i="22" s="1"/>
  <c r="T37" i="22" s="1"/>
  <c r="B2" i="22"/>
  <c r="B37" i="22" s="1"/>
  <c r="Y39" i="21"/>
  <c r="X39" i="21"/>
  <c r="W39" i="21"/>
  <c r="V39" i="21"/>
  <c r="U39" i="21"/>
  <c r="T39" i="21"/>
  <c r="S39" i="21"/>
  <c r="R39" i="21"/>
  <c r="I39" i="21"/>
  <c r="Z39" i="21" s="1"/>
  <c r="AN39" i="21" s="1"/>
  <c r="Z38" i="21"/>
  <c r="R38" i="21"/>
  <c r="H33" i="21"/>
  <c r="G33" i="21"/>
  <c r="E33" i="21"/>
  <c r="D33" i="21"/>
  <c r="B33" i="21"/>
  <c r="A33" i="21"/>
  <c r="H32" i="21"/>
  <c r="G32" i="21"/>
  <c r="E32" i="21"/>
  <c r="D32" i="21"/>
  <c r="B32" i="21"/>
  <c r="A32" i="21"/>
  <c r="H31" i="21"/>
  <c r="G31" i="21"/>
  <c r="E31" i="21"/>
  <c r="D31" i="21"/>
  <c r="B31" i="21"/>
  <c r="A31" i="21"/>
  <c r="H30" i="21"/>
  <c r="G30" i="21"/>
  <c r="E30" i="21"/>
  <c r="D30" i="21"/>
  <c r="B30" i="21"/>
  <c r="A30" i="21"/>
  <c r="H29" i="21"/>
  <c r="G29" i="21"/>
  <c r="E29" i="21"/>
  <c r="D29" i="21"/>
  <c r="B29" i="21"/>
  <c r="A29" i="21"/>
  <c r="H28" i="21"/>
  <c r="G28" i="21"/>
  <c r="E28" i="21"/>
  <c r="D28" i="21"/>
  <c r="B28" i="21"/>
  <c r="A28" i="21"/>
  <c r="A64" i="21" s="1"/>
  <c r="H27" i="21"/>
  <c r="G27" i="21"/>
  <c r="E27" i="21"/>
  <c r="D27" i="21"/>
  <c r="B27" i="21"/>
  <c r="A27" i="21"/>
  <c r="A63" i="21" s="1"/>
  <c r="H26" i="21"/>
  <c r="G26" i="21"/>
  <c r="E26" i="21"/>
  <c r="D26" i="21"/>
  <c r="B26" i="21"/>
  <c r="A26" i="21"/>
  <c r="A62" i="21" s="1"/>
  <c r="H25" i="21"/>
  <c r="G25" i="21"/>
  <c r="E25" i="21"/>
  <c r="D25" i="21"/>
  <c r="B25" i="21"/>
  <c r="A25" i="21"/>
  <c r="A61" i="21" s="1"/>
  <c r="H24" i="21"/>
  <c r="G24" i="21"/>
  <c r="E24" i="21"/>
  <c r="D24" i="21"/>
  <c r="B24" i="21"/>
  <c r="A24" i="21"/>
  <c r="A60" i="21" s="1"/>
  <c r="H23" i="21"/>
  <c r="G23" i="21"/>
  <c r="E23" i="21"/>
  <c r="D23" i="21"/>
  <c r="B23" i="21"/>
  <c r="A23" i="21"/>
  <c r="A59" i="21" s="1"/>
  <c r="H22" i="21"/>
  <c r="G22" i="21"/>
  <c r="E22" i="21"/>
  <c r="D22" i="21"/>
  <c r="B22" i="21"/>
  <c r="A22" i="21"/>
  <c r="A58" i="21" s="1"/>
  <c r="H21" i="21"/>
  <c r="G21" i="21"/>
  <c r="E21" i="21"/>
  <c r="D21" i="21"/>
  <c r="B21" i="21"/>
  <c r="A21" i="21"/>
  <c r="A57" i="21" s="1"/>
  <c r="H20" i="21"/>
  <c r="G20" i="21"/>
  <c r="E20" i="21"/>
  <c r="D20" i="21"/>
  <c r="B20" i="21"/>
  <c r="A20" i="21"/>
  <c r="A56" i="21" s="1"/>
  <c r="H19" i="21"/>
  <c r="G19" i="21"/>
  <c r="E19" i="21"/>
  <c r="D19" i="21"/>
  <c r="B19" i="21"/>
  <c r="A19" i="21"/>
  <c r="A55" i="21" s="1"/>
  <c r="H18" i="21"/>
  <c r="G18" i="21"/>
  <c r="E18" i="21"/>
  <c r="D18" i="21"/>
  <c r="B18" i="21"/>
  <c r="A18" i="21"/>
  <c r="A54" i="21" s="1"/>
  <c r="H17" i="21"/>
  <c r="G17" i="21"/>
  <c r="E17" i="21"/>
  <c r="D17" i="21"/>
  <c r="B17" i="21"/>
  <c r="A17" i="21"/>
  <c r="A53" i="21" s="1"/>
  <c r="H16" i="21"/>
  <c r="G16" i="21"/>
  <c r="E16" i="21"/>
  <c r="D16" i="21"/>
  <c r="B16" i="21"/>
  <c r="A16" i="21"/>
  <c r="A52" i="21" s="1"/>
  <c r="H15" i="21"/>
  <c r="G15" i="21"/>
  <c r="E15" i="21"/>
  <c r="D15" i="21"/>
  <c r="B15" i="21"/>
  <c r="A15" i="21"/>
  <c r="A51" i="21" s="1"/>
  <c r="R51" i="21" s="1"/>
  <c r="H14" i="21"/>
  <c r="G14" i="21"/>
  <c r="C14" i="21"/>
  <c r="B14" i="21"/>
  <c r="A14" i="21"/>
  <c r="A50" i="21" s="1"/>
  <c r="H13" i="21"/>
  <c r="G13" i="21"/>
  <c r="C13" i="21"/>
  <c r="B13" i="21"/>
  <c r="A13" i="21"/>
  <c r="A49" i="21" s="1"/>
  <c r="H12" i="21"/>
  <c r="F12" i="21"/>
  <c r="C12" i="21"/>
  <c r="B12" i="21"/>
  <c r="A12" i="21"/>
  <c r="A48" i="21" s="1"/>
  <c r="N48" i="21" s="1"/>
  <c r="H11" i="21"/>
  <c r="F11" i="21"/>
  <c r="C11" i="21"/>
  <c r="B11" i="21"/>
  <c r="A11" i="21"/>
  <c r="A47" i="21" s="1"/>
  <c r="H10" i="21"/>
  <c r="F10" i="21"/>
  <c r="C10" i="21"/>
  <c r="B10" i="21"/>
  <c r="A10" i="21"/>
  <c r="A46" i="21" s="1"/>
  <c r="AF46" i="21" s="1"/>
  <c r="H9" i="21"/>
  <c r="F9" i="21"/>
  <c r="C9" i="21"/>
  <c r="B9" i="21"/>
  <c r="A9" i="21"/>
  <c r="A45" i="21" s="1"/>
  <c r="H8" i="21"/>
  <c r="F8" i="21"/>
  <c r="C8" i="21"/>
  <c r="B8" i="21"/>
  <c r="A8" i="21"/>
  <c r="A44" i="21" s="1"/>
  <c r="H7" i="21"/>
  <c r="F7" i="21"/>
  <c r="C7" i="21"/>
  <c r="B7" i="21"/>
  <c r="A7" i="21"/>
  <c r="A43" i="21" s="1"/>
  <c r="H6" i="21"/>
  <c r="F6" i="21"/>
  <c r="C6" i="21"/>
  <c r="B6" i="21"/>
  <c r="A6" i="21"/>
  <c r="A42" i="21" s="1"/>
  <c r="H5" i="21"/>
  <c r="F5" i="21"/>
  <c r="C5" i="21"/>
  <c r="B5" i="21"/>
  <c r="A5" i="21"/>
  <c r="A41" i="21" s="1"/>
  <c r="N41" i="21" s="1"/>
  <c r="H4" i="21"/>
  <c r="H40" i="21" s="1"/>
  <c r="F4" i="21"/>
  <c r="F40" i="21" s="1"/>
  <c r="C4" i="21"/>
  <c r="C40" i="21" s="1"/>
  <c r="B4" i="21"/>
  <c r="B40" i="21" s="1"/>
  <c r="A4" i="21"/>
  <c r="A40" i="21" s="1"/>
  <c r="H3" i="21"/>
  <c r="H38" i="21" s="1"/>
  <c r="G3" i="21"/>
  <c r="G38" i="21" s="1"/>
  <c r="F3" i="21"/>
  <c r="F38" i="21" s="1"/>
  <c r="E3" i="21"/>
  <c r="E38" i="21" s="1"/>
  <c r="D3" i="21"/>
  <c r="D38" i="21" s="1"/>
  <c r="C3" i="21"/>
  <c r="C38" i="21" s="1"/>
  <c r="B3" i="21"/>
  <c r="B38" i="21" s="1"/>
  <c r="A3" i="21"/>
  <c r="H2" i="21"/>
  <c r="H37" i="21" s="1"/>
  <c r="Y37" i="21" s="1"/>
  <c r="G2" i="21"/>
  <c r="G37" i="21" s="1"/>
  <c r="X37" i="21" s="1"/>
  <c r="F2" i="21"/>
  <c r="F37" i="21" s="1"/>
  <c r="W37" i="21" s="1"/>
  <c r="E2" i="21"/>
  <c r="E37" i="21" s="1"/>
  <c r="AJ37" i="21" s="1"/>
  <c r="D2" i="21"/>
  <c r="D37" i="21" s="1"/>
  <c r="C2" i="21"/>
  <c r="C37" i="21" s="1"/>
  <c r="T37" i="21" s="1"/>
  <c r="B2" i="21"/>
  <c r="B37" i="21" s="1"/>
  <c r="AG37" i="21" s="1"/>
  <c r="A32" i="7"/>
  <c r="B32" i="7"/>
  <c r="D32" i="7"/>
  <c r="E32" i="7"/>
  <c r="G32" i="7"/>
  <c r="H32" i="7"/>
  <c r="A33" i="7"/>
  <c r="B33" i="7"/>
  <c r="D33" i="7"/>
  <c r="E33" i="7"/>
  <c r="G33" i="7"/>
  <c r="H33" i="7"/>
  <c r="A32" i="19"/>
  <c r="B32" i="19"/>
  <c r="D32" i="19"/>
  <c r="E32" i="19"/>
  <c r="G32" i="19"/>
  <c r="H32" i="19"/>
  <c r="A33" i="19"/>
  <c r="B33" i="19"/>
  <c r="D33" i="19"/>
  <c r="E33" i="19"/>
  <c r="G33" i="19"/>
  <c r="H33" i="19"/>
  <c r="A32" i="4"/>
  <c r="D32" i="4"/>
  <c r="E32" i="4"/>
  <c r="A33" i="4"/>
  <c r="D33" i="4"/>
  <c r="E33" i="4"/>
  <c r="Q40" i="26" l="1"/>
  <c r="P40" i="26"/>
  <c r="S40" i="26"/>
  <c r="AL39" i="24"/>
  <c r="BS39" i="24" s="1"/>
  <c r="AX39" i="24" s="1"/>
  <c r="AI39" i="24"/>
  <c r="BP39" i="24" s="1"/>
  <c r="AU39" i="24" s="1"/>
  <c r="Y38" i="21"/>
  <c r="AM38" i="21"/>
  <c r="S37" i="22"/>
  <c r="AH37" i="22"/>
  <c r="AT37" i="22" s="1"/>
  <c r="BD37" i="22" s="1"/>
  <c r="V37" i="24"/>
  <c r="AK37" i="24"/>
  <c r="BR37" i="24" s="1"/>
  <c r="AW37" i="24" s="1"/>
  <c r="V38" i="24"/>
  <c r="AK38" i="24"/>
  <c r="BR38" i="24" s="1"/>
  <c r="AW38" i="24" s="1"/>
  <c r="S38" i="21"/>
  <c r="AG38" i="21"/>
  <c r="AF45" i="21"/>
  <c r="R45" i="21"/>
  <c r="W37" i="23"/>
  <c r="AL37" i="23"/>
  <c r="AX37" i="23" s="1"/>
  <c r="BH37" i="23" s="1"/>
  <c r="N40" i="23"/>
  <c r="R40" i="23"/>
  <c r="AH37" i="24"/>
  <c r="BO37" i="24" s="1"/>
  <c r="AT37" i="24" s="1"/>
  <c r="S37" i="24"/>
  <c r="AH38" i="24"/>
  <c r="BO38" i="24" s="1"/>
  <c r="AT38" i="24" s="1"/>
  <c r="S38" i="24"/>
  <c r="X38" i="21"/>
  <c r="AL38" i="21"/>
  <c r="U38" i="22"/>
  <c r="AJ38" i="22"/>
  <c r="AV38" i="22" s="1"/>
  <c r="BF38" i="22" s="1"/>
  <c r="R43" i="21"/>
  <c r="AF43" i="21"/>
  <c r="N43" i="21"/>
  <c r="AG48" i="23"/>
  <c r="AS48" i="23" s="1"/>
  <c r="BC48" i="23" s="1"/>
  <c r="R48" i="23"/>
  <c r="N48" i="23"/>
  <c r="R48" i="21"/>
  <c r="X38" i="22"/>
  <c r="AG43" i="24"/>
  <c r="BN43" i="24" s="1"/>
  <c r="R49" i="24"/>
  <c r="S37" i="21"/>
  <c r="AF48" i="21"/>
  <c r="V37" i="22"/>
  <c r="AS49" i="24"/>
  <c r="N46" i="21"/>
  <c r="Y37" i="22"/>
  <c r="R40" i="22"/>
  <c r="N48" i="22"/>
  <c r="N57" i="22"/>
  <c r="V37" i="23"/>
  <c r="N54" i="24"/>
  <c r="R46" i="21"/>
  <c r="R48" i="22"/>
  <c r="R57" i="22"/>
  <c r="AM37" i="24"/>
  <c r="BT37" i="24" s="1"/>
  <c r="AY37" i="24" s="1"/>
  <c r="N49" i="24"/>
  <c r="O41" i="29"/>
  <c r="J42" i="28"/>
  <c r="K42" i="28" s="1"/>
  <c r="L42" i="28" s="1"/>
  <c r="T42" i="28"/>
  <c r="P42" i="28"/>
  <c r="Q42" i="28"/>
  <c r="W41" i="28"/>
  <c r="X41" i="28"/>
  <c r="F44" i="28"/>
  <c r="B44" i="28"/>
  <c r="X40" i="28"/>
  <c r="W40" i="28"/>
  <c r="C44" i="28"/>
  <c r="H43" i="28"/>
  <c r="I43" i="28" s="1"/>
  <c r="J43" i="28" s="1"/>
  <c r="K43" i="28" s="1"/>
  <c r="L43" i="28" s="1"/>
  <c r="V42" i="28"/>
  <c r="J40" i="26"/>
  <c r="K40" i="26" s="1"/>
  <c r="L40" i="26" s="1"/>
  <c r="I40" i="25"/>
  <c r="AJ40" i="25" s="1"/>
  <c r="AC39" i="25"/>
  <c r="AM39" i="25" s="1"/>
  <c r="W39" i="25"/>
  <c r="AJ39" i="25" s="1"/>
  <c r="AT39" i="25" s="1"/>
  <c r="Q39" i="25"/>
  <c r="AD39" i="25" s="1"/>
  <c r="AN39" i="25" s="1"/>
  <c r="T39" i="25"/>
  <c r="AG39" i="25" s="1"/>
  <c r="AQ39" i="25" s="1"/>
  <c r="V39" i="25"/>
  <c r="AI39" i="25" s="1"/>
  <c r="AS39" i="25" s="1"/>
  <c r="O7" i="22"/>
  <c r="O15" i="22"/>
  <c r="O19" i="22"/>
  <c r="O23" i="22"/>
  <c r="O27" i="22"/>
  <c r="O31" i="22"/>
  <c r="N8" i="23"/>
  <c r="N4" i="22"/>
  <c r="N12" i="22"/>
  <c r="O8" i="23"/>
  <c r="O3" i="22"/>
  <c r="O11" i="22"/>
  <c r="O3" i="24"/>
  <c r="N10" i="24"/>
  <c r="O11" i="24"/>
  <c r="AF40" i="21"/>
  <c r="R40" i="21"/>
  <c r="N40" i="21"/>
  <c r="R54" i="22"/>
  <c r="N54" i="22"/>
  <c r="AG54" i="22"/>
  <c r="AS54" i="22" s="1"/>
  <c r="BC54" i="22" s="1"/>
  <c r="AH39" i="21"/>
  <c r="U37" i="21"/>
  <c r="AI37" i="21"/>
  <c r="AI38" i="21"/>
  <c r="U38" i="21"/>
  <c r="N57" i="21"/>
  <c r="AF57" i="21"/>
  <c r="R57" i="21"/>
  <c r="N61" i="21"/>
  <c r="AF61" i="21"/>
  <c r="R61" i="21"/>
  <c r="N44" i="21"/>
  <c r="R44" i="21"/>
  <c r="AF44" i="21"/>
  <c r="R49" i="21"/>
  <c r="N49" i="21"/>
  <c r="AF49" i="21"/>
  <c r="N52" i="21"/>
  <c r="AF52" i="21"/>
  <c r="R52" i="21"/>
  <c r="N56" i="21"/>
  <c r="AF56" i="21"/>
  <c r="R56" i="21"/>
  <c r="AH37" i="23"/>
  <c r="AT37" i="23" s="1"/>
  <c r="BD37" i="23" s="1"/>
  <c r="S37" i="23"/>
  <c r="W38" i="22"/>
  <c r="AL38" i="22"/>
  <c r="AX38" i="22" s="1"/>
  <c r="BH38" i="22" s="1"/>
  <c r="AH38" i="21"/>
  <c r="T38" i="21"/>
  <c r="AH37" i="21"/>
  <c r="N53" i="21"/>
  <c r="AF53" i="21"/>
  <c r="N62" i="21"/>
  <c r="AF62" i="21"/>
  <c r="R62" i="21"/>
  <c r="R47" i="21"/>
  <c r="AF47" i="21"/>
  <c r="N55" i="21"/>
  <c r="AF55" i="21"/>
  <c r="N47" i="22"/>
  <c r="R47" i="22"/>
  <c r="AG47" i="22"/>
  <c r="AS47" i="22" s="1"/>
  <c r="BC47" i="22" s="1"/>
  <c r="AL37" i="21"/>
  <c r="AM39" i="21"/>
  <c r="W37" i="22"/>
  <c r="AL37" i="22"/>
  <c r="AX37" i="22" s="1"/>
  <c r="BH37" i="22" s="1"/>
  <c r="N64" i="21"/>
  <c r="AF64" i="21"/>
  <c r="R64" i="21"/>
  <c r="AM37" i="21"/>
  <c r="R42" i="21"/>
  <c r="N42" i="21"/>
  <c r="N47" i="21"/>
  <c r="N59" i="21"/>
  <c r="AF59" i="21"/>
  <c r="X37" i="22"/>
  <c r="AM37" i="22"/>
  <c r="AY37" i="22" s="1"/>
  <c r="BI37" i="22" s="1"/>
  <c r="AG44" i="22"/>
  <c r="AS44" i="22" s="1"/>
  <c r="BC44" i="22" s="1"/>
  <c r="N44" i="22"/>
  <c r="N51" i="22"/>
  <c r="AG51" i="22"/>
  <c r="AS51" i="22" s="1"/>
  <c r="BC51" i="22" s="1"/>
  <c r="AJ37" i="23"/>
  <c r="AV37" i="23" s="1"/>
  <c r="BF37" i="23" s="1"/>
  <c r="V37" i="21"/>
  <c r="AG39" i="21"/>
  <c r="R53" i="21"/>
  <c r="AN38" i="22"/>
  <c r="AZ38" i="22" s="1"/>
  <c r="BJ38" i="22" s="1"/>
  <c r="Y38" i="22"/>
  <c r="N52" i="22"/>
  <c r="AG52" i="22"/>
  <c r="AS52" i="22" s="1"/>
  <c r="BC52" i="22" s="1"/>
  <c r="R52" i="22"/>
  <c r="R53" i="22"/>
  <c r="AG53" i="22"/>
  <c r="AS53" i="22" s="1"/>
  <c r="BC53" i="22" s="1"/>
  <c r="N53" i="22"/>
  <c r="R55" i="22"/>
  <c r="AG55" i="22"/>
  <c r="AS55" i="22" s="1"/>
  <c r="BC55" i="22" s="1"/>
  <c r="N55" i="22"/>
  <c r="AG56" i="22"/>
  <c r="AS56" i="22" s="1"/>
  <c r="BC56" i="22" s="1"/>
  <c r="R56" i="22"/>
  <c r="N56" i="22"/>
  <c r="R58" i="22"/>
  <c r="AG58" i="22"/>
  <c r="AS58" i="22" s="1"/>
  <c r="BC58" i="22" s="1"/>
  <c r="N58" i="22"/>
  <c r="AG59" i="22"/>
  <c r="AS59" i="22" s="1"/>
  <c r="BC59" i="22" s="1"/>
  <c r="N59" i="22"/>
  <c r="R59" i="22"/>
  <c r="AG60" i="22"/>
  <c r="AS60" i="22" s="1"/>
  <c r="BC60" i="22" s="1"/>
  <c r="R60" i="22"/>
  <c r="N60" i="22"/>
  <c r="N62" i="22"/>
  <c r="AG62" i="22"/>
  <c r="AS62" i="22" s="1"/>
  <c r="BC62" i="22" s="1"/>
  <c r="R62" i="22"/>
  <c r="AG63" i="22"/>
  <c r="AS63" i="22" s="1"/>
  <c r="BC63" i="22" s="1"/>
  <c r="N63" i="22"/>
  <c r="R63" i="22"/>
  <c r="AG64" i="22"/>
  <c r="AS64" i="22" s="1"/>
  <c r="BC64" i="22" s="1"/>
  <c r="R64" i="22"/>
  <c r="N64" i="22"/>
  <c r="AL38" i="23"/>
  <c r="AX38" i="23" s="1"/>
  <c r="BH38" i="23" s="1"/>
  <c r="AH38" i="23"/>
  <c r="AT38" i="23" s="1"/>
  <c r="BD38" i="23" s="1"/>
  <c r="S38" i="23"/>
  <c r="R49" i="23"/>
  <c r="AG49" i="23"/>
  <c r="AS49" i="23" s="1"/>
  <c r="BC49" i="23" s="1"/>
  <c r="N49" i="23"/>
  <c r="AK37" i="21"/>
  <c r="R46" i="22"/>
  <c r="N46" i="22"/>
  <c r="AG46" i="22"/>
  <c r="AS46" i="22" s="1"/>
  <c r="BC46" i="22" s="1"/>
  <c r="N43" i="22"/>
  <c r="AG43" i="22"/>
  <c r="AS43" i="22" s="1"/>
  <c r="BC43" i="22" s="1"/>
  <c r="R43" i="22"/>
  <c r="AJ38" i="21"/>
  <c r="V38" i="21"/>
  <c r="AN38" i="23"/>
  <c r="AZ38" i="23" s="1"/>
  <c r="BJ38" i="23" s="1"/>
  <c r="AF41" i="21"/>
  <c r="R44" i="22"/>
  <c r="AG61" i="22"/>
  <c r="AS61" i="22" s="1"/>
  <c r="BC61" i="22" s="1"/>
  <c r="N61" i="22"/>
  <c r="Y37" i="23"/>
  <c r="AN37" i="23"/>
  <c r="AZ37" i="23" s="1"/>
  <c r="BJ37" i="23" s="1"/>
  <c r="R43" i="23"/>
  <c r="N43" i="23"/>
  <c r="AG43" i="23"/>
  <c r="AS43" i="23" s="1"/>
  <c r="BC43" i="23" s="1"/>
  <c r="AG51" i="23"/>
  <c r="AS51" i="23" s="1"/>
  <c r="BC51" i="23" s="1"/>
  <c r="N51" i="23"/>
  <c r="R51" i="23"/>
  <c r="AG52" i="23"/>
  <c r="AS52" i="23" s="1"/>
  <c r="BC52" i="23" s="1"/>
  <c r="N52" i="23"/>
  <c r="R52" i="23"/>
  <c r="R53" i="23"/>
  <c r="N53" i="23"/>
  <c r="AG53" i="23"/>
  <c r="AS53" i="23" s="1"/>
  <c r="BC53" i="23" s="1"/>
  <c r="N54" i="23"/>
  <c r="AG54" i="23"/>
  <c r="AS54" i="23" s="1"/>
  <c r="BC54" i="23" s="1"/>
  <c r="R54" i="23"/>
  <c r="AG55" i="23"/>
  <c r="AS55" i="23" s="1"/>
  <c r="BC55" i="23" s="1"/>
  <c r="R55" i="23"/>
  <c r="N55" i="23"/>
  <c r="R56" i="23"/>
  <c r="N56" i="23"/>
  <c r="AG56" i="23"/>
  <c r="AS56" i="23" s="1"/>
  <c r="BC56" i="23" s="1"/>
  <c r="R57" i="23"/>
  <c r="AG57" i="23"/>
  <c r="AS57" i="23" s="1"/>
  <c r="BC57" i="23" s="1"/>
  <c r="AG58" i="23"/>
  <c r="AS58" i="23" s="1"/>
  <c r="BC58" i="23" s="1"/>
  <c r="R58" i="23"/>
  <c r="N58" i="23"/>
  <c r="AG59" i="23"/>
  <c r="AS59" i="23" s="1"/>
  <c r="BC59" i="23" s="1"/>
  <c r="N59" i="23"/>
  <c r="R59" i="23"/>
  <c r="AG60" i="23"/>
  <c r="AS60" i="23" s="1"/>
  <c r="BC60" i="23" s="1"/>
  <c r="N60" i="23"/>
  <c r="R60" i="23"/>
  <c r="N61" i="23"/>
  <c r="AG61" i="23"/>
  <c r="AS61" i="23" s="1"/>
  <c r="BC61" i="23" s="1"/>
  <c r="R61" i="23"/>
  <c r="N62" i="23"/>
  <c r="R62" i="23"/>
  <c r="AG62" i="23"/>
  <c r="AS62" i="23" s="1"/>
  <c r="BC62" i="23" s="1"/>
  <c r="R63" i="23"/>
  <c r="AG63" i="23"/>
  <c r="AS63" i="23" s="1"/>
  <c r="BC63" i="23" s="1"/>
  <c r="N63" i="23"/>
  <c r="R64" i="23"/>
  <c r="N64" i="23"/>
  <c r="AG64" i="23"/>
  <c r="AS64" i="23" s="1"/>
  <c r="BC64" i="23" s="1"/>
  <c r="R50" i="21"/>
  <c r="AF50" i="21"/>
  <c r="N50" i="21"/>
  <c r="AK39" i="21"/>
  <c r="N60" i="21"/>
  <c r="AF60" i="21"/>
  <c r="R60" i="21"/>
  <c r="R50" i="22"/>
  <c r="N50" i="22"/>
  <c r="AG50" i="22"/>
  <c r="AS50" i="22" s="1"/>
  <c r="BC50" i="22" s="1"/>
  <c r="AG41" i="23"/>
  <c r="AS41" i="23" s="1"/>
  <c r="BC41" i="23" s="1"/>
  <c r="R41" i="23"/>
  <c r="N41" i="23"/>
  <c r="X38" i="23"/>
  <c r="AM38" i="23"/>
  <c r="AY38" i="23" s="1"/>
  <c r="BI38" i="23" s="1"/>
  <c r="AO39" i="22"/>
  <c r="BA39" i="22" s="1"/>
  <c r="BK39" i="22" s="1"/>
  <c r="AN39" i="22"/>
  <c r="AZ39" i="22" s="1"/>
  <c r="BJ39" i="22" s="1"/>
  <c r="AL39" i="22"/>
  <c r="AX39" i="22" s="1"/>
  <c r="BH39" i="22" s="1"/>
  <c r="AI39" i="22"/>
  <c r="AU39" i="22" s="1"/>
  <c r="BE39" i="22" s="1"/>
  <c r="N63" i="21"/>
  <c r="AF63" i="21"/>
  <c r="AG45" i="22"/>
  <c r="AS45" i="22" s="1"/>
  <c r="BC45" i="22" s="1"/>
  <c r="R45" i="22"/>
  <c r="I40" i="22"/>
  <c r="AG47" i="23"/>
  <c r="AS47" i="23" s="1"/>
  <c r="BC47" i="23" s="1"/>
  <c r="R47" i="23"/>
  <c r="N47" i="23"/>
  <c r="AN39" i="23"/>
  <c r="AZ39" i="23" s="1"/>
  <c r="BJ39" i="23" s="1"/>
  <c r="AO39" i="23"/>
  <c r="BA39" i="23" s="1"/>
  <c r="BK39" i="23" s="1"/>
  <c r="AL39" i="23"/>
  <c r="AX39" i="23" s="1"/>
  <c r="BH39" i="23" s="1"/>
  <c r="AK38" i="21"/>
  <c r="W38" i="21"/>
  <c r="N54" i="21"/>
  <c r="AF54" i="21"/>
  <c r="R54" i="21"/>
  <c r="R55" i="21"/>
  <c r="R63" i="21"/>
  <c r="V38" i="22"/>
  <c r="AK38" i="22"/>
  <c r="AW38" i="22" s="1"/>
  <c r="BG38" i="22" s="1"/>
  <c r="I40" i="21"/>
  <c r="O40" i="21" s="1"/>
  <c r="R41" i="21"/>
  <c r="AF42" i="21"/>
  <c r="N45" i="21"/>
  <c r="N51" i="21"/>
  <c r="AF51" i="21"/>
  <c r="N58" i="21"/>
  <c r="AF58" i="21"/>
  <c r="R58" i="21"/>
  <c r="R59" i="21"/>
  <c r="AG42" i="23"/>
  <c r="AS42" i="23" s="1"/>
  <c r="BC42" i="23" s="1"/>
  <c r="R42" i="23"/>
  <c r="N42" i="23"/>
  <c r="N50" i="23"/>
  <c r="AG50" i="23"/>
  <c r="AS50" i="23" s="1"/>
  <c r="BC50" i="23" s="1"/>
  <c r="R50" i="23"/>
  <c r="T37" i="23"/>
  <c r="AI37" i="23"/>
  <c r="AU37" i="23" s="1"/>
  <c r="BE37" i="23" s="1"/>
  <c r="N57" i="23"/>
  <c r="AI37" i="22"/>
  <c r="AU37" i="22" s="1"/>
  <c r="BE37" i="22" s="1"/>
  <c r="AG41" i="22"/>
  <c r="AS41" i="22" s="1"/>
  <c r="BC41" i="22" s="1"/>
  <c r="R41" i="22"/>
  <c r="AH39" i="23"/>
  <c r="AT39" i="23" s="1"/>
  <c r="BD39" i="23" s="1"/>
  <c r="R45" i="23"/>
  <c r="AG45" i="23"/>
  <c r="AS45" i="23" s="1"/>
  <c r="BC45" i="23" s="1"/>
  <c r="N45" i="23"/>
  <c r="AH38" i="22"/>
  <c r="AT38" i="22" s="1"/>
  <c r="BD38" i="22" s="1"/>
  <c r="S38" i="22"/>
  <c r="AJ37" i="22"/>
  <c r="AV37" i="22" s="1"/>
  <c r="BF37" i="22" s="1"/>
  <c r="AJ38" i="23"/>
  <c r="AV38" i="23" s="1"/>
  <c r="BF38" i="23" s="1"/>
  <c r="U38" i="23"/>
  <c r="I40" i="23"/>
  <c r="T38" i="23"/>
  <c r="R47" i="24"/>
  <c r="N47" i="24"/>
  <c r="AG47" i="24"/>
  <c r="BN47" i="24" s="1"/>
  <c r="AS47" i="24"/>
  <c r="N40" i="22"/>
  <c r="R42" i="22"/>
  <c r="N42" i="22"/>
  <c r="X37" i="23"/>
  <c r="AI38" i="22"/>
  <c r="AU38" i="22" s="1"/>
  <c r="BE38" i="22" s="1"/>
  <c r="T38" i="22"/>
  <c r="AG49" i="22"/>
  <c r="AS49" i="22" s="1"/>
  <c r="BC49" i="22" s="1"/>
  <c r="R49" i="22"/>
  <c r="AG44" i="23"/>
  <c r="AS44" i="23" s="1"/>
  <c r="BC44" i="23" s="1"/>
  <c r="R44" i="23"/>
  <c r="AG40" i="23"/>
  <c r="AS40" i="23" s="1"/>
  <c r="BC40" i="23" s="1"/>
  <c r="AI37" i="24"/>
  <c r="BP37" i="24" s="1"/>
  <c r="AU37" i="24" s="1"/>
  <c r="AI39" i="23"/>
  <c r="AU39" i="23" s="1"/>
  <c r="BE39" i="23" s="1"/>
  <c r="AL37" i="24"/>
  <c r="BS37" i="24" s="1"/>
  <c r="AX37" i="24" s="1"/>
  <c r="W37" i="24"/>
  <c r="AL38" i="24"/>
  <c r="BS38" i="24" s="1"/>
  <c r="AX38" i="24" s="1"/>
  <c r="W38" i="24"/>
  <c r="AS45" i="24"/>
  <c r="AG45" i="24"/>
  <c r="BN45" i="24" s="1"/>
  <c r="R45" i="24"/>
  <c r="N45" i="24"/>
  <c r="AS41" i="24"/>
  <c r="AG41" i="24"/>
  <c r="BN41" i="24" s="1"/>
  <c r="R41" i="24"/>
  <c r="N41" i="24"/>
  <c r="AK38" i="23"/>
  <c r="AW38" i="23" s="1"/>
  <c r="BG38" i="23" s="1"/>
  <c r="V38" i="23"/>
  <c r="N46" i="23"/>
  <c r="R46" i="23"/>
  <c r="AS40" i="24"/>
  <c r="R40" i="24"/>
  <c r="N40" i="24"/>
  <c r="AG40" i="24"/>
  <c r="BN40" i="24" s="1"/>
  <c r="Y37" i="24"/>
  <c r="AN37" i="24"/>
  <c r="BU37" i="24" s="1"/>
  <c r="AZ37" i="24" s="1"/>
  <c r="N44" i="24"/>
  <c r="AG44" i="24"/>
  <c r="BN44" i="24" s="1"/>
  <c r="R44" i="24"/>
  <c r="AI38" i="24"/>
  <c r="BP38" i="24" s="1"/>
  <c r="AU38" i="24" s="1"/>
  <c r="T38" i="24"/>
  <c r="N48" i="24"/>
  <c r="AS48" i="24"/>
  <c r="R48" i="24"/>
  <c r="R63" i="24"/>
  <c r="AG63" i="24"/>
  <c r="BN63" i="24" s="1"/>
  <c r="N63" i="24"/>
  <c r="AS63" i="24"/>
  <c r="AJ38" i="24"/>
  <c r="BQ38" i="24" s="1"/>
  <c r="AV38" i="24" s="1"/>
  <c r="U38" i="24"/>
  <c r="I40" i="24"/>
  <c r="O40" i="24" s="1"/>
  <c r="U37" i="24"/>
  <c r="R42" i="24"/>
  <c r="N42" i="24"/>
  <c r="AS42" i="24"/>
  <c r="N50" i="24"/>
  <c r="AS50" i="24"/>
  <c r="R50" i="24"/>
  <c r="X38" i="24"/>
  <c r="AM38" i="24"/>
  <c r="BT38" i="24" s="1"/>
  <c r="AY38" i="24" s="1"/>
  <c r="AG42" i="24"/>
  <c r="BN42" i="24" s="1"/>
  <c r="AN38" i="24"/>
  <c r="BU38" i="24" s="1"/>
  <c r="AZ38" i="24" s="1"/>
  <c r="AS46" i="24"/>
  <c r="AG46" i="24"/>
  <c r="BN46" i="24" s="1"/>
  <c r="R46" i="24"/>
  <c r="AH39" i="24"/>
  <c r="BO39" i="24" s="1"/>
  <c r="AT39" i="24" s="1"/>
  <c r="N46" i="24"/>
  <c r="R43" i="24"/>
  <c r="N43" i="24"/>
  <c r="AS51" i="24"/>
  <c r="R51" i="24"/>
  <c r="N51" i="24"/>
  <c r="N52" i="24"/>
  <c r="AG52" i="24"/>
  <c r="BN52" i="24" s="1"/>
  <c r="R52" i="24"/>
  <c r="AS52" i="24"/>
  <c r="N53" i="24"/>
  <c r="AS53" i="24"/>
  <c r="R54" i="24"/>
  <c r="AS54" i="24"/>
  <c r="AG55" i="24"/>
  <c r="BN55" i="24" s="1"/>
  <c r="AS55" i="24"/>
  <c r="N55" i="24"/>
  <c r="R56" i="24"/>
  <c r="AS56" i="24"/>
  <c r="AG56" i="24"/>
  <c r="BN56" i="24" s="1"/>
  <c r="N56" i="24"/>
  <c r="AS57" i="24"/>
  <c r="AG57" i="24"/>
  <c r="BN57" i="24" s="1"/>
  <c r="R57" i="24"/>
  <c r="AG58" i="24"/>
  <c r="BN58" i="24" s="1"/>
  <c r="N58" i="24"/>
  <c r="R58" i="24"/>
  <c r="AS58" i="24"/>
  <c r="AS59" i="24"/>
  <c r="AG59" i="24"/>
  <c r="BN59" i="24" s="1"/>
  <c r="R59" i="24"/>
  <c r="AS60" i="24"/>
  <c r="R60" i="24"/>
  <c r="AG60" i="24"/>
  <c r="BN60" i="24" s="1"/>
  <c r="AS61" i="24"/>
  <c r="AG61" i="24"/>
  <c r="BN61" i="24" s="1"/>
  <c r="R61" i="24"/>
  <c r="N61" i="24"/>
  <c r="N62" i="24"/>
  <c r="R62" i="24"/>
  <c r="AG62" i="24"/>
  <c r="BN62" i="24" s="1"/>
  <c r="AS62" i="24"/>
  <c r="R64" i="24"/>
  <c r="AS64" i="24"/>
  <c r="N64" i="24"/>
  <c r="AG53" i="24"/>
  <c r="BN53" i="24" s="1"/>
  <c r="N57" i="24"/>
  <c r="I20" i="8"/>
  <c r="AB39" i="19"/>
  <c r="AL39" i="19" s="1"/>
  <c r="U39" i="19"/>
  <c r="AH39" i="19" s="1"/>
  <c r="AR39" i="19" s="1"/>
  <c r="S39" i="19"/>
  <c r="AF39" i="19" s="1"/>
  <c r="AP39" i="19" s="1"/>
  <c r="R39" i="19"/>
  <c r="AE39" i="19" s="1"/>
  <c r="AO39" i="19" s="1"/>
  <c r="H39" i="19"/>
  <c r="F39" i="19"/>
  <c r="C39" i="19"/>
  <c r="B39" i="19"/>
  <c r="AJ38" i="19"/>
  <c r="AT38" i="19" s="1"/>
  <c r="AB38" i="19"/>
  <c r="H31" i="19"/>
  <c r="G31" i="19"/>
  <c r="E31" i="19"/>
  <c r="D31" i="19"/>
  <c r="B31" i="19"/>
  <c r="A31" i="19"/>
  <c r="H30" i="19"/>
  <c r="G30" i="19"/>
  <c r="E30" i="19"/>
  <c r="D30" i="19"/>
  <c r="B30" i="19"/>
  <c r="A30" i="19"/>
  <c r="H29" i="19"/>
  <c r="G29" i="19"/>
  <c r="E29" i="19"/>
  <c r="D29" i="19"/>
  <c r="B29" i="19"/>
  <c r="A29" i="19"/>
  <c r="H28" i="19"/>
  <c r="G28" i="19"/>
  <c r="E28" i="19"/>
  <c r="D28" i="19"/>
  <c r="B28" i="19"/>
  <c r="A28" i="19"/>
  <c r="A64" i="19" s="1"/>
  <c r="H27" i="19"/>
  <c r="G27" i="19"/>
  <c r="E27" i="19"/>
  <c r="D27" i="19"/>
  <c r="B27" i="19"/>
  <c r="A27" i="19"/>
  <c r="A63" i="19" s="1"/>
  <c r="O63" i="19" s="1"/>
  <c r="AB63" i="19" s="1"/>
  <c r="H26" i="19"/>
  <c r="G26" i="19"/>
  <c r="E26" i="19"/>
  <c r="D26" i="19"/>
  <c r="B26" i="19"/>
  <c r="A26" i="19"/>
  <c r="A62" i="19" s="1"/>
  <c r="H25" i="19"/>
  <c r="G25" i="19"/>
  <c r="E25" i="19"/>
  <c r="D25" i="19"/>
  <c r="B25" i="19"/>
  <c r="A25" i="19"/>
  <c r="A61" i="19" s="1"/>
  <c r="H24" i="19"/>
  <c r="G24" i="19"/>
  <c r="E24" i="19"/>
  <c r="D24" i="19"/>
  <c r="B24" i="19"/>
  <c r="A24" i="19"/>
  <c r="A60" i="19" s="1"/>
  <c r="H23" i="19"/>
  <c r="G23" i="19"/>
  <c r="E23" i="19"/>
  <c r="D23" i="19"/>
  <c r="B23" i="19"/>
  <c r="A23" i="19"/>
  <c r="A59" i="19" s="1"/>
  <c r="AL59" i="19" s="1"/>
  <c r="H22" i="19"/>
  <c r="G22" i="19"/>
  <c r="E22" i="19"/>
  <c r="D22" i="19"/>
  <c r="B22" i="19"/>
  <c r="A22" i="19"/>
  <c r="A58" i="19" s="1"/>
  <c r="H21" i="19"/>
  <c r="G21" i="19"/>
  <c r="E21" i="19"/>
  <c r="D21" i="19"/>
  <c r="B21" i="19"/>
  <c r="A21" i="19"/>
  <c r="A57" i="19" s="1"/>
  <c r="H20" i="19"/>
  <c r="G20" i="19"/>
  <c r="E20" i="19"/>
  <c r="D20" i="19"/>
  <c r="B20" i="19"/>
  <c r="A20" i="19"/>
  <c r="A56" i="19" s="1"/>
  <c r="H19" i="19"/>
  <c r="G19" i="19"/>
  <c r="E19" i="19"/>
  <c r="D19" i="19"/>
  <c r="B19" i="19"/>
  <c r="A19" i="19"/>
  <c r="A55" i="19" s="1"/>
  <c r="O55" i="19" s="1"/>
  <c r="AB55" i="19" s="1"/>
  <c r="H18" i="19"/>
  <c r="G18" i="19"/>
  <c r="E18" i="19"/>
  <c r="D18" i="19"/>
  <c r="B18" i="19"/>
  <c r="A18" i="19"/>
  <c r="A54" i="19" s="1"/>
  <c r="H17" i="19"/>
  <c r="G17" i="19"/>
  <c r="E17" i="19"/>
  <c r="D17" i="19"/>
  <c r="B17" i="19"/>
  <c r="A17" i="19"/>
  <c r="A53" i="19" s="1"/>
  <c r="AL53" i="19" s="1"/>
  <c r="H16" i="19"/>
  <c r="G16" i="19"/>
  <c r="E16" i="19"/>
  <c r="D16" i="19"/>
  <c r="B16" i="19"/>
  <c r="A16" i="19"/>
  <c r="A52" i="19" s="1"/>
  <c r="H15" i="19"/>
  <c r="G15" i="19"/>
  <c r="E15" i="19"/>
  <c r="D15" i="19"/>
  <c r="B15" i="19"/>
  <c r="A15" i="19"/>
  <c r="A51" i="19" s="1"/>
  <c r="H14" i="19"/>
  <c r="G14" i="19"/>
  <c r="C14" i="19"/>
  <c r="B14" i="19"/>
  <c r="A14" i="19"/>
  <c r="A50" i="19" s="1"/>
  <c r="H13" i="19"/>
  <c r="G13" i="19"/>
  <c r="C13" i="19"/>
  <c r="B13" i="19"/>
  <c r="A13" i="19"/>
  <c r="A49" i="19" s="1"/>
  <c r="O49" i="19" s="1"/>
  <c r="AB49" i="19" s="1"/>
  <c r="H12" i="19"/>
  <c r="F12" i="19"/>
  <c r="C12" i="19"/>
  <c r="B12" i="19"/>
  <c r="A12" i="19"/>
  <c r="A48" i="19" s="1"/>
  <c r="AL48" i="19" s="1"/>
  <c r="H11" i="19"/>
  <c r="F11" i="19"/>
  <c r="C11" i="19"/>
  <c r="B11" i="19"/>
  <c r="A11" i="19"/>
  <c r="A47" i="19" s="1"/>
  <c r="H10" i="19"/>
  <c r="F10" i="19"/>
  <c r="C10" i="19"/>
  <c r="B10" i="19"/>
  <c r="A10" i="19"/>
  <c r="A46" i="19" s="1"/>
  <c r="H9" i="19"/>
  <c r="F9" i="19"/>
  <c r="C9" i="19"/>
  <c r="B9" i="19"/>
  <c r="A9" i="19"/>
  <c r="A45" i="19" s="1"/>
  <c r="O45" i="19" s="1"/>
  <c r="AB45" i="19" s="1"/>
  <c r="H8" i="19"/>
  <c r="F8" i="19"/>
  <c r="C8" i="19"/>
  <c r="B8" i="19"/>
  <c r="A8" i="19"/>
  <c r="A44" i="19" s="1"/>
  <c r="AL44" i="19" s="1"/>
  <c r="H7" i="19"/>
  <c r="F7" i="19"/>
  <c r="C7" i="19"/>
  <c r="B7" i="19"/>
  <c r="A7" i="19"/>
  <c r="A43" i="19" s="1"/>
  <c r="H6" i="19"/>
  <c r="F6" i="19"/>
  <c r="C6" i="19"/>
  <c r="B6" i="19"/>
  <c r="A6" i="19"/>
  <c r="A42" i="19" s="1"/>
  <c r="AL42" i="19" s="1"/>
  <c r="H5" i="19"/>
  <c r="F5" i="19"/>
  <c r="C5" i="19"/>
  <c r="B5" i="19"/>
  <c r="A5" i="19"/>
  <c r="A41" i="19" s="1"/>
  <c r="H4" i="19"/>
  <c r="F4" i="19"/>
  <c r="C4" i="19"/>
  <c r="B4" i="19"/>
  <c r="A4" i="19"/>
  <c r="A40" i="19" s="1"/>
  <c r="H3" i="19"/>
  <c r="H38" i="19" s="1"/>
  <c r="V38" i="19" s="1"/>
  <c r="AI38" i="19" s="1"/>
  <c r="AS38" i="19" s="1"/>
  <c r="G3" i="19"/>
  <c r="G38" i="19" s="1"/>
  <c r="U38" i="19" s="1"/>
  <c r="AH38" i="19" s="1"/>
  <c r="AR38" i="19" s="1"/>
  <c r="F3" i="19"/>
  <c r="F38" i="19" s="1"/>
  <c r="T38" i="19" s="1"/>
  <c r="AG38" i="19" s="1"/>
  <c r="AQ38" i="19" s="1"/>
  <c r="E3" i="19"/>
  <c r="E38" i="19" s="1"/>
  <c r="S38" i="19" s="1"/>
  <c r="AF38" i="19" s="1"/>
  <c r="AP38" i="19" s="1"/>
  <c r="D3" i="19"/>
  <c r="D38" i="19" s="1"/>
  <c r="R38" i="19" s="1"/>
  <c r="AE38" i="19" s="1"/>
  <c r="AO38" i="19" s="1"/>
  <c r="C3" i="19"/>
  <c r="C38" i="19" s="1"/>
  <c r="Q38" i="19" s="1"/>
  <c r="AD38" i="19" s="1"/>
  <c r="AN38" i="19" s="1"/>
  <c r="B3" i="19"/>
  <c r="B38" i="19" s="1"/>
  <c r="P38" i="19" s="1"/>
  <c r="AC38" i="19" s="1"/>
  <c r="AM38" i="19" s="1"/>
  <c r="A3" i="19"/>
  <c r="H2" i="19"/>
  <c r="H37" i="19" s="1"/>
  <c r="V37" i="19" s="1"/>
  <c r="AI37" i="19" s="1"/>
  <c r="AS37" i="19" s="1"/>
  <c r="G2" i="19"/>
  <c r="G37" i="19" s="1"/>
  <c r="U37" i="19" s="1"/>
  <c r="AH37" i="19" s="1"/>
  <c r="AR37" i="19" s="1"/>
  <c r="F2" i="19"/>
  <c r="F37" i="19" s="1"/>
  <c r="T37" i="19" s="1"/>
  <c r="AG37" i="19" s="1"/>
  <c r="AQ37" i="19" s="1"/>
  <c r="E2" i="19"/>
  <c r="E37" i="19" s="1"/>
  <c r="S37" i="19" s="1"/>
  <c r="AF37" i="19" s="1"/>
  <c r="AP37" i="19" s="1"/>
  <c r="D2" i="19"/>
  <c r="D37" i="19" s="1"/>
  <c r="R37" i="19" s="1"/>
  <c r="AE37" i="19" s="1"/>
  <c r="AO37" i="19" s="1"/>
  <c r="C2" i="19"/>
  <c r="C37" i="19" s="1"/>
  <c r="Q37" i="19" s="1"/>
  <c r="AD37" i="19" s="1"/>
  <c r="AN37" i="19" s="1"/>
  <c r="B2" i="19"/>
  <c r="B37" i="19" s="1"/>
  <c r="P37" i="19" s="1"/>
  <c r="AC37" i="19" s="1"/>
  <c r="AM37" i="19" s="1"/>
  <c r="O40" i="22" l="1"/>
  <c r="Q41" i="26"/>
  <c r="O42" i="29"/>
  <c r="O43" i="29" s="1"/>
  <c r="O44" i="29" s="1"/>
  <c r="O45" i="29" s="1"/>
  <c r="O46" i="29" s="1"/>
  <c r="O47" i="29" s="1"/>
  <c r="O48" i="29" s="1"/>
  <c r="O49" i="29" s="1"/>
  <c r="O50" i="29" s="1"/>
  <c r="O51" i="29" s="1"/>
  <c r="O52" i="29" s="1"/>
  <c r="O53" i="29" s="1"/>
  <c r="O54" i="29" s="1"/>
  <c r="O55" i="29" s="1"/>
  <c r="O56" i="29" s="1"/>
  <c r="O57" i="29" s="1"/>
  <c r="O58" i="29" s="1"/>
  <c r="O59" i="29" s="1"/>
  <c r="O60" i="29" s="1"/>
  <c r="O61" i="29" s="1"/>
  <c r="O62" i="29" s="1"/>
  <c r="O63" i="29" s="1"/>
  <c r="O64" i="29" s="1"/>
  <c r="O65" i="29" s="1"/>
  <c r="F41" i="29"/>
  <c r="W41" i="29" s="1"/>
  <c r="H41" i="29"/>
  <c r="Y41" i="29" s="1"/>
  <c r="C41" i="29"/>
  <c r="T41" i="29" s="1"/>
  <c r="B41" i="29"/>
  <c r="S41" i="29" s="1"/>
  <c r="Z40" i="29"/>
  <c r="AM40" i="29" s="1"/>
  <c r="Y40" i="28"/>
  <c r="Q43" i="28"/>
  <c r="X42" i="28"/>
  <c r="W42" i="28"/>
  <c r="C45" i="28"/>
  <c r="P43" i="28"/>
  <c r="F45" i="28"/>
  <c r="H44" i="28"/>
  <c r="I44" i="28" s="1"/>
  <c r="J44" i="28" s="1"/>
  <c r="K44" i="28" s="1"/>
  <c r="L44" i="28" s="1"/>
  <c r="V43" i="28"/>
  <c r="B45" i="28"/>
  <c r="Y41" i="28"/>
  <c r="T43" i="28"/>
  <c r="O41" i="26"/>
  <c r="O42" i="26" s="1"/>
  <c r="O43" i="26" s="1"/>
  <c r="O44" i="26" s="1"/>
  <c r="O45" i="26" s="1"/>
  <c r="O46" i="26" s="1"/>
  <c r="O47" i="26" s="1"/>
  <c r="O48" i="26" s="1"/>
  <c r="O49" i="26" s="1"/>
  <c r="O50" i="26" s="1"/>
  <c r="O51" i="26" s="1"/>
  <c r="O52" i="26" s="1"/>
  <c r="O53" i="26" s="1"/>
  <c r="O54" i="26" s="1"/>
  <c r="O55" i="26" s="1"/>
  <c r="O56" i="26" s="1"/>
  <c r="O57" i="26" s="1"/>
  <c r="O58" i="26" s="1"/>
  <c r="O59" i="26" s="1"/>
  <c r="O60" i="26" s="1"/>
  <c r="O61" i="26" s="1"/>
  <c r="O62" i="26" s="1"/>
  <c r="O63" i="26" s="1"/>
  <c r="O64" i="26" s="1"/>
  <c r="O65" i="26" s="1"/>
  <c r="AN40" i="25"/>
  <c r="C41" i="25" s="1"/>
  <c r="AI40" i="25"/>
  <c r="AD40" i="25"/>
  <c r="AS40" i="25"/>
  <c r="H41" i="25" s="1"/>
  <c r="Q40" i="25"/>
  <c r="AM40" i="25"/>
  <c r="V40" i="25"/>
  <c r="AQ40" i="25"/>
  <c r="F41" i="25" s="1"/>
  <c r="P40" i="25"/>
  <c r="AG40" i="25"/>
  <c r="AC40" i="25"/>
  <c r="T40" i="25"/>
  <c r="J40" i="25"/>
  <c r="K40" i="25" s="1"/>
  <c r="L40" i="25" s="1"/>
  <c r="J40" i="24"/>
  <c r="K40" i="24" s="1"/>
  <c r="L40" i="24" s="1"/>
  <c r="O40" i="23"/>
  <c r="J40" i="23"/>
  <c r="K40" i="23" s="1"/>
  <c r="L40" i="23" s="1"/>
  <c r="J40" i="21"/>
  <c r="K40" i="21" s="1"/>
  <c r="L40" i="21" s="1"/>
  <c r="J40" i="22"/>
  <c r="K40" i="22" s="1"/>
  <c r="L40" i="22" s="1"/>
  <c r="B40" i="19"/>
  <c r="H40" i="19"/>
  <c r="O51" i="19"/>
  <c r="AB51" i="19" s="1"/>
  <c r="AL51" i="19"/>
  <c r="AL40" i="19"/>
  <c r="O40" i="19"/>
  <c r="AB40" i="19" s="1"/>
  <c r="O59" i="19"/>
  <c r="AB59" i="19" s="1"/>
  <c r="AL55" i="19"/>
  <c r="AL45" i="19"/>
  <c r="O53" i="19"/>
  <c r="AB53" i="19" s="1"/>
  <c r="O44" i="19"/>
  <c r="AB44" i="19" s="1"/>
  <c r="O42" i="19"/>
  <c r="AB42" i="19" s="1"/>
  <c r="O43" i="19"/>
  <c r="AB43" i="19" s="1"/>
  <c r="AL43" i="19"/>
  <c r="O47" i="19"/>
  <c r="AB47" i="19" s="1"/>
  <c r="AL47" i="19"/>
  <c r="O57" i="19"/>
  <c r="AB57" i="19" s="1"/>
  <c r="AL57" i="19"/>
  <c r="AL61" i="19"/>
  <c r="O61" i="19"/>
  <c r="AB61" i="19" s="1"/>
  <c r="I39" i="19"/>
  <c r="T39" i="19" s="1"/>
  <c r="AG39" i="19" s="1"/>
  <c r="AQ39" i="19" s="1"/>
  <c r="O56" i="19"/>
  <c r="AB56" i="19" s="1"/>
  <c r="AL56" i="19"/>
  <c r="O60" i="19"/>
  <c r="AB60" i="19" s="1"/>
  <c r="AL60" i="19"/>
  <c r="AL64" i="19"/>
  <c r="O64" i="19"/>
  <c r="AB64" i="19" s="1"/>
  <c r="AL49" i="19"/>
  <c r="AL46" i="19"/>
  <c r="O46" i="19"/>
  <c r="AB46" i="19" s="1"/>
  <c r="C40" i="19"/>
  <c r="O52" i="19"/>
  <c r="AB52" i="19" s="1"/>
  <c r="AL52" i="19"/>
  <c r="AL50" i="19"/>
  <c r="O50" i="19"/>
  <c r="AB50" i="19" s="1"/>
  <c r="AL54" i="19"/>
  <c r="O54" i="19"/>
  <c r="AB54" i="19" s="1"/>
  <c r="AL62" i="19"/>
  <c r="O62" i="19"/>
  <c r="AB62" i="19" s="1"/>
  <c r="F40" i="19"/>
  <c r="AL41" i="19"/>
  <c r="O41" i="19"/>
  <c r="AB41" i="19" s="1"/>
  <c r="O48" i="19"/>
  <c r="AB48" i="19" s="1"/>
  <c r="AL63" i="19"/>
  <c r="AL58" i="19"/>
  <c r="O58" i="19"/>
  <c r="AB58" i="19" s="1"/>
  <c r="Y42" i="28" l="1"/>
  <c r="O66" i="29"/>
  <c r="I71" i="29" s="1"/>
  <c r="I74" i="29" s="1"/>
  <c r="I41" i="29"/>
  <c r="H42" i="29"/>
  <c r="Y42" i="29" s="1"/>
  <c r="AA40" i="29"/>
  <c r="AB40" i="29" s="1"/>
  <c r="AC40" i="29" s="1"/>
  <c r="AD40" i="29"/>
  <c r="AH40" i="29"/>
  <c r="AK40" i="29"/>
  <c r="AG40" i="29"/>
  <c r="C42" i="29"/>
  <c r="T42" i="29" s="1"/>
  <c r="F42" i="29"/>
  <c r="W42" i="29" s="1"/>
  <c r="P44" i="28"/>
  <c r="T44" i="28"/>
  <c r="X43" i="28"/>
  <c r="W43" i="28"/>
  <c r="B46" i="28"/>
  <c r="H45" i="28"/>
  <c r="V44" i="28"/>
  <c r="Q44" i="28"/>
  <c r="F46" i="28"/>
  <c r="C46" i="28"/>
  <c r="Z40" i="26"/>
  <c r="AN40" i="26" s="1"/>
  <c r="AT40" i="25"/>
  <c r="AU40" i="25" s="1"/>
  <c r="B41" i="25"/>
  <c r="I41" i="25" s="1"/>
  <c r="AC41" i="25" s="1"/>
  <c r="X40" i="25"/>
  <c r="W40" i="25"/>
  <c r="T40" i="23"/>
  <c r="O41" i="23"/>
  <c r="O42" i="23" s="1"/>
  <c r="O43" i="23" s="1"/>
  <c r="O44" i="23" s="1"/>
  <c r="O45" i="23" s="1"/>
  <c r="O46" i="23" s="1"/>
  <c r="O47" i="23" s="1"/>
  <c r="O48" i="23" s="1"/>
  <c r="O49" i="23" s="1"/>
  <c r="O50" i="23" s="1"/>
  <c r="O51" i="23" s="1"/>
  <c r="O52" i="23" s="1"/>
  <c r="O53" i="23" s="1"/>
  <c r="O54" i="23" s="1"/>
  <c r="O55" i="23" s="1"/>
  <c r="O56" i="23" s="1"/>
  <c r="O57" i="23" s="1"/>
  <c r="O58" i="23" s="1"/>
  <c r="O59" i="23" s="1"/>
  <c r="O60" i="23" s="1"/>
  <c r="O61" i="23" s="1"/>
  <c r="O62" i="23" s="1"/>
  <c r="O63" i="23" s="1"/>
  <c r="O64" i="23" s="1"/>
  <c r="O65" i="23" s="1"/>
  <c r="W40" i="23"/>
  <c r="Y40" i="23"/>
  <c r="S40" i="23"/>
  <c r="O41" i="22"/>
  <c r="O42" i="22" s="1"/>
  <c r="O43" i="22" s="1"/>
  <c r="O44" i="22" s="1"/>
  <c r="O45" i="22" s="1"/>
  <c r="O46" i="22" s="1"/>
  <c r="O47" i="22" s="1"/>
  <c r="O48" i="22" s="1"/>
  <c r="O49" i="22" s="1"/>
  <c r="O50" i="22" s="1"/>
  <c r="O51" i="22" s="1"/>
  <c r="O52" i="22" s="1"/>
  <c r="O53" i="22" s="1"/>
  <c r="O54" i="22" s="1"/>
  <c r="O55" i="22" s="1"/>
  <c r="O56" i="22" s="1"/>
  <c r="O57" i="22" s="1"/>
  <c r="O58" i="22" s="1"/>
  <c r="O59" i="22" s="1"/>
  <c r="O60" i="22" s="1"/>
  <c r="O61" i="22" s="1"/>
  <c r="O62" i="22" s="1"/>
  <c r="O63" i="22" s="1"/>
  <c r="O64" i="22" s="1"/>
  <c r="O65" i="22" s="1"/>
  <c r="S40" i="22"/>
  <c r="T40" i="22"/>
  <c r="Y40" i="22"/>
  <c r="W40" i="22"/>
  <c r="O41" i="24"/>
  <c r="O42" i="24" s="1"/>
  <c r="O43" i="24" s="1"/>
  <c r="O44" i="24" s="1"/>
  <c r="O45" i="24" s="1"/>
  <c r="O46" i="24" s="1"/>
  <c r="O47" i="24" s="1"/>
  <c r="O48" i="24" s="1"/>
  <c r="O49" i="24" s="1"/>
  <c r="O50" i="24" s="1"/>
  <c r="O51" i="24" s="1"/>
  <c r="O52" i="24" s="1"/>
  <c r="O53" i="24" s="1"/>
  <c r="O54" i="24" s="1"/>
  <c r="O55" i="24" s="1"/>
  <c r="O56" i="24" s="1"/>
  <c r="O57" i="24" s="1"/>
  <c r="O58" i="24" s="1"/>
  <c r="O59" i="24" s="1"/>
  <c r="O60" i="24" s="1"/>
  <c r="O61" i="24" s="1"/>
  <c r="O62" i="24" s="1"/>
  <c r="O63" i="24" s="1"/>
  <c r="O64" i="24" s="1"/>
  <c r="O65" i="24" s="1"/>
  <c r="T40" i="24"/>
  <c r="Y40" i="24"/>
  <c r="S40" i="24"/>
  <c r="W40" i="24"/>
  <c r="O41" i="21"/>
  <c r="O42" i="21" s="1"/>
  <c r="O43" i="21" s="1"/>
  <c r="O44" i="21" s="1"/>
  <c r="O45" i="21" s="1"/>
  <c r="O46" i="21" s="1"/>
  <c r="O47" i="21" s="1"/>
  <c r="O48" i="21" s="1"/>
  <c r="O49" i="21" s="1"/>
  <c r="O50" i="21" s="1"/>
  <c r="O51" i="21" s="1"/>
  <c r="O52" i="21" s="1"/>
  <c r="O53" i="21" s="1"/>
  <c r="O54" i="21" s="1"/>
  <c r="O55" i="21" s="1"/>
  <c r="O56" i="21" s="1"/>
  <c r="O57" i="21" s="1"/>
  <c r="O58" i="21" s="1"/>
  <c r="O59" i="21" s="1"/>
  <c r="O60" i="21" s="1"/>
  <c r="O61" i="21" s="1"/>
  <c r="O62" i="21" s="1"/>
  <c r="O63" i="21" s="1"/>
  <c r="O64" i="21" s="1"/>
  <c r="O65" i="21" s="1"/>
  <c r="W40" i="21"/>
  <c r="T40" i="21"/>
  <c r="S40" i="21"/>
  <c r="Y40" i="21"/>
  <c r="P39" i="19"/>
  <c r="AC39" i="19" s="1"/>
  <c r="AM39" i="19" s="1"/>
  <c r="I40" i="19"/>
  <c r="Q40" i="19" s="1"/>
  <c r="V39" i="19"/>
  <c r="AI39" i="19" s="1"/>
  <c r="AS39" i="19" s="1"/>
  <c r="Q39" i="19"/>
  <c r="AD39" i="19" s="1"/>
  <c r="AN39" i="19" s="1"/>
  <c r="W39" i="19"/>
  <c r="AJ39" i="19" s="1"/>
  <c r="AT39" i="19" s="1"/>
  <c r="Y40" i="25" l="1"/>
  <c r="W44" i="28"/>
  <c r="Y43" i="28"/>
  <c r="H43" i="29"/>
  <c r="Y43" i="29" s="1"/>
  <c r="C43" i="29"/>
  <c r="T43" i="29" s="1"/>
  <c r="J41" i="29"/>
  <c r="K41" i="29" s="1"/>
  <c r="L41" i="29" s="1"/>
  <c r="F43" i="29"/>
  <c r="W43" i="29" s="1"/>
  <c r="AO40" i="29"/>
  <c r="AN40" i="29"/>
  <c r="Z41" i="29"/>
  <c r="B42" i="29"/>
  <c r="S42" i="29" s="1"/>
  <c r="X44" i="28"/>
  <c r="B47" i="28"/>
  <c r="C47" i="28"/>
  <c r="H46" i="28"/>
  <c r="F47" i="28"/>
  <c r="I45" i="28"/>
  <c r="O66" i="26"/>
  <c r="I71" i="26" s="1"/>
  <c r="I74" i="26" s="1"/>
  <c r="AI40" i="26"/>
  <c r="BA40" i="26"/>
  <c r="AA40" i="26"/>
  <c r="AB40" i="26" s="1"/>
  <c r="AC40" i="26" s="1"/>
  <c r="BK40" i="26"/>
  <c r="AD40" i="26"/>
  <c r="AZ40" i="26"/>
  <c r="AU40" i="26"/>
  <c r="AH40" i="26"/>
  <c r="AL40" i="26"/>
  <c r="AT40" i="26"/>
  <c r="AX40" i="26"/>
  <c r="P41" i="25"/>
  <c r="AT41" i="25"/>
  <c r="AU41" i="25" s="1"/>
  <c r="AM41" i="25"/>
  <c r="B42" i="25" s="1"/>
  <c r="AS41" i="25"/>
  <c r="H42" i="25" s="1"/>
  <c r="AN41" i="25"/>
  <c r="C42" i="25" s="1"/>
  <c r="AQ41" i="25"/>
  <c r="F42" i="25" s="1"/>
  <c r="AJ41" i="25"/>
  <c r="J41" i="25"/>
  <c r="K41" i="25" s="1"/>
  <c r="L41" i="25" s="1"/>
  <c r="AD41" i="25"/>
  <c r="Q41" i="25"/>
  <c r="AI41" i="25"/>
  <c r="AG41" i="25"/>
  <c r="V41" i="25"/>
  <c r="T41" i="25"/>
  <c r="B41" i="21"/>
  <c r="Z40" i="21"/>
  <c r="AM40" i="21" s="1"/>
  <c r="AU40" i="24"/>
  <c r="C41" i="24" s="1"/>
  <c r="T41" i="24" s="1"/>
  <c r="C41" i="21"/>
  <c r="T41" i="21" s="1"/>
  <c r="Z40" i="23"/>
  <c r="AT40" i="23" s="1"/>
  <c r="F41" i="21"/>
  <c r="W41" i="21" s="1"/>
  <c r="O66" i="24"/>
  <c r="I71" i="24" s="1"/>
  <c r="BH40" i="22"/>
  <c r="F41" i="22" s="1"/>
  <c r="W41" i="22" s="1"/>
  <c r="O66" i="21"/>
  <c r="I71" i="21" s="1"/>
  <c r="AX40" i="24"/>
  <c r="F41" i="24" s="1"/>
  <c r="W41" i="24" s="1"/>
  <c r="BE40" i="22"/>
  <c r="C41" i="22" s="1"/>
  <c r="T41" i="22" s="1"/>
  <c r="H41" i="21"/>
  <c r="Y41" i="21" s="1"/>
  <c r="AZ40" i="24"/>
  <c r="H41" i="24" s="1"/>
  <c r="Y41" i="24" s="1"/>
  <c r="BJ40" i="22"/>
  <c r="H41" i="22" s="1"/>
  <c r="Y41" i="22" s="1"/>
  <c r="AT40" i="24"/>
  <c r="B41" i="24" s="1"/>
  <c r="Z40" i="24"/>
  <c r="AN40" i="24" s="1"/>
  <c r="Z40" i="22"/>
  <c r="AX40" i="22" s="1"/>
  <c r="BD40" i="22"/>
  <c r="B41" i="22" s="1"/>
  <c r="V40" i="19"/>
  <c r="AG40" i="19"/>
  <c r="P40" i="19"/>
  <c r="J40" i="19"/>
  <c r="K40" i="19" s="1"/>
  <c r="L40" i="19" s="1"/>
  <c r="AD40" i="19"/>
  <c r="AS40" i="19"/>
  <c r="AC40" i="19"/>
  <c r="AJ40" i="19"/>
  <c r="AM40" i="19"/>
  <c r="AI40" i="19"/>
  <c r="T40" i="19"/>
  <c r="AQ40" i="19"/>
  <c r="AN40" i="19"/>
  <c r="H31" i="7"/>
  <c r="G31" i="7"/>
  <c r="E31" i="7"/>
  <c r="D31" i="7"/>
  <c r="B31" i="7"/>
  <c r="A31" i="7"/>
  <c r="E31" i="4"/>
  <c r="D31" i="4"/>
  <c r="A31" i="4"/>
  <c r="I74" i="24" l="1"/>
  <c r="D27" i="8"/>
  <c r="I74" i="21"/>
  <c r="C27" i="8"/>
  <c r="Y44" i="28"/>
  <c r="BS40" i="24"/>
  <c r="AI40" i="23"/>
  <c r="AL40" i="23"/>
  <c r="O66" i="22"/>
  <c r="I71" i="22" s="1"/>
  <c r="AX40" i="23"/>
  <c r="AU40" i="23"/>
  <c r="AT40" i="22"/>
  <c r="AH40" i="22"/>
  <c r="AN40" i="23"/>
  <c r="AP40" i="29"/>
  <c r="F44" i="29"/>
  <c r="W44" i="29" s="1"/>
  <c r="C44" i="29"/>
  <c r="T44" i="29" s="1"/>
  <c r="AD41" i="29"/>
  <c r="AA41" i="29"/>
  <c r="AB41" i="29" s="1"/>
  <c r="AC41" i="29" s="1"/>
  <c r="AK41" i="29"/>
  <c r="AH41" i="29"/>
  <c r="AM41" i="29"/>
  <c r="AG41" i="29"/>
  <c r="I42" i="29"/>
  <c r="H44" i="29"/>
  <c r="Y44" i="29" s="1"/>
  <c r="H47" i="28"/>
  <c r="I46" i="28"/>
  <c r="J45" i="28"/>
  <c r="K45" i="28" s="1"/>
  <c r="L45" i="28" s="1"/>
  <c r="Q45" i="28"/>
  <c r="T45" i="28"/>
  <c r="P45" i="28"/>
  <c r="F48" i="28"/>
  <c r="C48" i="28"/>
  <c r="V45" i="28"/>
  <c r="B48" i="28"/>
  <c r="I47" i="28"/>
  <c r="BH40" i="26"/>
  <c r="F41" i="26" s="1"/>
  <c r="BE40" i="26"/>
  <c r="C41" i="26" s="1"/>
  <c r="BD40" i="26"/>
  <c r="BJ40" i="26"/>
  <c r="H41" i="26" s="1"/>
  <c r="Y41" i="26" s="1"/>
  <c r="AO40" i="26"/>
  <c r="AP40" i="26"/>
  <c r="X41" i="25"/>
  <c r="I42" i="25"/>
  <c r="P42" i="25" s="1"/>
  <c r="W41" i="25"/>
  <c r="BP40" i="24"/>
  <c r="AZ40" i="22"/>
  <c r="BE41" i="22"/>
  <c r="C42" i="22" s="1"/>
  <c r="T42" i="22" s="1"/>
  <c r="AL40" i="22"/>
  <c r="AZ40" i="23"/>
  <c r="AI40" i="24"/>
  <c r="AH40" i="24"/>
  <c r="AZ41" i="24"/>
  <c r="H42" i="24" s="1"/>
  <c r="Y42" i="24" s="1"/>
  <c r="AI40" i="22"/>
  <c r="AH40" i="23"/>
  <c r="AU41" i="24"/>
  <c r="C42" i="24" s="1"/>
  <c r="T42" i="24" s="1"/>
  <c r="C42" i="21"/>
  <c r="T42" i="21" s="1"/>
  <c r="AA40" i="21"/>
  <c r="AB40" i="21" s="1"/>
  <c r="AC40" i="21" s="1"/>
  <c r="AD40" i="21"/>
  <c r="O66" i="23"/>
  <c r="I71" i="23" s="1"/>
  <c r="BO40" i="24"/>
  <c r="AX41" i="24"/>
  <c r="F42" i="24" s="1"/>
  <c r="W42" i="24" s="1"/>
  <c r="F42" i="21"/>
  <c r="W42" i="21" s="1"/>
  <c r="AG40" i="21"/>
  <c r="BJ41" i="22"/>
  <c r="H42" i="22" s="1"/>
  <c r="Y42" i="22" s="1"/>
  <c r="BK40" i="22"/>
  <c r="BA40" i="22"/>
  <c r="AD40" i="22"/>
  <c r="AA40" i="22"/>
  <c r="AB40" i="22" s="1"/>
  <c r="AC40" i="22" s="1"/>
  <c r="BL40" i="22"/>
  <c r="BH41" i="22"/>
  <c r="F42" i="22" s="1"/>
  <c r="W42" i="22" s="1"/>
  <c r="AD40" i="24"/>
  <c r="BB40" i="24"/>
  <c r="AA40" i="24"/>
  <c r="AB40" i="24" s="1"/>
  <c r="AC40" i="24" s="1"/>
  <c r="BV40" i="24"/>
  <c r="BA40" i="24"/>
  <c r="I41" i="24"/>
  <c r="S41" i="24"/>
  <c r="BU40" i="24"/>
  <c r="AU40" i="22"/>
  <c r="BA40" i="23"/>
  <c r="AA40" i="23"/>
  <c r="AB40" i="23" s="1"/>
  <c r="AC40" i="23" s="1"/>
  <c r="AD40" i="23"/>
  <c r="BK40" i="23"/>
  <c r="I41" i="22"/>
  <c r="S41" i="22"/>
  <c r="AN40" i="22"/>
  <c r="H42" i="21"/>
  <c r="Y42" i="21" s="1"/>
  <c r="AL40" i="24"/>
  <c r="AK40" i="21"/>
  <c r="AH40" i="21"/>
  <c r="S41" i="21"/>
  <c r="I41" i="21"/>
  <c r="W40" i="19"/>
  <c r="X40" i="19"/>
  <c r="A5" i="7"/>
  <c r="A6" i="7"/>
  <c r="A7" i="7"/>
  <c r="A8" i="7"/>
  <c r="A9" i="7"/>
  <c r="A10" i="7"/>
  <c r="A11" i="7"/>
  <c r="A12" i="7"/>
  <c r="A13" i="7"/>
  <c r="A14" i="7"/>
  <c r="A15" i="7"/>
  <c r="A16" i="7"/>
  <c r="A17" i="7"/>
  <c r="A18" i="7"/>
  <c r="A19" i="7"/>
  <c r="A20" i="7"/>
  <c r="A21" i="7"/>
  <c r="A22" i="7"/>
  <c r="A23" i="7"/>
  <c r="A24" i="7"/>
  <c r="A25" i="7"/>
  <c r="A26" i="7"/>
  <c r="A27" i="7"/>
  <c r="A28" i="7"/>
  <c r="A29" i="7"/>
  <c r="A30" i="7"/>
  <c r="B30" i="7"/>
  <c r="D30" i="7"/>
  <c r="E30" i="7"/>
  <c r="G30" i="7"/>
  <c r="H30" i="7"/>
  <c r="A30" i="4"/>
  <c r="D30" i="4"/>
  <c r="E30" i="4"/>
  <c r="I74" i="23" l="1"/>
  <c r="I27" i="8"/>
  <c r="I74" i="22"/>
  <c r="B27" i="8"/>
  <c r="Y40" i="19"/>
  <c r="J47" i="28"/>
  <c r="K47" i="28" s="1"/>
  <c r="L47" i="28" s="1"/>
  <c r="AP40" i="22"/>
  <c r="J42" i="29"/>
  <c r="K42" i="29" s="1"/>
  <c r="L42" i="29" s="1"/>
  <c r="C45" i="29"/>
  <c r="T45" i="29" s="1"/>
  <c r="AO41" i="29"/>
  <c r="AN41" i="29"/>
  <c r="Z42" i="29"/>
  <c r="B43" i="29"/>
  <c r="S43" i="29" s="1"/>
  <c r="H45" i="29"/>
  <c r="Y45" i="29" s="1"/>
  <c r="F45" i="29"/>
  <c r="W45" i="29" s="1"/>
  <c r="C49" i="28"/>
  <c r="J46" i="28"/>
  <c r="K46" i="28" s="1"/>
  <c r="L46" i="28" s="1"/>
  <c r="T46" i="28"/>
  <c r="P46" i="28"/>
  <c r="Q46" i="28"/>
  <c r="P47" i="28"/>
  <c r="B49" i="28"/>
  <c r="T47" i="28"/>
  <c r="V46" i="28"/>
  <c r="Q47" i="28"/>
  <c r="W45" i="28"/>
  <c r="X45" i="28"/>
  <c r="G49" i="28"/>
  <c r="H48" i="28"/>
  <c r="V47" i="28"/>
  <c r="B41" i="26"/>
  <c r="S41" i="26" s="1"/>
  <c r="BL40" i="26"/>
  <c r="AQ40" i="26"/>
  <c r="AI42" i="25"/>
  <c r="V42" i="25"/>
  <c r="Y41" i="25"/>
  <c r="T42" i="25"/>
  <c r="AD42" i="25"/>
  <c r="Q42" i="25"/>
  <c r="AQ42" i="25"/>
  <c r="F43" i="25" s="1"/>
  <c r="AJ42" i="25"/>
  <c r="J42" i="25"/>
  <c r="K42" i="25" s="1"/>
  <c r="L42" i="25" s="1"/>
  <c r="AN42" i="25"/>
  <c r="C43" i="25" s="1"/>
  <c r="AS42" i="25"/>
  <c r="H43" i="25" s="1"/>
  <c r="AT42" i="25"/>
  <c r="AU42" i="25" s="1"/>
  <c r="AM42" i="25"/>
  <c r="B43" i="25" s="1"/>
  <c r="AG42" i="25"/>
  <c r="AC42" i="25"/>
  <c r="J41" i="22"/>
  <c r="K41" i="22" s="1"/>
  <c r="L41" i="22" s="1"/>
  <c r="J41" i="24"/>
  <c r="K41" i="24" s="1"/>
  <c r="L41" i="24" s="1"/>
  <c r="AO40" i="21"/>
  <c r="AN40" i="21"/>
  <c r="Z41" i="22"/>
  <c r="AH41" i="22" s="1"/>
  <c r="BD41" i="22"/>
  <c r="B42" i="22" s="1"/>
  <c r="Z41" i="21"/>
  <c r="AG41" i="21" s="1"/>
  <c r="B42" i="21"/>
  <c r="BJ40" i="23"/>
  <c r="H41" i="23" s="1"/>
  <c r="Y41" i="23" s="1"/>
  <c r="BH40" i="23"/>
  <c r="F41" i="23" s="1"/>
  <c r="W41" i="23" s="1"/>
  <c r="BE40" i="23"/>
  <c r="C41" i="23" s="1"/>
  <c r="T41" i="23" s="1"/>
  <c r="BD40" i="23"/>
  <c r="BJ42" i="22"/>
  <c r="H43" i="22" s="1"/>
  <c r="Y43" i="22" s="1"/>
  <c r="F43" i="21"/>
  <c r="W43" i="21" s="1"/>
  <c r="BE42" i="22"/>
  <c r="C43" i="22" s="1"/>
  <c r="T43" i="22" s="1"/>
  <c r="H43" i="21"/>
  <c r="Y43" i="21" s="1"/>
  <c r="AZ42" i="24"/>
  <c r="H43" i="24" s="1"/>
  <c r="Y43" i="24" s="1"/>
  <c r="AO40" i="22"/>
  <c r="J41" i="21"/>
  <c r="K41" i="21" s="1"/>
  <c r="L41" i="21" s="1"/>
  <c r="AT41" i="24"/>
  <c r="B42" i="24" s="1"/>
  <c r="Z41" i="24"/>
  <c r="BO41" i="24" s="1"/>
  <c r="BH42" i="22"/>
  <c r="F43" i="22" s="1"/>
  <c r="W43" i="22" s="1"/>
  <c r="AO40" i="23"/>
  <c r="AP40" i="23"/>
  <c r="C43" i="21"/>
  <c r="T43" i="21" s="1"/>
  <c r="AX42" i="24"/>
  <c r="F43" i="24" s="1"/>
  <c r="W43" i="24" s="1"/>
  <c r="AU42" i="24"/>
  <c r="C43" i="24" s="1"/>
  <c r="T43" i="24" s="1"/>
  <c r="AO40" i="24"/>
  <c r="AP40" i="24"/>
  <c r="B1" i="14"/>
  <c r="C1" i="14"/>
  <c r="D1" i="14"/>
  <c r="AQ40" i="22" l="1"/>
  <c r="AP40" i="21"/>
  <c r="AP41" i="29"/>
  <c r="AA42" i="29"/>
  <c r="AB42" i="29" s="1"/>
  <c r="AC42" i="29" s="1"/>
  <c r="AD42" i="29"/>
  <c r="AK42" i="29"/>
  <c r="AM42" i="29"/>
  <c r="AH42" i="29"/>
  <c r="H46" i="29"/>
  <c r="Y46" i="29" s="1"/>
  <c r="C46" i="29"/>
  <c r="T46" i="29" s="1"/>
  <c r="AG42" i="29"/>
  <c r="F46" i="29"/>
  <c r="W46" i="29" s="1"/>
  <c r="I43" i="29"/>
  <c r="H49" i="28"/>
  <c r="I49" i="28" s="1"/>
  <c r="U49" i="28" s="1"/>
  <c r="X47" i="28"/>
  <c r="W47" i="28"/>
  <c r="Y47" i="28" s="1"/>
  <c r="I48" i="28"/>
  <c r="V48" i="28" s="1"/>
  <c r="Y45" i="28"/>
  <c r="G50" i="28"/>
  <c r="B50" i="28"/>
  <c r="X46" i="28"/>
  <c r="W46" i="28"/>
  <c r="C50" i="28"/>
  <c r="I41" i="26"/>
  <c r="W42" i="25"/>
  <c r="X42" i="25"/>
  <c r="I43" i="25"/>
  <c r="AD43" i="25" s="1"/>
  <c r="AH41" i="24"/>
  <c r="AU43" i="24"/>
  <c r="C44" i="24" s="1"/>
  <c r="T44" i="24" s="1"/>
  <c r="AQ40" i="23"/>
  <c r="S42" i="22"/>
  <c r="I42" i="22"/>
  <c r="B41" i="23"/>
  <c r="BL40" i="23"/>
  <c r="BL41" i="22"/>
  <c r="AA41" i="22"/>
  <c r="AB41" i="22" s="1"/>
  <c r="AC41" i="22" s="1"/>
  <c r="BK41" i="22"/>
  <c r="BA41" i="22"/>
  <c r="AD41" i="22"/>
  <c r="AN41" i="22"/>
  <c r="AX41" i="22"/>
  <c r="AL41" i="22"/>
  <c r="AO41" i="22" s="1"/>
  <c r="AU41" i="22"/>
  <c r="AI41" i="22"/>
  <c r="AZ41" i="22"/>
  <c r="C44" i="21"/>
  <c r="T44" i="21" s="1"/>
  <c r="AQ40" i="24"/>
  <c r="S42" i="21"/>
  <c r="I42" i="21"/>
  <c r="AX43" i="24"/>
  <c r="F44" i="24" s="1"/>
  <c r="W44" i="24" s="1"/>
  <c r="AT41" i="22"/>
  <c r="AZ43" i="24"/>
  <c r="H44" i="24" s="1"/>
  <c r="Y44" i="24" s="1"/>
  <c r="S42" i="24"/>
  <c r="I42" i="24"/>
  <c r="H44" i="21"/>
  <c r="Y44" i="21" s="1"/>
  <c r="AA41" i="21"/>
  <c r="AB41" i="21" s="1"/>
  <c r="AC41" i="21" s="1"/>
  <c r="AD41" i="21"/>
  <c r="AM41" i="21"/>
  <c r="AH41" i="21"/>
  <c r="AK41" i="21"/>
  <c r="BV41" i="24"/>
  <c r="AD41" i="24"/>
  <c r="AA41" i="24"/>
  <c r="AB41" i="24" s="1"/>
  <c r="AC41" i="24" s="1"/>
  <c r="BA41" i="24"/>
  <c r="BB41" i="24"/>
  <c r="BU41" i="24"/>
  <c r="AI41" i="24"/>
  <c r="BS41" i="24"/>
  <c r="AL41" i="24"/>
  <c r="AN41" i="24"/>
  <c r="BP41" i="24"/>
  <c r="F44" i="21"/>
  <c r="W44" i="21" s="1"/>
  <c r="A29" i="8"/>
  <c r="A30" i="8"/>
  <c r="A28" i="8"/>
  <c r="B40" i="1"/>
  <c r="B41" i="1" s="1"/>
  <c r="C40" i="1"/>
  <c r="F40" i="1"/>
  <c r="F41" i="1" s="1"/>
  <c r="H40" i="1"/>
  <c r="I39" i="1"/>
  <c r="W39" i="1" s="1"/>
  <c r="A64" i="1"/>
  <c r="O64" i="1" s="1"/>
  <c r="A59" i="1"/>
  <c r="O59" i="1" s="1"/>
  <c r="A60" i="1"/>
  <c r="O60" i="1" s="1"/>
  <c r="A61" i="1"/>
  <c r="O61" i="1" s="1"/>
  <c r="A62" i="1"/>
  <c r="O62" i="1" s="1"/>
  <c r="A63" i="1"/>
  <c r="O63" i="1" s="1"/>
  <c r="A41" i="1"/>
  <c r="O41" i="1" s="1"/>
  <c r="A42" i="1"/>
  <c r="O42" i="1" s="1"/>
  <c r="A43" i="1"/>
  <c r="O43"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57" i="1"/>
  <c r="O57" i="1" s="1"/>
  <c r="A58" i="1"/>
  <c r="O58" i="1" s="1"/>
  <c r="A40" i="1"/>
  <c r="O40" i="1" s="1"/>
  <c r="H38" i="1"/>
  <c r="V38" i="1" s="1"/>
  <c r="G38" i="1"/>
  <c r="U38" i="1" s="1"/>
  <c r="F38" i="1"/>
  <c r="T38" i="1" s="1"/>
  <c r="E38" i="1"/>
  <c r="S38" i="1" s="1"/>
  <c r="D38" i="1"/>
  <c r="R38" i="1" s="1"/>
  <c r="C38" i="1"/>
  <c r="Q38" i="1" s="1"/>
  <c r="H37" i="1"/>
  <c r="V37" i="1" s="1"/>
  <c r="G37" i="1"/>
  <c r="U37" i="1" s="1"/>
  <c r="F37" i="1"/>
  <c r="T37" i="1" s="1"/>
  <c r="E37" i="1"/>
  <c r="S37" i="1" s="1"/>
  <c r="D37" i="1"/>
  <c r="R37" i="1" s="1"/>
  <c r="C37" i="1"/>
  <c r="Q37" i="1" s="1"/>
  <c r="B38" i="1"/>
  <c r="P38" i="1" s="1"/>
  <c r="B37" i="1"/>
  <c r="P37" i="1" s="1"/>
  <c r="A22" i="3"/>
  <c r="B25" i="7"/>
  <c r="D25" i="7"/>
  <c r="E25" i="7"/>
  <c r="G25" i="7"/>
  <c r="B19" i="7"/>
  <c r="D19" i="7"/>
  <c r="E19" i="7"/>
  <c r="G19" i="7"/>
  <c r="B39" i="7"/>
  <c r="AB39" i="7" s="1"/>
  <c r="B4" i="7"/>
  <c r="B5" i="7"/>
  <c r="B6" i="7"/>
  <c r="B7" i="7"/>
  <c r="B8" i="7"/>
  <c r="B9" i="7"/>
  <c r="B10" i="7"/>
  <c r="B11" i="7"/>
  <c r="B12" i="7"/>
  <c r="B13" i="7"/>
  <c r="B14" i="7"/>
  <c r="B15" i="7"/>
  <c r="B16" i="7"/>
  <c r="B17" i="7"/>
  <c r="B18" i="7"/>
  <c r="C39" i="7"/>
  <c r="AC39" i="7" s="1"/>
  <c r="C4" i="7"/>
  <c r="C5" i="7"/>
  <c r="C6" i="7"/>
  <c r="C7" i="7"/>
  <c r="C8" i="7"/>
  <c r="C9" i="7"/>
  <c r="C10" i="7"/>
  <c r="C11" i="7"/>
  <c r="C12" i="7"/>
  <c r="C13" i="7"/>
  <c r="D15" i="7"/>
  <c r="D16" i="7"/>
  <c r="D17" i="7"/>
  <c r="D18" i="7"/>
  <c r="E15" i="7"/>
  <c r="E16" i="7"/>
  <c r="E17" i="7"/>
  <c r="E18" i="7"/>
  <c r="F39" i="7"/>
  <c r="AF39" i="7" s="1"/>
  <c r="F4" i="7"/>
  <c r="F5" i="7"/>
  <c r="F6" i="7"/>
  <c r="F7" i="7"/>
  <c r="F8" i="7"/>
  <c r="F9" i="7"/>
  <c r="F10" i="7"/>
  <c r="F11" i="7"/>
  <c r="G13" i="7"/>
  <c r="G14" i="7"/>
  <c r="G15" i="7"/>
  <c r="G16" i="7"/>
  <c r="G17" i="7"/>
  <c r="G18" i="7"/>
  <c r="H39" i="7"/>
  <c r="AH39" i="7" s="1"/>
  <c r="H4" i="7"/>
  <c r="H5" i="7"/>
  <c r="H6" i="7"/>
  <c r="H7" i="7"/>
  <c r="H8" i="7"/>
  <c r="H9" i="7"/>
  <c r="H10" i="7"/>
  <c r="H11" i="7"/>
  <c r="H12" i="7"/>
  <c r="H13" i="7"/>
  <c r="H14" i="7"/>
  <c r="H15" i="7"/>
  <c r="H16" i="7"/>
  <c r="H17" i="7"/>
  <c r="H18" i="7"/>
  <c r="H19" i="7"/>
  <c r="B20" i="7"/>
  <c r="B21" i="7"/>
  <c r="B22" i="7"/>
  <c r="B23" i="7"/>
  <c r="B24" i="7"/>
  <c r="R39" i="7"/>
  <c r="D20" i="7"/>
  <c r="D21" i="7"/>
  <c r="D22" i="7"/>
  <c r="D23" i="7"/>
  <c r="D24" i="7"/>
  <c r="S39" i="7"/>
  <c r="E20" i="7"/>
  <c r="E21" i="7"/>
  <c r="E22" i="7"/>
  <c r="E23" i="7"/>
  <c r="E24" i="7"/>
  <c r="U39"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1" i="7"/>
  <c r="O41" i="7" s="1"/>
  <c r="AA41" i="7" s="1"/>
  <c r="A42" i="7"/>
  <c r="O42" i="7" s="1"/>
  <c r="AA42" i="7" s="1"/>
  <c r="A43" i="7"/>
  <c r="O43" i="7" s="1"/>
  <c r="AA43" i="7" s="1"/>
  <c r="A44" i="7"/>
  <c r="O44" i="7" s="1"/>
  <c r="AA44" i="7" s="1"/>
  <c r="A45" i="7"/>
  <c r="O45" i="7" s="1"/>
  <c r="AA45" i="7" s="1"/>
  <c r="A46" i="7"/>
  <c r="O46" i="7" s="1"/>
  <c r="AA46" i="7" s="1"/>
  <c r="A47" i="7"/>
  <c r="O47" i="7" s="1"/>
  <c r="AA47" i="7" s="1"/>
  <c r="A48" i="7"/>
  <c r="O48" i="7" s="1"/>
  <c r="AA48" i="7" s="1"/>
  <c r="A49" i="7"/>
  <c r="O49" i="7" s="1"/>
  <c r="AA49" i="7" s="1"/>
  <c r="A50" i="7"/>
  <c r="O50" i="7" s="1"/>
  <c r="AA50" i="7" s="1"/>
  <c r="A51" i="7"/>
  <c r="O51" i="7" s="1"/>
  <c r="AA51" i="7" s="1"/>
  <c r="A52" i="7"/>
  <c r="O52" i="7" s="1"/>
  <c r="AA52" i="7" s="1"/>
  <c r="A53" i="7"/>
  <c r="O53" i="7" s="1"/>
  <c r="AA53" i="7" s="1"/>
  <c r="A54" i="7"/>
  <c r="O54" i="7" s="1"/>
  <c r="AA54" i="7" s="1"/>
  <c r="A55" i="7"/>
  <c r="O55" i="7" s="1"/>
  <c r="AA55" i="7" s="1"/>
  <c r="A56" i="7"/>
  <c r="O56" i="7" s="1"/>
  <c r="AA56" i="7" s="1"/>
  <c r="A57" i="7"/>
  <c r="O57" i="7" s="1"/>
  <c r="AA57" i="7" s="1"/>
  <c r="A58" i="7"/>
  <c r="O58" i="7" s="1"/>
  <c r="AA58" i="7" s="1"/>
  <c r="A59" i="7"/>
  <c r="O59" i="7" s="1"/>
  <c r="AA59" i="7" s="1"/>
  <c r="A60" i="7"/>
  <c r="O60" i="7" s="1"/>
  <c r="AA60" i="7" s="1"/>
  <c r="A61" i="7"/>
  <c r="O61" i="7" s="1"/>
  <c r="AA61" i="7" s="1"/>
  <c r="A62" i="7"/>
  <c r="O62" i="7" s="1"/>
  <c r="AA62" i="7" s="1"/>
  <c r="A63" i="7"/>
  <c r="O63" i="7" s="1"/>
  <c r="AA63" i="7" s="1"/>
  <c r="A64" i="7"/>
  <c r="O64" i="7" s="1"/>
  <c r="AA64" i="7" s="1"/>
  <c r="A4" i="7"/>
  <c r="A40" i="7" s="1"/>
  <c r="O40" i="7" s="1"/>
  <c r="AA40" i="7" s="1"/>
  <c r="AA39" i="7"/>
  <c r="AA38" i="7"/>
  <c r="C2" i="7"/>
  <c r="C37" i="7" s="1"/>
  <c r="Q37" i="7" s="1"/>
  <c r="AC37" i="7" s="1"/>
  <c r="D2" i="7"/>
  <c r="D37" i="7" s="1"/>
  <c r="R37" i="7" s="1"/>
  <c r="AD37" i="7" s="1"/>
  <c r="E2" i="7"/>
  <c r="E37" i="7" s="1"/>
  <c r="S37" i="7" s="1"/>
  <c r="AE37" i="7" s="1"/>
  <c r="F2" i="7"/>
  <c r="F37" i="7" s="1"/>
  <c r="T37" i="7" s="1"/>
  <c r="AF37" i="7" s="1"/>
  <c r="G2" i="7"/>
  <c r="G37" i="7" s="1"/>
  <c r="U37" i="7" s="1"/>
  <c r="AG37" i="7" s="1"/>
  <c r="H2" i="7"/>
  <c r="H37" i="7" s="1"/>
  <c r="V37" i="7" s="1"/>
  <c r="AH37" i="7" s="1"/>
  <c r="C3" i="7"/>
  <c r="C38" i="7" s="1"/>
  <c r="Q38" i="7" s="1"/>
  <c r="AC38" i="7" s="1"/>
  <c r="D3" i="7"/>
  <c r="D38" i="7" s="1"/>
  <c r="R38" i="7" s="1"/>
  <c r="AD38" i="7" s="1"/>
  <c r="E3" i="7"/>
  <c r="E38" i="7" s="1"/>
  <c r="S38" i="7" s="1"/>
  <c r="AE38" i="7" s="1"/>
  <c r="F3" i="7"/>
  <c r="F38" i="7" s="1"/>
  <c r="T38" i="7" s="1"/>
  <c r="AF38" i="7" s="1"/>
  <c r="G3" i="7"/>
  <c r="G38" i="7" s="1"/>
  <c r="U38" i="7" s="1"/>
  <c r="AG38" i="7" s="1"/>
  <c r="H3" i="7"/>
  <c r="H38" i="7" s="1"/>
  <c r="V38" i="7" s="1"/>
  <c r="AH38" i="7" s="1"/>
  <c r="AI38" i="7"/>
  <c r="B3" i="7"/>
  <c r="B38" i="7" s="1"/>
  <c r="P38" i="7" s="1"/>
  <c r="AB38" i="7" s="1"/>
  <c r="B2" i="7"/>
  <c r="B37" i="7" s="1"/>
  <c r="P37" i="7" s="1"/>
  <c r="AB37" i="7" s="1"/>
  <c r="F12" i="7"/>
  <c r="C14" i="7"/>
  <c r="A3" i="7"/>
  <c r="B39" i="4"/>
  <c r="C39" i="4"/>
  <c r="F39" i="4"/>
  <c r="H39" i="4"/>
  <c r="D15" i="4"/>
  <c r="E15" i="4"/>
  <c r="U39" i="4"/>
  <c r="AH39" i="4" s="1"/>
  <c r="AR39" i="4" s="1"/>
  <c r="D16" i="4"/>
  <c r="E16" i="4"/>
  <c r="D17" i="4"/>
  <c r="E17" i="4"/>
  <c r="D18" i="4"/>
  <c r="E18" i="4"/>
  <c r="R39" i="4"/>
  <c r="AE39" i="4" s="1"/>
  <c r="AO39" i="4" s="1"/>
  <c r="D19" i="4"/>
  <c r="S39" i="4"/>
  <c r="AF39" i="4" s="1"/>
  <c r="AP39" i="4" s="1"/>
  <c r="E19" i="4"/>
  <c r="D20" i="4"/>
  <c r="E20" i="4"/>
  <c r="D21" i="4"/>
  <c r="E21" i="4"/>
  <c r="D22" i="4"/>
  <c r="E22" i="4"/>
  <c r="D23" i="4"/>
  <c r="E23" i="4"/>
  <c r="D24" i="4"/>
  <c r="E24" i="4"/>
  <c r="D25" i="4"/>
  <c r="E25" i="4"/>
  <c r="D26" i="4"/>
  <c r="E26" i="4"/>
  <c r="D27" i="4"/>
  <c r="E27" i="4"/>
  <c r="D28" i="4"/>
  <c r="E28" i="4"/>
  <c r="D29" i="4"/>
  <c r="E29" i="4"/>
  <c r="AB39" i="4"/>
  <c r="AL39" i="4" s="1"/>
  <c r="AB38" i="4"/>
  <c r="AJ38" i="4"/>
  <c r="AT38" i="4" s="1"/>
  <c r="A5" i="4"/>
  <c r="A41" i="4" s="1"/>
  <c r="A6" i="4"/>
  <c r="A42" i="4" s="1"/>
  <c r="A7" i="4"/>
  <c r="A43" i="4" s="1"/>
  <c r="A6" i="14" s="1"/>
  <c r="A8" i="4"/>
  <c r="A44" i="4" s="1"/>
  <c r="A7" i="14" s="1"/>
  <c r="A9" i="4"/>
  <c r="A45" i="4" s="1"/>
  <c r="A10" i="4"/>
  <c r="A46" i="4" s="1"/>
  <c r="A11" i="4"/>
  <c r="A47" i="4" s="1"/>
  <c r="A10" i="14" s="1"/>
  <c r="A12" i="4"/>
  <c r="A48" i="4" s="1"/>
  <c r="A11" i="14" s="1"/>
  <c r="A13" i="4"/>
  <c r="A49" i="4" s="1"/>
  <c r="A12" i="14" s="1"/>
  <c r="A14" i="4"/>
  <c r="A50" i="4" s="1"/>
  <c r="A13" i="14" s="1"/>
  <c r="A15" i="4"/>
  <c r="A51" i="4" s="1"/>
  <c r="A16" i="4"/>
  <c r="A52" i="4" s="1"/>
  <c r="A17" i="4"/>
  <c r="A53" i="4" s="1"/>
  <c r="A16" i="14" s="1"/>
  <c r="A18" i="4"/>
  <c r="A54" i="4" s="1"/>
  <c r="A17" i="14" s="1"/>
  <c r="A19" i="4"/>
  <c r="A55" i="4" s="1"/>
  <c r="A20" i="4"/>
  <c r="A56" i="4" s="1"/>
  <c r="A21" i="4"/>
  <c r="A57" i="4" s="1"/>
  <c r="A20" i="14" s="1"/>
  <c r="A22" i="4"/>
  <c r="A58" i="4" s="1"/>
  <c r="A21" i="14" s="1"/>
  <c r="A23" i="4"/>
  <c r="A59" i="4" s="1"/>
  <c r="A24" i="4"/>
  <c r="A60" i="4" s="1"/>
  <c r="A25" i="4"/>
  <c r="A61" i="4" s="1"/>
  <c r="A24" i="14" s="1"/>
  <c r="A26" i="4"/>
  <c r="A62" i="4" s="1"/>
  <c r="A25" i="14" s="1"/>
  <c r="A27" i="4"/>
  <c r="A63" i="4" s="1"/>
  <c r="A28" i="4"/>
  <c r="A64" i="4" s="1"/>
  <c r="A29" i="4"/>
  <c r="A4" i="4"/>
  <c r="A40" i="4" s="1"/>
  <c r="O40" i="4" s="1"/>
  <c r="AB40" i="4" s="1"/>
  <c r="H3" i="4"/>
  <c r="H38" i="4" s="1"/>
  <c r="V38" i="4" s="1"/>
  <c r="AI38" i="4" s="1"/>
  <c r="AS38" i="4" s="1"/>
  <c r="G3" i="4"/>
  <c r="G38" i="4" s="1"/>
  <c r="U38" i="4" s="1"/>
  <c r="AH38" i="4" s="1"/>
  <c r="AR38" i="4" s="1"/>
  <c r="F3" i="4"/>
  <c r="F38" i="4" s="1"/>
  <c r="T38" i="4" s="1"/>
  <c r="AG38" i="4" s="1"/>
  <c r="AQ38" i="4" s="1"/>
  <c r="E3" i="4"/>
  <c r="E38" i="4" s="1"/>
  <c r="S38" i="4" s="1"/>
  <c r="AF38" i="4" s="1"/>
  <c r="AP38" i="4" s="1"/>
  <c r="D3" i="4"/>
  <c r="D38" i="4" s="1"/>
  <c r="R38" i="4" s="1"/>
  <c r="AE38" i="4" s="1"/>
  <c r="AO38" i="4" s="1"/>
  <c r="C3" i="4"/>
  <c r="C38" i="4" s="1"/>
  <c r="Q38" i="4" s="1"/>
  <c r="AD38" i="4" s="1"/>
  <c r="AN38" i="4" s="1"/>
  <c r="H2" i="4"/>
  <c r="H37" i="4" s="1"/>
  <c r="V37" i="4" s="1"/>
  <c r="AI37" i="4" s="1"/>
  <c r="AS37" i="4" s="1"/>
  <c r="G2" i="4"/>
  <c r="G37" i="4" s="1"/>
  <c r="U37" i="4" s="1"/>
  <c r="AH37" i="4" s="1"/>
  <c r="AR37" i="4" s="1"/>
  <c r="F2" i="4"/>
  <c r="F37" i="4" s="1"/>
  <c r="T37" i="4" s="1"/>
  <c r="AG37" i="4" s="1"/>
  <c r="AQ37" i="4" s="1"/>
  <c r="E2" i="4"/>
  <c r="E37" i="4" s="1"/>
  <c r="S37" i="4" s="1"/>
  <c r="AF37" i="4" s="1"/>
  <c r="AP37" i="4" s="1"/>
  <c r="D2" i="4"/>
  <c r="D37" i="4" s="1"/>
  <c r="R37" i="4" s="1"/>
  <c r="AE37" i="4" s="1"/>
  <c r="AO37" i="4" s="1"/>
  <c r="C2" i="4"/>
  <c r="C37" i="4" s="1"/>
  <c r="Q37" i="4" s="1"/>
  <c r="AD37" i="4" s="1"/>
  <c r="AN37" i="4" s="1"/>
  <c r="B3" i="4"/>
  <c r="B38" i="4" s="1"/>
  <c r="P38" i="4" s="1"/>
  <c r="AC38" i="4" s="1"/>
  <c r="AM38" i="4" s="1"/>
  <c r="B2" i="4"/>
  <c r="B37" i="4" s="1"/>
  <c r="P37" i="4" s="1"/>
  <c r="AC37" i="4" s="1"/>
  <c r="AM37" i="4" s="1"/>
  <c r="A3" i="4"/>
  <c r="Y42" i="25" l="1"/>
  <c r="C47" i="29"/>
  <c r="T47" i="29" s="1"/>
  <c r="F47" i="29"/>
  <c r="W47" i="29" s="1"/>
  <c r="B44" i="29"/>
  <c r="S44" i="29" s="1"/>
  <c r="Z43" i="29"/>
  <c r="AO42" i="29"/>
  <c r="AN42" i="29"/>
  <c r="H47" i="29"/>
  <c r="Y47" i="29" s="1"/>
  <c r="J43" i="29"/>
  <c r="K43" i="29" s="1"/>
  <c r="L43" i="29" s="1"/>
  <c r="J49" i="28"/>
  <c r="K49" i="28" s="1"/>
  <c r="L49" i="28" s="1"/>
  <c r="E51" i="28"/>
  <c r="D51" i="28"/>
  <c r="G51" i="28"/>
  <c r="Q49" i="28"/>
  <c r="P49" i="28"/>
  <c r="Y46" i="28"/>
  <c r="B51" i="28"/>
  <c r="J48" i="28"/>
  <c r="K48" i="28" s="1"/>
  <c r="L48" i="28" s="1"/>
  <c r="Q48" i="28"/>
  <c r="P48" i="28"/>
  <c r="T48" i="28"/>
  <c r="H50" i="28"/>
  <c r="V49" i="28"/>
  <c r="J41" i="26"/>
  <c r="K41" i="26" s="1"/>
  <c r="L41" i="26" s="1"/>
  <c r="Z41" i="26"/>
  <c r="AT41" i="26" s="1"/>
  <c r="AI43" i="25"/>
  <c r="V43" i="25"/>
  <c r="AC43" i="25"/>
  <c r="T43" i="25"/>
  <c r="Q43" i="25"/>
  <c r="AG43" i="25"/>
  <c r="P43" i="25"/>
  <c r="AT43" i="25"/>
  <c r="AU43" i="25" s="1"/>
  <c r="AM43" i="25"/>
  <c r="B44" i="25" s="1"/>
  <c r="AS43" i="25"/>
  <c r="H44" i="25" s="1"/>
  <c r="AN43" i="25"/>
  <c r="C44" i="25" s="1"/>
  <c r="J43" i="25"/>
  <c r="K43" i="25" s="1"/>
  <c r="L43" i="25" s="1"/>
  <c r="AQ43" i="25"/>
  <c r="F44" i="25" s="1"/>
  <c r="AJ43" i="25"/>
  <c r="AP41" i="24"/>
  <c r="AO41" i="21"/>
  <c r="Z42" i="21"/>
  <c r="AG42" i="21" s="1"/>
  <c r="B43" i="21"/>
  <c r="AZ44" i="24"/>
  <c r="H45" i="24" s="1"/>
  <c r="Y45" i="24" s="1"/>
  <c r="AP41" i="22"/>
  <c r="AQ41" i="22" s="1"/>
  <c r="J42" i="22"/>
  <c r="K42" i="22" s="1"/>
  <c r="L42" i="22" s="1"/>
  <c r="BD42" i="22"/>
  <c r="B43" i="22" s="1"/>
  <c r="Z42" i="22"/>
  <c r="AN41" i="21"/>
  <c r="AP41" i="21" s="1"/>
  <c r="AT42" i="24"/>
  <c r="B43" i="24" s="1"/>
  <c r="Z42" i="24"/>
  <c r="F45" i="21"/>
  <c r="W45" i="21" s="1"/>
  <c r="H45" i="21"/>
  <c r="Y45" i="21" s="1"/>
  <c r="AO41" i="24"/>
  <c r="J42" i="21"/>
  <c r="K42" i="21" s="1"/>
  <c r="L42" i="21" s="1"/>
  <c r="I41" i="23"/>
  <c r="S41" i="23"/>
  <c r="C45" i="21"/>
  <c r="T45" i="21" s="1"/>
  <c r="J42" i="24"/>
  <c r="K42" i="24" s="1"/>
  <c r="L42" i="24" s="1"/>
  <c r="AX44" i="24"/>
  <c r="F45" i="24" s="1"/>
  <c r="W45" i="24" s="1"/>
  <c r="AU44" i="24"/>
  <c r="C45" i="24" s="1"/>
  <c r="T45" i="24" s="1"/>
  <c r="P39" i="1"/>
  <c r="I39" i="4"/>
  <c r="W39" i="4" s="1"/>
  <c r="AJ39" i="4" s="1"/>
  <c r="AT39" i="4" s="1"/>
  <c r="C40" i="4"/>
  <c r="AN40" i="4" s="1"/>
  <c r="C41" i="4" s="1"/>
  <c r="AN41" i="4" s="1"/>
  <c r="C42" i="4" s="1"/>
  <c r="AL60" i="4"/>
  <c r="A23" i="14"/>
  <c r="O60" i="4"/>
  <c r="AB60" i="4" s="1"/>
  <c r="O41" i="4"/>
  <c r="AB41" i="4" s="1"/>
  <c r="A4" i="14"/>
  <c r="AL63" i="4"/>
  <c r="A26" i="14"/>
  <c r="O63" i="4"/>
  <c r="AL46" i="4"/>
  <c r="A9" i="14"/>
  <c r="O52" i="4"/>
  <c r="A15" i="14"/>
  <c r="AL55" i="4"/>
  <c r="A18" i="14"/>
  <c r="O55" i="4"/>
  <c r="AB55" i="4" s="1"/>
  <c r="B2" i="14"/>
  <c r="C2" i="14"/>
  <c r="AL40" i="4"/>
  <c r="A3" i="14"/>
  <c r="AL64" i="4"/>
  <c r="A27" i="14"/>
  <c r="O59" i="4"/>
  <c r="A22" i="14"/>
  <c r="O51" i="4"/>
  <c r="A14" i="14"/>
  <c r="AL45" i="4"/>
  <c r="A8" i="14"/>
  <c r="AL42" i="4"/>
  <c r="A5" i="14"/>
  <c r="T39" i="1"/>
  <c r="AL56" i="4"/>
  <c r="A19" i="14"/>
  <c r="H40" i="4"/>
  <c r="AS40" i="4" s="1"/>
  <c r="H41" i="4" s="1"/>
  <c r="AS41" i="4" s="1"/>
  <c r="H42" i="4" s="1"/>
  <c r="Q39" i="1"/>
  <c r="V39" i="1"/>
  <c r="C40" i="7"/>
  <c r="AC40" i="7" s="1"/>
  <c r="C41" i="7" s="1"/>
  <c r="AC41" i="7" s="1"/>
  <c r="C42" i="7" s="1"/>
  <c r="F40" i="7"/>
  <c r="AF40" i="7" s="1"/>
  <c r="F41" i="7" s="1"/>
  <c r="H40" i="7"/>
  <c r="AH40" i="7" s="1"/>
  <c r="H41" i="7" s="1"/>
  <c r="AI39" i="7"/>
  <c r="B40" i="7"/>
  <c r="AB40" i="7" s="1"/>
  <c r="O48" i="4"/>
  <c r="AB48" i="4" s="1"/>
  <c r="AL48" i="4"/>
  <c r="B40" i="4"/>
  <c r="AM40" i="4" s="1"/>
  <c r="O46" i="4"/>
  <c r="AB46" i="4" s="1"/>
  <c r="F40" i="4"/>
  <c r="AQ40" i="4" s="1"/>
  <c r="F41" i="4" s="1"/>
  <c r="O64" i="4"/>
  <c r="AL41" i="4"/>
  <c r="AL59" i="4"/>
  <c r="O42" i="4"/>
  <c r="AB42" i="4" s="1"/>
  <c r="O56" i="4"/>
  <c r="AL51" i="4"/>
  <c r="O57" i="4"/>
  <c r="AL57" i="4"/>
  <c r="AL49" i="4"/>
  <c r="O49" i="4"/>
  <c r="AB49" i="4" s="1"/>
  <c r="AL43" i="4"/>
  <c r="O43" i="4"/>
  <c r="AB43" i="4" s="1"/>
  <c r="O62" i="4"/>
  <c r="AB62" i="4" s="1"/>
  <c r="AL62" i="4"/>
  <c r="O54" i="4"/>
  <c r="AB54" i="4" s="1"/>
  <c r="AL54" i="4"/>
  <c r="AL61" i="4"/>
  <c r="O61" i="4"/>
  <c r="AL53" i="4"/>
  <c r="O53" i="4"/>
  <c r="O47" i="4"/>
  <c r="AB47" i="4" s="1"/>
  <c r="AL47" i="4"/>
  <c r="AL58" i="4"/>
  <c r="O58" i="4"/>
  <c r="AB58" i="4" s="1"/>
  <c r="O50" i="4"/>
  <c r="AB50" i="4" s="1"/>
  <c r="AL50" i="4"/>
  <c r="AL44" i="4"/>
  <c r="O44" i="4"/>
  <c r="AB44" i="4" s="1"/>
  <c r="AL52" i="4"/>
  <c r="O45" i="4"/>
  <c r="AB45" i="4" s="1"/>
  <c r="F42" i="1"/>
  <c r="C41" i="1"/>
  <c r="I40" i="1"/>
  <c r="I39" i="7"/>
  <c r="D2" i="14" s="1"/>
  <c r="H41" i="1"/>
  <c r="B42" i="1"/>
  <c r="V39" i="4" l="1"/>
  <c r="AI39" i="4" s="1"/>
  <c r="AS39" i="4" s="1"/>
  <c r="AQ41" i="24"/>
  <c r="AP42" i="29"/>
  <c r="H48" i="29"/>
  <c r="Y48" i="29" s="1"/>
  <c r="AA43" i="29"/>
  <c r="AB43" i="29" s="1"/>
  <c r="AC43" i="29" s="1"/>
  <c r="AD43" i="29"/>
  <c r="AK43" i="29"/>
  <c r="AM43" i="29"/>
  <c r="AH43" i="29"/>
  <c r="F48" i="29"/>
  <c r="W48" i="29" s="1"/>
  <c r="AG43" i="29"/>
  <c r="I44" i="29"/>
  <c r="C48" i="29"/>
  <c r="T48" i="29" s="1"/>
  <c r="H51" i="28"/>
  <c r="I51" i="28" s="1"/>
  <c r="U51" i="28" s="1"/>
  <c r="G52" i="28"/>
  <c r="B52" i="28"/>
  <c r="W49" i="28"/>
  <c r="X49" i="28"/>
  <c r="X48" i="28"/>
  <c r="W48" i="28"/>
  <c r="D52" i="28"/>
  <c r="I50" i="28"/>
  <c r="E52" i="28"/>
  <c r="AH41" i="26"/>
  <c r="BK41" i="26"/>
  <c r="AD41" i="26"/>
  <c r="BA41" i="26"/>
  <c r="AA41" i="26"/>
  <c r="AB41" i="26" s="1"/>
  <c r="AC41" i="26" s="1"/>
  <c r="AN41" i="26"/>
  <c r="AX41" i="26"/>
  <c r="AU41" i="26"/>
  <c r="AL41" i="26"/>
  <c r="AI41" i="26"/>
  <c r="AZ41" i="26"/>
  <c r="W43" i="25"/>
  <c r="X43" i="25"/>
  <c r="I44" i="25"/>
  <c r="AI44" i="25" s="1"/>
  <c r="Z41" i="23"/>
  <c r="AT41" i="23" s="1"/>
  <c r="F46" i="21"/>
  <c r="W46" i="21" s="1"/>
  <c r="AU45" i="24"/>
  <c r="C46" i="24" s="1"/>
  <c r="T46" i="24" s="1"/>
  <c r="BB42" i="24"/>
  <c r="AA42" i="24"/>
  <c r="AB42" i="24" s="1"/>
  <c r="AC42" i="24" s="1"/>
  <c r="BV42" i="24"/>
  <c r="AD42" i="24"/>
  <c r="BA42" i="24"/>
  <c r="BU42" i="24"/>
  <c r="AL42" i="24"/>
  <c r="AN42" i="24"/>
  <c r="BS42" i="24"/>
  <c r="AI42" i="24"/>
  <c r="BP42" i="24"/>
  <c r="S43" i="22"/>
  <c r="I43" i="22"/>
  <c r="AH42" i="24"/>
  <c r="S43" i="21"/>
  <c r="I43" i="21"/>
  <c r="AD42" i="22"/>
  <c r="BL42" i="22"/>
  <c r="AA42" i="22"/>
  <c r="AB42" i="22" s="1"/>
  <c r="AC42" i="22" s="1"/>
  <c r="BK42" i="22"/>
  <c r="BA42" i="22"/>
  <c r="AL42" i="22"/>
  <c r="AI42" i="22"/>
  <c r="AX42" i="22"/>
  <c r="AZ42" i="22"/>
  <c r="AU42" i="22"/>
  <c r="AN42" i="22"/>
  <c r="AT42" i="22"/>
  <c r="AH42" i="22"/>
  <c r="I43" i="24"/>
  <c r="S43" i="24"/>
  <c r="AD42" i="21"/>
  <c r="AA42" i="21"/>
  <c r="AB42" i="21" s="1"/>
  <c r="AC42" i="21" s="1"/>
  <c r="AM42" i="21"/>
  <c r="AK42" i="21"/>
  <c r="AH42" i="21"/>
  <c r="AX45" i="24"/>
  <c r="F46" i="24" s="1"/>
  <c r="W46" i="24" s="1"/>
  <c r="H46" i="21"/>
  <c r="Y46" i="21" s="1"/>
  <c r="BO42" i="24"/>
  <c r="J41" i="23"/>
  <c r="K41" i="23" s="1"/>
  <c r="L41" i="23" s="1"/>
  <c r="AZ45" i="24"/>
  <c r="H46" i="24" s="1"/>
  <c r="Y46" i="24" s="1"/>
  <c r="C46" i="21"/>
  <c r="T46" i="21" s="1"/>
  <c r="C3" i="14"/>
  <c r="AM68" i="4"/>
  <c r="AB52" i="4"/>
  <c r="AB61" i="4"/>
  <c r="AB56" i="4"/>
  <c r="AB59" i="4"/>
  <c r="AB53" i="4"/>
  <c r="AB51" i="4"/>
  <c r="AB64" i="4"/>
  <c r="AB63" i="4"/>
  <c r="AB57" i="4"/>
  <c r="P39" i="4"/>
  <c r="AC39" i="4" s="1"/>
  <c r="AM39" i="4" s="1"/>
  <c r="Q39" i="4"/>
  <c r="AD39" i="4" s="1"/>
  <c r="AN39" i="4" s="1"/>
  <c r="T39" i="4"/>
  <c r="AG39" i="4" s="1"/>
  <c r="AQ39" i="4" s="1"/>
  <c r="I41" i="1"/>
  <c r="C4" i="14" s="1"/>
  <c r="I40" i="4"/>
  <c r="I40" i="7"/>
  <c r="Q39" i="7"/>
  <c r="P39" i="7"/>
  <c r="V39" i="7"/>
  <c r="T39" i="7"/>
  <c r="W39" i="7"/>
  <c r="F43" i="1"/>
  <c r="AC42" i="7"/>
  <c r="C43" i="7" s="1"/>
  <c r="AF41" i="7"/>
  <c r="F42" i="7" s="1"/>
  <c r="B41" i="4"/>
  <c r="AT40" i="4"/>
  <c r="AS42" i="4"/>
  <c r="H43" i="4" s="1"/>
  <c r="B43" i="1"/>
  <c r="P40" i="1"/>
  <c r="J40" i="1"/>
  <c r="K40" i="1" s="1"/>
  <c r="L40" i="1" s="1"/>
  <c r="T40" i="1"/>
  <c r="Q40" i="1"/>
  <c r="B41" i="7"/>
  <c r="AI40" i="7"/>
  <c r="AQ41" i="4"/>
  <c r="F42" i="4" s="1"/>
  <c r="H42" i="1"/>
  <c r="C42" i="1"/>
  <c r="AJ39" i="7"/>
  <c r="V40" i="1"/>
  <c r="AH41" i="7"/>
  <c r="H42" i="7" s="1"/>
  <c r="AN42" i="4"/>
  <c r="C43" i="4" s="1"/>
  <c r="AO42" i="21" l="1"/>
  <c r="AH41" i="23"/>
  <c r="Y43" i="25"/>
  <c r="Z44" i="29"/>
  <c r="B45" i="29"/>
  <c r="S45" i="29" s="1"/>
  <c r="G49" i="29"/>
  <c r="X49" i="29" s="1"/>
  <c r="J44" i="29"/>
  <c r="K44" i="29" s="1"/>
  <c r="L44" i="29" s="1"/>
  <c r="AN43" i="29"/>
  <c r="AO43" i="29"/>
  <c r="C49" i="29"/>
  <c r="T49" i="29" s="1"/>
  <c r="H49" i="29"/>
  <c r="Y49" i="29" s="1"/>
  <c r="Y48" i="28"/>
  <c r="R51" i="28"/>
  <c r="S51" i="28"/>
  <c r="Y49" i="28"/>
  <c r="D53" i="28"/>
  <c r="E53" i="28"/>
  <c r="J51" i="28"/>
  <c r="K51" i="28" s="1"/>
  <c r="L51" i="28" s="1"/>
  <c r="G53" i="28"/>
  <c r="J50" i="28"/>
  <c r="K50" i="28" s="1"/>
  <c r="L50" i="28" s="1"/>
  <c r="U50" i="28"/>
  <c r="P50" i="28"/>
  <c r="Q50" i="28"/>
  <c r="P51" i="28"/>
  <c r="V51" i="28"/>
  <c r="H52" i="28"/>
  <c r="I52" i="28" s="1"/>
  <c r="B53" i="28"/>
  <c r="V50" i="28"/>
  <c r="AP41" i="26"/>
  <c r="AO41" i="26"/>
  <c r="BD41" i="26"/>
  <c r="BJ41" i="26"/>
  <c r="H42" i="26" s="1"/>
  <c r="Y42" i="26" s="1"/>
  <c r="BH41" i="26"/>
  <c r="F42" i="26" s="1"/>
  <c r="BE41" i="26"/>
  <c r="C42" i="26" s="1"/>
  <c r="P44" i="25"/>
  <c r="V44" i="25"/>
  <c r="AD44" i="25"/>
  <c r="T44" i="25"/>
  <c r="AC44" i="25"/>
  <c r="AQ44" i="25"/>
  <c r="F45" i="25" s="1"/>
  <c r="AJ44" i="25"/>
  <c r="J44" i="25"/>
  <c r="K44" i="25" s="1"/>
  <c r="L44" i="25" s="1"/>
  <c r="AN44" i="25"/>
  <c r="C45" i="25" s="1"/>
  <c r="AT44" i="25"/>
  <c r="AU44" i="25" s="1"/>
  <c r="AS44" i="25"/>
  <c r="H45" i="25" s="1"/>
  <c r="AM44" i="25"/>
  <c r="B45" i="25" s="1"/>
  <c r="AG44" i="25"/>
  <c r="Q44" i="25"/>
  <c r="Z43" i="22"/>
  <c r="J43" i="24"/>
  <c r="K43" i="24" s="1"/>
  <c r="L43" i="24" s="1"/>
  <c r="AP42" i="24"/>
  <c r="AO42" i="24"/>
  <c r="AX46" i="24"/>
  <c r="F47" i="24" s="1"/>
  <c r="W47" i="24" s="1"/>
  <c r="J43" i="22"/>
  <c r="K43" i="22" s="1"/>
  <c r="L43" i="22" s="1"/>
  <c r="F47" i="21"/>
  <c r="W47" i="21" s="1"/>
  <c r="G48" i="21" s="1"/>
  <c r="X48" i="21" s="1"/>
  <c r="G49" i="21" s="1"/>
  <c r="X49" i="21" s="1"/>
  <c r="C47" i="21"/>
  <c r="T47" i="21" s="1"/>
  <c r="H47" i="21"/>
  <c r="Y47" i="21" s="1"/>
  <c r="J43" i="21"/>
  <c r="K43" i="21" s="1"/>
  <c r="L43" i="21" s="1"/>
  <c r="AN42" i="21"/>
  <c r="AP42" i="21" s="1"/>
  <c r="AU46" i="24"/>
  <c r="C47" i="24" s="1"/>
  <c r="T47" i="24" s="1"/>
  <c r="AP42" i="22"/>
  <c r="AO42" i="22"/>
  <c r="BK41" i="23"/>
  <c r="AA41" i="23"/>
  <c r="AB41" i="23" s="1"/>
  <c r="AC41" i="23" s="1"/>
  <c r="BA41" i="23"/>
  <c r="AD41" i="23"/>
  <c r="AN41" i="23"/>
  <c r="AL41" i="23"/>
  <c r="AX41" i="23"/>
  <c r="AZ41" i="23"/>
  <c r="AU41" i="23"/>
  <c r="AI41" i="23"/>
  <c r="AZ46" i="24"/>
  <c r="H47" i="24" s="1"/>
  <c r="Y47" i="24" s="1"/>
  <c r="AT43" i="24"/>
  <c r="B44" i="24" s="1"/>
  <c r="Z43" i="24"/>
  <c r="BO43" i="24" s="1"/>
  <c r="B44" i="21"/>
  <c r="Z43" i="21"/>
  <c r="AG43" i="21" s="1"/>
  <c r="T40" i="4"/>
  <c r="J41" i="1"/>
  <c r="K41" i="1" s="1"/>
  <c r="L41" i="1" s="1"/>
  <c r="T41" i="1"/>
  <c r="Q41" i="1"/>
  <c r="V41" i="1"/>
  <c r="P40" i="4"/>
  <c r="J40" i="4"/>
  <c r="K40" i="4" s="1"/>
  <c r="L40" i="4" s="1"/>
  <c r="AG40" i="4"/>
  <c r="AJ40" i="4"/>
  <c r="P41" i="1"/>
  <c r="AC40" i="4"/>
  <c r="V40" i="4"/>
  <c r="AI40" i="4"/>
  <c r="Q40" i="4"/>
  <c r="AU40" i="4"/>
  <c r="B3" i="14"/>
  <c r="AD40" i="4"/>
  <c r="I42" i="1"/>
  <c r="C5" i="14" s="1"/>
  <c r="J40" i="7"/>
  <c r="K40" i="7" s="1"/>
  <c r="L40" i="7" s="1"/>
  <c r="D3" i="14"/>
  <c r="X40" i="1"/>
  <c r="W40" i="1"/>
  <c r="T40" i="7"/>
  <c r="Q40" i="7"/>
  <c r="AJ40" i="7"/>
  <c r="V40" i="7"/>
  <c r="P40" i="7"/>
  <c r="AH42" i="7"/>
  <c r="H43" i="7" s="1"/>
  <c r="F44" i="1"/>
  <c r="H43" i="1"/>
  <c r="AB41" i="7"/>
  <c r="I41" i="7"/>
  <c r="AM41" i="4"/>
  <c r="B42" i="4" s="1"/>
  <c r="I41" i="4"/>
  <c r="C43" i="1"/>
  <c r="AQ42" i="4"/>
  <c r="F43" i="4" s="1"/>
  <c r="B44" i="1"/>
  <c r="AF42" i="7"/>
  <c r="F43" i="7" s="1"/>
  <c r="AC43" i="7"/>
  <c r="C44" i="7" s="1"/>
  <c r="AQ42" i="22" l="1"/>
  <c r="AP41" i="23"/>
  <c r="AA44" i="29"/>
  <c r="AB44" i="29" s="1"/>
  <c r="AC44" i="29" s="1"/>
  <c r="AD44" i="29"/>
  <c r="AM44" i="29"/>
  <c r="AK44" i="29"/>
  <c r="AH44" i="29"/>
  <c r="H50" i="29"/>
  <c r="Y50" i="29" s="1"/>
  <c r="AP43" i="29"/>
  <c r="G50" i="29"/>
  <c r="X50" i="29" s="1"/>
  <c r="AG44" i="29"/>
  <c r="C50" i="29"/>
  <c r="T50" i="29" s="1"/>
  <c r="I45" i="29"/>
  <c r="J45" i="29" s="1"/>
  <c r="K45" i="29" s="1"/>
  <c r="L45" i="29" s="1"/>
  <c r="J52" i="28"/>
  <c r="K52" i="28" s="1"/>
  <c r="L52" i="28" s="1"/>
  <c r="R52" i="28"/>
  <c r="U52" i="28"/>
  <c r="P52" i="28"/>
  <c r="S52" i="28"/>
  <c r="W51" i="28"/>
  <c r="X51" i="28"/>
  <c r="E54" i="28"/>
  <c r="V52" i="28"/>
  <c r="H53" i="28"/>
  <c r="I53" i="28" s="1"/>
  <c r="X50" i="28"/>
  <c r="W50" i="28"/>
  <c r="G54" i="28"/>
  <c r="D54" i="28"/>
  <c r="B54" i="28"/>
  <c r="AQ41" i="26"/>
  <c r="B42" i="26"/>
  <c r="S42" i="26" s="1"/>
  <c r="BL41" i="26"/>
  <c r="W44" i="25"/>
  <c r="I45" i="25"/>
  <c r="T45" i="25" s="1"/>
  <c r="X44" i="25"/>
  <c r="AQ42" i="24"/>
  <c r="AH43" i="24"/>
  <c r="C48" i="21"/>
  <c r="T48" i="21" s="1"/>
  <c r="BA43" i="22"/>
  <c r="AA43" i="22"/>
  <c r="AB43" i="22" s="1"/>
  <c r="AC43" i="22" s="1"/>
  <c r="AD43" i="22"/>
  <c r="BK43" i="22"/>
  <c r="AU43" i="22"/>
  <c r="AX43" i="22"/>
  <c r="AI43" i="22"/>
  <c r="AZ43" i="22"/>
  <c r="AN43" i="22"/>
  <c r="AL43" i="22"/>
  <c r="I44" i="21"/>
  <c r="S44" i="21"/>
  <c r="AT43" i="22"/>
  <c r="AO41" i="23"/>
  <c r="AQ41" i="23" s="1"/>
  <c r="AZ47" i="24"/>
  <c r="H48" i="24" s="1"/>
  <c r="Y48" i="24" s="1"/>
  <c r="AH43" i="22"/>
  <c r="AX47" i="24"/>
  <c r="G48" i="24" s="1"/>
  <c r="X48" i="24" s="1"/>
  <c r="H48" i="21"/>
  <c r="Y48" i="21" s="1"/>
  <c r="AD43" i="21"/>
  <c r="AA43" i="21"/>
  <c r="AB43" i="21" s="1"/>
  <c r="AC43" i="21" s="1"/>
  <c r="AM43" i="21"/>
  <c r="AK43" i="21"/>
  <c r="AH43" i="21"/>
  <c r="AU47" i="24"/>
  <c r="C48" i="24" s="1"/>
  <c r="T48" i="24" s="1"/>
  <c r="BB43" i="24"/>
  <c r="BV43" i="24"/>
  <c r="AA43" i="24"/>
  <c r="AB43" i="24" s="1"/>
  <c r="AC43" i="24" s="1"/>
  <c r="AD43" i="24"/>
  <c r="BA43" i="24"/>
  <c r="BU43" i="24"/>
  <c r="AI43" i="24"/>
  <c r="BS43" i="24"/>
  <c r="BP43" i="24"/>
  <c r="AL43" i="24"/>
  <c r="AN43" i="24"/>
  <c r="I44" i="24"/>
  <c r="S44" i="24"/>
  <c r="BJ41" i="23"/>
  <c r="H42" i="23" s="1"/>
  <c r="Y42" i="23" s="1"/>
  <c r="BE41" i="23"/>
  <c r="C42" i="23" s="1"/>
  <c r="T42" i="23" s="1"/>
  <c r="BD41" i="23"/>
  <c r="BH41" i="23"/>
  <c r="F42" i="23" s="1"/>
  <c r="W42" i="23" s="1"/>
  <c r="J42" i="1"/>
  <c r="K42" i="1" s="1"/>
  <c r="L42" i="1" s="1"/>
  <c r="X41" i="1"/>
  <c r="W41" i="1"/>
  <c r="P42" i="1"/>
  <c r="W40" i="4"/>
  <c r="X40" i="4"/>
  <c r="V42" i="1"/>
  <c r="Q42" i="1"/>
  <c r="T42" i="1"/>
  <c r="I43" i="1"/>
  <c r="P41" i="4"/>
  <c r="B4" i="14"/>
  <c r="Y40" i="1"/>
  <c r="P41" i="7"/>
  <c r="D4" i="14"/>
  <c r="W40" i="7"/>
  <c r="X40" i="7"/>
  <c r="AH43" i="7"/>
  <c r="H44" i="7" s="1"/>
  <c r="AC44" i="7"/>
  <c r="C45" i="7" s="1"/>
  <c r="B45" i="1"/>
  <c r="AJ41" i="4"/>
  <c r="J41" i="4"/>
  <c r="K41" i="4" s="1"/>
  <c r="L41" i="4" s="1"/>
  <c r="AT41" i="4"/>
  <c r="AU41" i="4" s="1"/>
  <c r="V41" i="4"/>
  <c r="Q41" i="4"/>
  <c r="AI41" i="4"/>
  <c r="AD41" i="4"/>
  <c r="AG41" i="4"/>
  <c r="T41" i="4"/>
  <c r="AM42" i="4"/>
  <c r="B43" i="4" s="1"/>
  <c r="I42" i="4"/>
  <c r="J41" i="7"/>
  <c r="K41" i="7" s="1"/>
  <c r="L41" i="7" s="1"/>
  <c r="Q41" i="7"/>
  <c r="T41" i="7"/>
  <c r="V41" i="7"/>
  <c r="H44" i="1"/>
  <c r="F45" i="1"/>
  <c r="AF43" i="7"/>
  <c r="F44" i="7" s="1"/>
  <c r="C44" i="1"/>
  <c r="AC41" i="4"/>
  <c r="AI41" i="7"/>
  <c r="AJ41" i="7" s="1"/>
  <c r="B42" i="7"/>
  <c r="AY48" i="24" l="1"/>
  <c r="G49" i="24" s="1"/>
  <c r="BH43" i="22"/>
  <c r="F44" i="22" s="1"/>
  <c r="W44" i="22" s="1"/>
  <c r="BD43" i="22"/>
  <c r="BE43" i="22"/>
  <c r="C44" i="22" s="1"/>
  <c r="T44" i="22" s="1"/>
  <c r="BJ43" i="22"/>
  <c r="H44" i="22" s="1"/>
  <c r="Y44" i="22" s="1"/>
  <c r="BJ44" i="22" s="1"/>
  <c r="AO43" i="21"/>
  <c r="G51" i="29"/>
  <c r="X51" i="29" s="1"/>
  <c r="E51" i="29"/>
  <c r="V51" i="29" s="1"/>
  <c r="D51" i="29"/>
  <c r="U51" i="29" s="1"/>
  <c r="AN44" i="29"/>
  <c r="AO44" i="29"/>
  <c r="Z45" i="29"/>
  <c r="B46" i="29"/>
  <c r="S46" i="29" s="1"/>
  <c r="H51" i="29"/>
  <c r="Y51" i="29" s="1"/>
  <c r="Y50" i="28"/>
  <c r="J53" i="28"/>
  <c r="K53" i="28" s="1"/>
  <c r="L53" i="28" s="1"/>
  <c r="U53" i="28"/>
  <c r="P53" i="28"/>
  <c r="S53" i="28"/>
  <c r="R53" i="28"/>
  <c r="X52" i="28"/>
  <c r="W52" i="28"/>
  <c r="H54" i="28"/>
  <c r="V53" i="28"/>
  <c r="B55" i="28"/>
  <c r="G55" i="28"/>
  <c r="Y51" i="28"/>
  <c r="D55" i="28"/>
  <c r="E55" i="28"/>
  <c r="I42" i="26"/>
  <c r="AI45" i="25"/>
  <c r="Y44" i="25"/>
  <c r="P45" i="25"/>
  <c r="AD45" i="25"/>
  <c r="V45" i="25"/>
  <c r="AC45" i="25"/>
  <c r="AT45" i="25"/>
  <c r="AU45" i="25" s="1"/>
  <c r="AM45" i="25"/>
  <c r="B46" i="25" s="1"/>
  <c r="AS45" i="25"/>
  <c r="H46" i="25" s="1"/>
  <c r="AN45" i="25"/>
  <c r="C46" i="25" s="1"/>
  <c r="AJ45" i="25"/>
  <c r="J45" i="25"/>
  <c r="K45" i="25" s="1"/>
  <c r="L45" i="25" s="1"/>
  <c r="AQ45" i="25"/>
  <c r="F46" i="25" s="1"/>
  <c r="AG45" i="25"/>
  <c r="Q45" i="25"/>
  <c r="AP43" i="24"/>
  <c r="X49" i="24"/>
  <c r="AO43" i="24"/>
  <c r="C49" i="21"/>
  <c r="T49" i="21" s="1"/>
  <c r="AU48" i="24"/>
  <c r="C49" i="24" s="1"/>
  <c r="T49" i="24" s="1"/>
  <c r="AZ48" i="24"/>
  <c r="H49" i="24" s="1"/>
  <c r="Y49" i="24" s="1"/>
  <c r="AO43" i="22"/>
  <c r="AP43" i="22"/>
  <c r="AN43" i="21"/>
  <c r="H49" i="21"/>
  <c r="Y49" i="21" s="1"/>
  <c r="J44" i="21"/>
  <c r="K44" i="21" s="1"/>
  <c r="L44" i="21" s="1"/>
  <c r="AT44" i="24"/>
  <c r="B45" i="24" s="1"/>
  <c r="Z44" i="24"/>
  <c r="BO44" i="24" s="1"/>
  <c r="J44" i="24"/>
  <c r="K44" i="24" s="1"/>
  <c r="L44" i="24" s="1"/>
  <c r="B42" i="23"/>
  <c r="BL41" i="23"/>
  <c r="Z44" i="21"/>
  <c r="B45" i="21"/>
  <c r="Y41" i="1"/>
  <c r="V43" i="1"/>
  <c r="Y40" i="4"/>
  <c r="P43" i="1"/>
  <c r="X42" i="1"/>
  <c r="Q43" i="1"/>
  <c r="C6" i="14"/>
  <c r="T43" i="1"/>
  <c r="W42" i="1"/>
  <c r="J43" i="1"/>
  <c r="K43" i="1" s="1"/>
  <c r="L43" i="1" s="1"/>
  <c r="P42" i="4"/>
  <c r="B5" i="14"/>
  <c r="W41" i="4"/>
  <c r="Y40" i="7"/>
  <c r="X41" i="4"/>
  <c r="X41" i="7"/>
  <c r="W41" i="7"/>
  <c r="AC42" i="4"/>
  <c r="AB42" i="7"/>
  <c r="I42" i="7"/>
  <c r="H45" i="1"/>
  <c r="B46" i="1"/>
  <c r="AH44" i="7"/>
  <c r="H45" i="7" s="1"/>
  <c r="AF44" i="7"/>
  <c r="F45" i="7" s="1"/>
  <c r="I43" i="4"/>
  <c r="B6" i="14" s="1"/>
  <c r="C45" i="1"/>
  <c r="F46" i="1"/>
  <c r="AJ42" i="4"/>
  <c r="J42" i="4"/>
  <c r="K42" i="4" s="1"/>
  <c r="L42" i="4" s="1"/>
  <c r="AT42" i="4"/>
  <c r="AU42" i="4" s="1"/>
  <c r="AI42" i="4"/>
  <c r="AD42" i="4"/>
  <c r="V42" i="4"/>
  <c r="Q42" i="4"/>
  <c r="AG42" i="4"/>
  <c r="T42" i="4"/>
  <c r="I44" i="1"/>
  <c r="C7" i="14" s="1"/>
  <c r="AC45" i="7"/>
  <c r="C46" i="7" s="1"/>
  <c r="AQ43" i="24" l="1"/>
  <c r="E50" i="21"/>
  <c r="V50" i="21" s="1"/>
  <c r="E51" i="21" s="1"/>
  <c r="V51" i="21" s="1"/>
  <c r="D50" i="21"/>
  <c r="U50" i="21" s="1"/>
  <c r="D51" i="21" s="1"/>
  <c r="U51" i="21" s="1"/>
  <c r="B44" i="22"/>
  <c r="BL43" i="22"/>
  <c r="BH44" i="22"/>
  <c r="AP43" i="21"/>
  <c r="BE44" i="22"/>
  <c r="Y52" i="28"/>
  <c r="AP44" i="29"/>
  <c r="AD45" i="29"/>
  <c r="AA45" i="29"/>
  <c r="AB45" i="29" s="1"/>
  <c r="AC45" i="29" s="1"/>
  <c r="AH45" i="29"/>
  <c r="AM45" i="29"/>
  <c r="AK45" i="29"/>
  <c r="D52" i="29"/>
  <c r="U52" i="29" s="1"/>
  <c r="H52" i="29"/>
  <c r="Y52" i="29" s="1"/>
  <c r="E52" i="29"/>
  <c r="V52" i="29" s="1"/>
  <c r="G52" i="29"/>
  <c r="X52" i="29" s="1"/>
  <c r="AG45" i="29"/>
  <c r="I46" i="29"/>
  <c r="J46" i="29" s="1"/>
  <c r="K46" i="29" s="1"/>
  <c r="L46" i="29" s="1"/>
  <c r="D56" i="28"/>
  <c r="H55" i="28"/>
  <c r="E56" i="28"/>
  <c r="I54" i="28"/>
  <c r="V54" i="28" s="1"/>
  <c r="W53" i="28"/>
  <c r="X53" i="28"/>
  <c r="I55" i="28"/>
  <c r="B56" i="28"/>
  <c r="G56" i="28"/>
  <c r="Z42" i="26"/>
  <c r="J42" i="26"/>
  <c r="K42" i="26" s="1"/>
  <c r="L42" i="26" s="1"/>
  <c r="X45" i="25"/>
  <c r="W45" i="25"/>
  <c r="I46" i="25"/>
  <c r="V46" i="25" s="1"/>
  <c r="AH44" i="24"/>
  <c r="AQ43" i="22"/>
  <c r="H50" i="21"/>
  <c r="Y50" i="21" s="1"/>
  <c r="I45" i="21"/>
  <c r="J45" i="21" s="1"/>
  <c r="K45" i="21" s="1"/>
  <c r="L45" i="21" s="1"/>
  <c r="S45" i="21"/>
  <c r="BA44" i="24"/>
  <c r="BV44" i="24"/>
  <c r="AA44" i="24"/>
  <c r="AB44" i="24" s="1"/>
  <c r="AC44" i="24" s="1"/>
  <c r="AD44" i="24"/>
  <c r="BB44" i="24"/>
  <c r="BS44" i="24"/>
  <c r="AN44" i="24"/>
  <c r="AL44" i="24"/>
  <c r="BP44" i="24"/>
  <c r="AI44" i="24"/>
  <c r="BU44" i="24"/>
  <c r="AY49" i="24"/>
  <c r="G50" i="24" s="1"/>
  <c r="X50" i="24" s="1"/>
  <c r="AZ49" i="24"/>
  <c r="H50" i="24" s="1"/>
  <c r="Y50" i="24" s="1"/>
  <c r="AA44" i="21"/>
  <c r="AB44" i="21" s="1"/>
  <c r="AC44" i="21" s="1"/>
  <c r="AD44" i="21"/>
  <c r="AM44" i="21"/>
  <c r="AH44" i="21"/>
  <c r="AK44" i="21"/>
  <c r="AU49" i="24"/>
  <c r="I42" i="23"/>
  <c r="S42" i="23"/>
  <c r="AG44" i="21"/>
  <c r="I45" i="24"/>
  <c r="J45" i="24" s="1"/>
  <c r="K45" i="24" s="1"/>
  <c r="L45" i="24" s="1"/>
  <c r="S45" i="24"/>
  <c r="G50" i="21"/>
  <c r="X50" i="21" s="1"/>
  <c r="Y42" i="1"/>
  <c r="D5" i="14"/>
  <c r="X43" i="1"/>
  <c r="W43" i="1"/>
  <c r="I45" i="1"/>
  <c r="C8" i="14" s="1"/>
  <c r="Y41" i="4"/>
  <c r="P42" i="7"/>
  <c r="W42" i="4"/>
  <c r="X42" i="4"/>
  <c r="Y41" i="7"/>
  <c r="AJ43" i="4"/>
  <c r="AT43" i="4"/>
  <c r="J43" i="4"/>
  <c r="K43" i="4" s="1"/>
  <c r="L43" i="4" s="1"/>
  <c r="AD43" i="4"/>
  <c r="AI43" i="4"/>
  <c r="Q43" i="4"/>
  <c r="V43" i="4"/>
  <c r="AG43" i="4"/>
  <c r="T43" i="4"/>
  <c r="AH45" i="7"/>
  <c r="H46" i="7" s="1"/>
  <c r="J44" i="1"/>
  <c r="K44" i="1" s="1"/>
  <c r="L44" i="1" s="1"/>
  <c r="P44" i="1"/>
  <c r="T44" i="1"/>
  <c r="Q44" i="1"/>
  <c r="AC43" i="4"/>
  <c r="AC46" i="7"/>
  <c r="C47" i="7" s="1"/>
  <c r="C46" i="1"/>
  <c r="B47" i="1"/>
  <c r="H46" i="1"/>
  <c r="J42" i="7"/>
  <c r="K42" i="7" s="1"/>
  <c r="L42" i="7" s="1"/>
  <c r="Q42" i="7"/>
  <c r="V42" i="7"/>
  <c r="T42" i="7"/>
  <c r="F47" i="1"/>
  <c r="G48" i="1" s="1"/>
  <c r="G49" i="1" s="1"/>
  <c r="P43" i="4"/>
  <c r="AF45" i="7"/>
  <c r="F46" i="7" s="1"/>
  <c r="V44" i="1"/>
  <c r="AI42" i="7"/>
  <c r="AJ42" i="7" s="1"/>
  <c r="B43" i="7"/>
  <c r="E50" i="24" l="1"/>
  <c r="V50" i="24" s="1"/>
  <c r="AW50" i="24" s="1"/>
  <c r="E51" i="24" s="1"/>
  <c r="D50" i="24"/>
  <c r="U50" i="24" s="1"/>
  <c r="AV50" i="24" s="1"/>
  <c r="D51" i="24" s="1"/>
  <c r="S44" i="22"/>
  <c r="I44" i="22"/>
  <c r="J44" i="22" s="1"/>
  <c r="K44" i="22" s="1"/>
  <c r="L44" i="22" s="1"/>
  <c r="AU43" i="4"/>
  <c r="AQ43" i="4"/>
  <c r="F44" i="4" s="1"/>
  <c r="AN43" i="4"/>
  <c r="C44" i="4" s="1"/>
  <c r="AN44" i="4" s="1"/>
  <c r="AM43" i="4"/>
  <c r="B44" i="4" s="1"/>
  <c r="AS43" i="4"/>
  <c r="H44" i="4" s="1"/>
  <c r="AS44" i="4" s="1"/>
  <c r="E53" i="29"/>
  <c r="V53" i="29" s="1"/>
  <c r="D53" i="29"/>
  <c r="U53" i="29" s="1"/>
  <c r="G53" i="29"/>
  <c r="X53" i="29" s="1"/>
  <c r="H53" i="29"/>
  <c r="Y53" i="29" s="1"/>
  <c r="AO45" i="29"/>
  <c r="AN45" i="29"/>
  <c r="AP45" i="29" s="1"/>
  <c r="Z46" i="29"/>
  <c r="AG46" i="29" s="1"/>
  <c r="B47" i="29"/>
  <c r="S47" i="29" s="1"/>
  <c r="J55" i="28"/>
  <c r="K55" i="28" s="1"/>
  <c r="L55" i="28" s="1"/>
  <c r="Y53" i="28"/>
  <c r="P55" i="28"/>
  <c r="B57" i="28"/>
  <c r="J54" i="28"/>
  <c r="K54" i="28" s="1"/>
  <c r="L54" i="28" s="1"/>
  <c r="R54" i="28"/>
  <c r="U54" i="28"/>
  <c r="S54" i="28"/>
  <c r="P54" i="28"/>
  <c r="H56" i="28"/>
  <c r="I56" i="28" s="1"/>
  <c r="V55" i="28"/>
  <c r="G57" i="28"/>
  <c r="S55" i="28"/>
  <c r="R55" i="28"/>
  <c r="U55" i="28"/>
  <c r="E57" i="28"/>
  <c r="D57" i="28"/>
  <c r="BA42" i="26"/>
  <c r="AA42" i="26"/>
  <c r="AB42" i="26" s="1"/>
  <c r="AC42" i="26" s="1"/>
  <c r="BK42" i="26"/>
  <c r="AD42" i="26"/>
  <c r="AX42" i="26"/>
  <c r="AU42" i="26"/>
  <c r="AL42" i="26"/>
  <c r="AI42" i="26"/>
  <c r="AZ42" i="26"/>
  <c r="AN42" i="26"/>
  <c r="AH42" i="26"/>
  <c r="AT42" i="26"/>
  <c r="Y45" i="25"/>
  <c r="T46" i="25"/>
  <c r="Q46" i="25"/>
  <c r="P46" i="25"/>
  <c r="AQ46" i="25"/>
  <c r="F47" i="25" s="1"/>
  <c r="AJ46" i="25"/>
  <c r="J46" i="25"/>
  <c r="K46" i="25" s="1"/>
  <c r="L46" i="25" s="1"/>
  <c r="AN46" i="25"/>
  <c r="C47" i="25" s="1"/>
  <c r="AS46" i="25"/>
  <c r="H47" i="25" s="1"/>
  <c r="AT46" i="25"/>
  <c r="AU46" i="25" s="1"/>
  <c r="AM46" i="25"/>
  <c r="B47" i="25" s="1"/>
  <c r="AI46" i="25"/>
  <c r="AD46" i="25"/>
  <c r="AC46" i="25"/>
  <c r="AG46" i="25"/>
  <c r="AO44" i="24"/>
  <c r="AP44" i="24"/>
  <c r="AQ44" i="24" s="1"/>
  <c r="Z42" i="23"/>
  <c r="AH42" i="23" s="1"/>
  <c r="J42" i="23"/>
  <c r="K42" i="23" s="1"/>
  <c r="L42" i="23" s="1"/>
  <c r="G51" i="21"/>
  <c r="X51" i="21" s="1"/>
  <c r="AN44" i="21"/>
  <c r="AO44" i="21"/>
  <c r="AZ50" i="24"/>
  <c r="H51" i="24" s="1"/>
  <c r="Y51" i="24" s="1"/>
  <c r="AY50" i="24"/>
  <c r="G51" i="24" s="1"/>
  <c r="X51" i="24" s="1"/>
  <c r="Z45" i="24"/>
  <c r="AH45" i="24" s="1"/>
  <c r="AT45" i="24"/>
  <c r="B46" i="24" s="1"/>
  <c r="H51" i="21"/>
  <c r="Y51" i="21" s="1"/>
  <c r="B46" i="21"/>
  <c r="Z45" i="21"/>
  <c r="AG45" i="21" s="1"/>
  <c r="H45" i="22"/>
  <c r="Y45" i="22" s="1"/>
  <c r="C45" i="22"/>
  <c r="T45" i="22" s="1"/>
  <c r="F45" i="22"/>
  <c r="W45" i="22" s="1"/>
  <c r="Y43" i="1"/>
  <c r="J45" i="1"/>
  <c r="K45" i="1" s="1"/>
  <c r="L45" i="1" s="1"/>
  <c r="V45" i="1"/>
  <c r="Q45" i="1"/>
  <c r="P45" i="1"/>
  <c r="T45" i="1"/>
  <c r="Y42" i="4"/>
  <c r="X43" i="4"/>
  <c r="W42" i="7"/>
  <c r="I46" i="1"/>
  <c r="C9" i="14" s="1"/>
  <c r="X44" i="1"/>
  <c r="W44" i="1"/>
  <c r="X42" i="7"/>
  <c r="W43" i="4"/>
  <c r="AF46" i="7"/>
  <c r="AH46" i="7"/>
  <c r="H47" i="7" s="1"/>
  <c r="I43" i="7"/>
  <c r="AB43" i="7"/>
  <c r="AC47" i="7"/>
  <c r="C48" i="7" s="1"/>
  <c r="H47" i="1"/>
  <c r="B48" i="1"/>
  <c r="C47" i="1"/>
  <c r="BD44" i="22" l="1"/>
  <c r="Z44" i="22"/>
  <c r="AT44" i="22"/>
  <c r="AH44" i="22"/>
  <c r="F47" i="7"/>
  <c r="G48" i="7"/>
  <c r="AQ44" i="4"/>
  <c r="AM44" i="4"/>
  <c r="B45" i="4" s="1"/>
  <c r="I44" i="4"/>
  <c r="P44" i="4" s="1"/>
  <c r="BO45" i="24"/>
  <c r="G54" i="29"/>
  <c r="X54" i="29" s="1"/>
  <c r="E54" i="29"/>
  <c r="V54" i="29" s="1"/>
  <c r="I47" i="29"/>
  <c r="J47" i="29" s="1"/>
  <c r="K47" i="29" s="1"/>
  <c r="L47" i="29" s="1"/>
  <c r="AD46" i="29"/>
  <c r="AA46" i="29"/>
  <c r="AB46" i="29" s="1"/>
  <c r="AC46" i="29" s="1"/>
  <c r="AH46" i="29"/>
  <c r="AM46" i="29"/>
  <c r="AK46" i="29"/>
  <c r="H54" i="29"/>
  <c r="Y54" i="29" s="1"/>
  <c r="D54" i="29"/>
  <c r="U54" i="29" s="1"/>
  <c r="X55" i="28"/>
  <c r="J56" i="28"/>
  <c r="K56" i="28" s="1"/>
  <c r="L56" i="28" s="1"/>
  <c r="R56" i="28"/>
  <c r="U56" i="28"/>
  <c r="P56" i="28"/>
  <c r="S56" i="28"/>
  <c r="D58" i="28"/>
  <c r="V56" i="28"/>
  <c r="H57" i="28"/>
  <c r="E58" i="28"/>
  <c r="X54" i="28"/>
  <c r="W54" i="28"/>
  <c r="W55" i="28"/>
  <c r="Y55" i="28" s="1"/>
  <c r="G58" i="28"/>
  <c r="B58" i="28"/>
  <c r="AO42" i="26"/>
  <c r="AP42" i="26"/>
  <c r="BH42" i="26"/>
  <c r="F43" i="26" s="1"/>
  <c r="BE42" i="26"/>
  <c r="C43" i="26" s="1"/>
  <c r="BD42" i="26"/>
  <c r="BJ42" i="26"/>
  <c r="H43" i="26" s="1"/>
  <c r="Y43" i="26" s="1"/>
  <c r="X46" i="25"/>
  <c r="W46" i="25"/>
  <c r="I47" i="25"/>
  <c r="AC47" i="25" s="1"/>
  <c r="B45" i="22"/>
  <c r="BL44" i="22"/>
  <c r="V51" i="24"/>
  <c r="U51" i="24"/>
  <c r="E52" i="21"/>
  <c r="V52" i="21" s="1"/>
  <c r="BH45" i="22"/>
  <c r="F46" i="22" s="1"/>
  <c r="W46" i="22" s="1"/>
  <c r="BK42" i="23"/>
  <c r="BA42" i="23"/>
  <c r="AD42" i="23"/>
  <c r="AA42" i="23"/>
  <c r="AB42" i="23" s="1"/>
  <c r="AC42" i="23" s="1"/>
  <c r="AI42" i="23"/>
  <c r="AX42" i="23"/>
  <c r="AL42" i="23"/>
  <c r="AU42" i="23"/>
  <c r="AN42" i="23"/>
  <c r="AZ42" i="23"/>
  <c r="I46" i="21"/>
  <c r="J46" i="21" s="1"/>
  <c r="K46" i="21" s="1"/>
  <c r="L46" i="21" s="1"/>
  <c r="S46" i="21"/>
  <c r="AP44" i="21"/>
  <c r="H52" i="21"/>
  <c r="Y52" i="21" s="1"/>
  <c r="D52" i="21"/>
  <c r="U52" i="21" s="1"/>
  <c r="BJ45" i="22"/>
  <c r="H46" i="22" s="1"/>
  <c r="Y46" i="22" s="1"/>
  <c r="AZ51" i="24"/>
  <c r="H52" i="24" s="1"/>
  <c r="Y52" i="24" s="1"/>
  <c r="G52" i="21"/>
  <c r="X52" i="21" s="1"/>
  <c r="AT42" i="23"/>
  <c r="AA45" i="24"/>
  <c r="AB45" i="24" s="1"/>
  <c r="AC45" i="24" s="1"/>
  <c r="BV45" i="24"/>
  <c r="BA45" i="24"/>
  <c r="BB45" i="24"/>
  <c r="AD45" i="24"/>
  <c r="AI45" i="24"/>
  <c r="BS45" i="24"/>
  <c r="BU45" i="24"/>
  <c r="AN45" i="24"/>
  <c r="BP45" i="24"/>
  <c r="AL45" i="24"/>
  <c r="BE45" i="22"/>
  <c r="C46" i="22" s="1"/>
  <c r="T46" i="22" s="1"/>
  <c r="AY51" i="24"/>
  <c r="G52" i="24" s="1"/>
  <c r="X52" i="24" s="1"/>
  <c r="AD45" i="21"/>
  <c r="AA45" i="21"/>
  <c r="AB45" i="21" s="1"/>
  <c r="AC45" i="21" s="1"/>
  <c r="AK45" i="21"/>
  <c r="AH45" i="21"/>
  <c r="AM45" i="21"/>
  <c r="I46" i="24"/>
  <c r="J46" i="24" s="1"/>
  <c r="K46" i="24" s="1"/>
  <c r="L46" i="24" s="1"/>
  <c r="S46" i="24"/>
  <c r="X45" i="1"/>
  <c r="W45" i="1"/>
  <c r="F27" i="8"/>
  <c r="Q46" i="1"/>
  <c r="T46" i="1"/>
  <c r="V46" i="1"/>
  <c r="P46" i="1"/>
  <c r="G27" i="8"/>
  <c r="J46" i="1"/>
  <c r="K46" i="1" s="1"/>
  <c r="L46" i="1" s="1"/>
  <c r="Y43" i="4"/>
  <c r="Y44" i="1"/>
  <c r="I47" i="1"/>
  <c r="C10" i="14" s="1"/>
  <c r="Y42" i="7"/>
  <c r="P43" i="7"/>
  <c r="D6" i="14"/>
  <c r="H48" i="1"/>
  <c r="AC48" i="7"/>
  <c r="C45" i="4"/>
  <c r="H45" i="4"/>
  <c r="F45" i="4"/>
  <c r="B49" i="1"/>
  <c r="B44" i="7"/>
  <c r="AI43" i="7"/>
  <c r="AJ43" i="7" s="1"/>
  <c r="AH47" i="7"/>
  <c r="H48" i="7" s="1"/>
  <c r="C48" i="1"/>
  <c r="J43" i="7"/>
  <c r="K43" i="7" s="1"/>
  <c r="L43" i="7" s="1"/>
  <c r="Q43" i="7"/>
  <c r="T43" i="7"/>
  <c r="V43" i="7"/>
  <c r="AF47" i="7"/>
  <c r="C49" i="7" l="1"/>
  <c r="E50" i="7"/>
  <c r="D50" i="7"/>
  <c r="AG48" i="7"/>
  <c r="G49" i="7" s="1"/>
  <c r="BK44" i="22"/>
  <c r="AN44" i="22"/>
  <c r="AL44" i="22"/>
  <c r="AU44" i="22"/>
  <c r="BA44" i="22"/>
  <c r="AZ44" i="22"/>
  <c r="AI44" i="22"/>
  <c r="AO44" i="22" s="1"/>
  <c r="AQ44" i="22" s="1"/>
  <c r="AD44" i="22"/>
  <c r="AX44" i="22"/>
  <c r="AA44" i="22"/>
  <c r="AB44" i="22" s="1"/>
  <c r="AC44" i="22" s="1"/>
  <c r="AP44" i="22"/>
  <c r="AG44" i="4"/>
  <c r="AC44" i="4"/>
  <c r="V44" i="4"/>
  <c r="T44" i="4"/>
  <c r="B7" i="14"/>
  <c r="AT44" i="4"/>
  <c r="AU44" i="4" s="1"/>
  <c r="AI44" i="4"/>
  <c r="J44" i="4"/>
  <c r="K44" i="4" s="1"/>
  <c r="L44" i="4" s="1"/>
  <c r="AD44" i="4"/>
  <c r="AJ44" i="4"/>
  <c r="Q44" i="4"/>
  <c r="Y54" i="28"/>
  <c r="AP42" i="23"/>
  <c r="AP45" i="24"/>
  <c r="AO42" i="23"/>
  <c r="AO46" i="29"/>
  <c r="H55" i="29"/>
  <c r="Y55" i="29" s="1"/>
  <c r="G55" i="29"/>
  <c r="X55" i="29" s="1"/>
  <c r="D55" i="29"/>
  <c r="U55" i="29" s="1"/>
  <c r="B48" i="29"/>
  <c r="S48" i="29" s="1"/>
  <c r="Z47" i="29"/>
  <c r="AN46" i="29"/>
  <c r="E55" i="29"/>
  <c r="V55" i="29" s="1"/>
  <c r="E59" i="28"/>
  <c r="B59" i="28"/>
  <c r="X56" i="28"/>
  <c r="W56" i="28"/>
  <c r="H58" i="28"/>
  <c r="I58" i="28" s="1"/>
  <c r="P58" i="28" s="1"/>
  <c r="I57" i="28"/>
  <c r="G59" i="28"/>
  <c r="D59" i="28"/>
  <c r="B43" i="26"/>
  <c r="S43" i="26" s="1"/>
  <c r="BL42" i="26"/>
  <c r="AQ42" i="26"/>
  <c r="Y46" i="25"/>
  <c r="AI47" i="25"/>
  <c r="V47" i="25"/>
  <c r="T47" i="25"/>
  <c r="AT47" i="25"/>
  <c r="AU47" i="25" s="1"/>
  <c r="AM47" i="25"/>
  <c r="B48" i="25" s="1"/>
  <c r="AS47" i="25"/>
  <c r="H48" i="25" s="1"/>
  <c r="AN47" i="25"/>
  <c r="C48" i="25" s="1"/>
  <c r="AQ47" i="25"/>
  <c r="F48" i="25" s="1"/>
  <c r="AJ47" i="25"/>
  <c r="J47" i="25"/>
  <c r="K47" i="25" s="1"/>
  <c r="L47" i="25" s="1"/>
  <c r="Q47" i="25"/>
  <c r="AG47" i="25"/>
  <c r="P47" i="25"/>
  <c r="AD47" i="25"/>
  <c r="AN45" i="21"/>
  <c r="BJ46" i="22"/>
  <c r="H47" i="22" s="1"/>
  <c r="Y47" i="22" s="1"/>
  <c r="E53" i="21"/>
  <c r="V53" i="21" s="1"/>
  <c r="BH42" i="23"/>
  <c r="F43" i="23" s="1"/>
  <c r="W43" i="23" s="1"/>
  <c r="BE42" i="23"/>
  <c r="C43" i="23" s="1"/>
  <c r="T43" i="23" s="1"/>
  <c r="BJ42" i="23"/>
  <c r="H43" i="23" s="1"/>
  <c r="Y43" i="23" s="1"/>
  <c r="BD42" i="23"/>
  <c r="AW51" i="24"/>
  <c r="E52" i="24" s="1"/>
  <c r="V52" i="24" s="1"/>
  <c r="BE46" i="22"/>
  <c r="C47" i="22" s="1"/>
  <c r="T47" i="22" s="1"/>
  <c r="H53" i="21"/>
  <c r="Y53" i="21" s="1"/>
  <c r="G53" i="21"/>
  <c r="X53" i="21" s="1"/>
  <c r="AZ52" i="24"/>
  <c r="H53" i="24" s="1"/>
  <c r="Y53" i="24" s="1"/>
  <c r="AO45" i="21"/>
  <c r="AP45" i="21" s="1"/>
  <c r="AO45" i="24"/>
  <c r="AQ45" i="24" s="1"/>
  <c r="AY52" i="24"/>
  <c r="G53" i="24" s="1"/>
  <c r="X53" i="24" s="1"/>
  <c r="Z46" i="21"/>
  <c r="AG46" i="21" s="1"/>
  <c r="B47" i="21"/>
  <c r="D53" i="21"/>
  <c r="U53" i="21" s="1"/>
  <c r="AV51" i="24"/>
  <c r="D52" i="24" s="1"/>
  <c r="U52" i="24" s="1"/>
  <c r="I45" i="22"/>
  <c r="J45" i="22" s="1"/>
  <c r="K45" i="22" s="1"/>
  <c r="L45" i="22" s="1"/>
  <c r="S45" i="22"/>
  <c r="AT46" i="24"/>
  <c r="B47" i="24" s="1"/>
  <c r="Z46" i="24"/>
  <c r="BO46" i="24" s="1"/>
  <c r="BH46" i="22"/>
  <c r="F47" i="22" s="1"/>
  <c r="W47" i="22" s="1"/>
  <c r="Y45" i="1"/>
  <c r="X46" i="1"/>
  <c r="W46" i="1"/>
  <c r="H27" i="8"/>
  <c r="V47" i="1"/>
  <c r="I48" i="1"/>
  <c r="C11" i="14" s="1"/>
  <c r="Q47" i="1"/>
  <c r="P47" i="1"/>
  <c r="T47" i="1"/>
  <c r="J47" i="1"/>
  <c r="K47" i="1" s="1"/>
  <c r="L47" i="1" s="1"/>
  <c r="X43" i="7"/>
  <c r="W43" i="7"/>
  <c r="B50" i="1"/>
  <c r="AM45" i="4"/>
  <c r="B46" i="4" s="1"/>
  <c r="I45" i="4"/>
  <c r="AC45" i="4" s="1"/>
  <c r="C49" i="1"/>
  <c r="AB44" i="7"/>
  <c r="I44" i="7"/>
  <c r="AS45" i="4"/>
  <c r="H46" i="4" s="1"/>
  <c r="G50" i="1"/>
  <c r="H49" i="1"/>
  <c r="AH48" i="7"/>
  <c r="H49" i="7" s="1"/>
  <c r="AN45" i="4"/>
  <c r="C46" i="4" s="1"/>
  <c r="AQ45" i="4"/>
  <c r="F46" i="4" s="1"/>
  <c r="AC49" i="7"/>
  <c r="AE50" i="7" l="1"/>
  <c r="E51" i="7" s="1"/>
  <c r="AE51" i="7" s="1"/>
  <c r="AD50" i="7"/>
  <c r="D51" i="7" s="1"/>
  <c r="AD51" i="7" s="1"/>
  <c r="E50" i="1"/>
  <c r="E51" i="1" s="1"/>
  <c r="D50" i="1"/>
  <c r="D51" i="1" s="1"/>
  <c r="AQ42" i="23"/>
  <c r="W44" i="4"/>
  <c r="X44" i="4"/>
  <c r="AP46" i="29"/>
  <c r="AA47" i="29"/>
  <c r="AB47" i="29" s="1"/>
  <c r="AC47" i="29" s="1"/>
  <c r="AD47" i="29"/>
  <c r="AK47" i="29"/>
  <c r="AM47" i="29"/>
  <c r="AH47" i="29"/>
  <c r="H56" i="29"/>
  <c r="Y56" i="29" s="1"/>
  <c r="AG47" i="29"/>
  <c r="D56" i="29"/>
  <c r="U56" i="29" s="1"/>
  <c r="E56" i="29"/>
  <c r="V56" i="29" s="1"/>
  <c r="I48" i="29"/>
  <c r="J48" i="29" s="1"/>
  <c r="K48" i="29" s="1"/>
  <c r="L48" i="29" s="1"/>
  <c r="G56" i="29"/>
  <c r="X56" i="29" s="1"/>
  <c r="R58" i="28"/>
  <c r="U58" i="28"/>
  <c r="H59" i="28"/>
  <c r="V58" i="28"/>
  <c r="G60" i="28"/>
  <c r="Y56" i="28"/>
  <c r="I59" i="28"/>
  <c r="J59" i="28" s="1"/>
  <c r="K59" i="28" s="1"/>
  <c r="L59" i="28" s="1"/>
  <c r="B60" i="28"/>
  <c r="J57" i="28"/>
  <c r="K57" i="28" s="1"/>
  <c r="L57" i="28" s="1"/>
  <c r="S57" i="28"/>
  <c r="U57" i="28"/>
  <c r="R57" i="28"/>
  <c r="P57" i="28"/>
  <c r="E60" i="28"/>
  <c r="S59" i="28"/>
  <c r="D60" i="28"/>
  <c r="V57" i="28"/>
  <c r="J58" i="28"/>
  <c r="K58" i="28" s="1"/>
  <c r="L58" i="28" s="1"/>
  <c r="S58" i="28"/>
  <c r="I43" i="26"/>
  <c r="X47" i="25"/>
  <c r="W47" i="25"/>
  <c r="I48" i="25"/>
  <c r="AD48" i="25" s="1"/>
  <c r="S47" i="24"/>
  <c r="I47" i="24"/>
  <c r="J47" i="24" s="1"/>
  <c r="K47" i="24" s="1"/>
  <c r="L47" i="24" s="1"/>
  <c r="AV52" i="24"/>
  <c r="D53" i="24" s="1"/>
  <c r="U53" i="24" s="1"/>
  <c r="BB46" i="24"/>
  <c r="AD46" i="24"/>
  <c r="BA46" i="24"/>
  <c r="BV46" i="24"/>
  <c r="AA46" i="24"/>
  <c r="AB46" i="24" s="1"/>
  <c r="AC46" i="24" s="1"/>
  <c r="BS46" i="24"/>
  <c r="AI46" i="24"/>
  <c r="AL46" i="24"/>
  <c r="BU46" i="24"/>
  <c r="BP46" i="24"/>
  <c r="AN46" i="24"/>
  <c r="S47" i="21"/>
  <c r="I47" i="21"/>
  <c r="J47" i="21" s="1"/>
  <c r="K47" i="21" s="1"/>
  <c r="L47" i="21" s="1"/>
  <c r="G54" i="24"/>
  <c r="H54" i="21"/>
  <c r="Y54" i="21" s="1"/>
  <c r="B43" i="23"/>
  <c r="BL42" i="23"/>
  <c r="Z45" i="22"/>
  <c r="BD45" i="22"/>
  <c r="B46" i="22" s="1"/>
  <c r="AD46" i="21"/>
  <c r="AA46" i="21"/>
  <c r="AB46" i="21" s="1"/>
  <c r="AC46" i="21" s="1"/>
  <c r="AH46" i="21"/>
  <c r="AK46" i="21"/>
  <c r="AM46" i="21"/>
  <c r="E54" i="21"/>
  <c r="V54" i="21" s="1"/>
  <c r="G54" i="21"/>
  <c r="X54" i="21" s="1"/>
  <c r="AW52" i="24"/>
  <c r="E53" i="24" s="1"/>
  <c r="V53" i="24" s="1"/>
  <c r="AH46" i="24"/>
  <c r="D54" i="21"/>
  <c r="U54" i="21" s="1"/>
  <c r="Y46" i="1"/>
  <c r="J48" i="1"/>
  <c r="K48" i="1" s="1"/>
  <c r="L48" i="1" s="1"/>
  <c r="X47" i="1"/>
  <c r="V48" i="1"/>
  <c r="T48" i="1"/>
  <c r="Q48" i="1"/>
  <c r="W47" i="1"/>
  <c r="P48" i="1"/>
  <c r="AI45" i="4"/>
  <c r="T45" i="4"/>
  <c r="Y43" i="7"/>
  <c r="AD45" i="4"/>
  <c r="AG45" i="4"/>
  <c r="Q45" i="4"/>
  <c r="I49" i="1"/>
  <c r="C12" i="14" s="1"/>
  <c r="P45" i="4"/>
  <c r="B8" i="14"/>
  <c r="P44" i="7"/>
  <c r="D7" i="14"/>
  <c r="AH49" i="7"/>
  <c r="H50" i="7" s="1"/>
  <c r="AS46" i="4"/>
  <c r="H47" i="4" s="1"/>
  <c r="B45" i="7"/>
  <c r="AI44" i="7"/>
  <c r="AJ44" i="7" s="1"/>
  <c r="AG49" i="7"/>
  <c r="G50" i="7" s="1"/>
  <c r="AT45" i="4"/>
  <c r="AU45" i="4" s="1"/>
  <c r="AJ45" i="4"/>
  <c r="J45" i="4"/>
  <c r="K45" i="4" s="1"/>
  <c r="L45" i="4" s="1"/>
  <c r="AQ46" i="4"/>
  <c r="F47" i="4" s="1"/>
  <c r="H50" i="1"/>
  <c r="G51" i="1"/>
  <c r="V45" i="4"/>
  <c r="AM46" i="4"/>
  <c r="B47" i="4" s="1"/>
  <c r="I46" i="4"/>
  <c r="AN46" i="4"/>
  <c r="C47" i="4" s="1"/>
  <c r="J44" i="7"/>
  <c r="K44" i="7" s="1"/>
  <c r="L44" i="7" s="1"/>
  <c r="Q44" i="7"/>
  <c r="T44" i="7"/>
  <c r="V44" i="7"/>
  <c r="B51" i="1"/>
  <c r="X58" i="28" l="1"/>
  <c r="Y44" i="4"/>
  <c r="AO46" i="21"/>
  <c r="E57" i="29"/>
  <c r="V57" i="29" s="1"/>
  <c r="AO47" i="29"/>
  <c r="AN47" i="29"/>
  <c r="G57" i="29"/>
  <c r="X57" i="29" s="1"/>
  <c r="B49" i="29"/>
  <c r="S49" i="29" s="1"/>
  <c r="Z48" i="29"/>
  <c r="AG48" i="29" s="1"/>
  <c r="H57" i="29"/>
  <c r="Y57" i="29" s="1"/>
  <c r="D57" i="29"/>
  <c r="U57" i="29" s="1"/>
  <c r="U59" i="28"/>
  <c r="W58" i="28"/>
  <c r="Y58" i="28" s="1"/>
  <c r="E61" i="28"/>
  <c r="R59" i="28"/>
  <c r="W57" i="28"/>
  <c r="X57" i="28"/>
  <c r="H60" i="28"/>
  <c r="I60" i="28" s="1"/>
  <c r="J60" i="28" s="1"/>
  <c r="V59" i="28"/>
  <c r="B61" i="28"/>
  <c r="D61" i="28"/>
  <c r="P59" i="28"/>
  <c r="G61" i="28"/>
  <c r="Z43" i="26"/>
  <c r="AT43" i="26" s="1"/>
  <c r="J43" i="26"/>
  <c r="K43" i="26" s="1"/>
  <c r="L43" i="26" s="1"/>
  <c r="P48" i="25"/>
  <c r="V48" i="25"/>
  <c r="T48" i="25"/>
  <c r="AC48" i="25"/>
  <c r="AI48" i="25"/>
  <c r="AG48" i="25"/>
  <c r="Y47" i="25"/>
  <c r="AQ48" i="25"/>
  <c r="G49" i="25" s="1"/>
  <c r="AJ48" i="25"/>
  <c r="J48" i="25"/>
  <c r="K48" i="25" s="1"/>
  <c r="L48" i="25" s="1"/>
  <c r="AN48" i="25"/>
  <c r="C49" i="25" s="1"/>
  <c r="AT48" i="25"/>
  <c r="AU48" i="25" s="1"/>
  <c r="AS48" i="25"/>
  <c r="H49" i="25" s="1"/>
  <c r="AM48" i="25"/>
  <c r="B49" i="25" s="1"/>
  <c r="Q48" i="25"/>
  <c r="AN46" i="21"/>
  <c r="S43" i="23"/>
  <c r="I43" i="23"/>
  <c r="E55" i="21"/>
  <c r="V55" i="21" s="1"/>
  <c r="AA45" i="22"/>
  <c r="AB45" i="22" s="1"/>
  <c r="AC45" i="22" s="1"/>
  <c r="BL45" i="22"/>
  <c r="BK45" i="22"/>
  <c r="AD45" i="22"/>
  <c r="BA45" i="22"/>
  <c r="AN45" i="22"/>
  <c r="AU45" i="22"/>
  <c r="AL45" i="22"/>
  <c r="AZ45" i="22"/>
  <c r="AX45" i="22"/>
  <c r="AI45" i="22"/>
  <c r="D55" i="21"/>
  <c r="U55" i="21" s="1"/>
  <c r="AP46" i="24"/>
  <c r="AO46" i="24"/>
  <c r="AT45" i="22"/>
  <c r="S46" i="22"/>
  <c r="I46" i="22"/>
  <c r="J46" i="22" s="1"/>
  <c r="K46" i="22" s="1"/>
  <c r="L46" i="22" s="1"/>
  <c r="H55" i="21"/>
  <c r="Y55" i="21" s="1"/>
  <c r="E54" i="24"/>
  <c r="G55" i="21"/>
  <c r="X55" i="21" s="1"/>
  <c r="AH45" i="22"/>
  <c r="B48" i="21"/>
  <c r="Z47" i="21"/>
  <c r="D54" i="24"/>
  <c r="AT47" i="24"/>
  <c r="B48" i="24" s="1"/>
  <c r="Z47" i="24"/>
  <c r="AH47" i="24" s="1"/>
  <c r="Y47" i="1"/>
  <c r="X48" i="1"/>
  <c r="W48" i="1"/>
  <c r="J49" i="1"/>
  <c r="K49" i="1" s="1"/>
  <c r="L49" i="1" s="1"/>
  <c r="I50" i="1"/>
  <c r="C13" i="14" s="1"/>
  <c r="V49" i="1"/>
  <c r="Q49" i="1"/>
  <c r="W45" i="4"/>
  <c r="P49" i="1"/>
  <c r="U49" i="1"/>
  <c r="X45" i="4"/>
  <c r="AI46" i="4"/>
  <c r="B9" i="14"/>
  <c r="W44" i="7"/>
  <c r="X44" i="7"/>
  <c r="AD46" i="4"/>
  <c r="Q46" i="4"/>
  <c r="I47" i="4"/>
  <c r="P47" i="4" s="1"/>
  <c r="G52" i="1"/>
  <c r="T46" i="4"/>
  <c r="AB45" i="7"/>
  <c r="I45" i="7"/>
  <c r="D8" i="14" s="1"/>
  <c r="AC46" i="4"/>
  <c r="D52" i="7"/>
  <c r="V46" i="4"/>
  <c r="AH50" i="7"/>
  <c r="H51" i="7" s="1"/>
  <c r="B52" i="1"/>
  <c r="P46" i="4"/>
  <c r="H51" i="1"/>
  <c r="AG46" i="4"/>
  <c r="AJ46" i="4"/>
  <c r="AT46" i="4"/>
  <c r="AU46" i="4" s="1"/>
  <c r="J46" i="4"/>
  <c r="K46" i="4" s="1"/>
  <c r="L46" i="4" s="1"/>
  <c r="E52" i="7"/>
  <c r="AG50" i="7"/>
  <c r="G51" i="7" s="1"/>
  <c r="AP46" i="21" l="1"/>
  <c r="BO47" i="24"/>
  <c r="AP47" i="29"/>
  <c r="D58" i="29"/>
  <c r="U58" i="29" s="1"/>
  <c r="I49" i="29"/>
  <c r="J49" i="29" s="1"/>
  <c r="K49" i="29" s="1"/>
  <c r="L49" i="29" s="1"/>
  <c r="H58" i="29"/>
  <c r="Y58" i="29" s="1"/>
  <c r="E58" i="29"/>
  <c r="V58" i="29" s="1"/>
  <c r="AA48" i="29"/>
  <c r="AB48" i="29" s="1"/>
  <c r="AC48" i="29" s="1"/>
  <c r="AD48" i="29"/>
  <c r="AK48" i="29"/>
  <c r="AM48" i="29"/>
  <c r="AH48" i="29"/>
  <c r="G58" i="29"/>
  <c r="X58" i="29" s="1"/>
  <c r="R60" i="28"/>
  <c r="P60" i="28"/>
  <c r="Y57" i="28"/>
  <c r="U60" i="28"/>
  <c r="D62" i="28"/>
  <c r="G62" i="28"/>
  <c r="B62" i="28"/>
  <c r="V60" i="28"/>
  <c r="H61" i="28"/>
  <c r="S60" i="28"/>
  <c r="X59" i="28"/>
  <c r="W59" i="28"/>
  <c r="I69" i="28"/>
  <c r="K60" i="28"/>
  <c r="E62" i="28"/>
  <c r="BK43" i="26"/>
  <c r="AD43" i="26"/>
  <c r="BA43" i="26"/>
  <c r="AA43" i="26"/>
  <c r="AB43" i="26" s="1"/>
  <c r="AC43" i="26" s="1"/>
  <c r="AI43" i="26"/>
  <c r="AU43" i="26"/>
  <c r="AX43" i="26"/>
  <c r="AZ43" i="26"/>
  <c r="AL43" i="26"/>
  <c r="AN43" i="26"/>
  <c r="AH43" i="26"/>
  <c r="W48" i="25"/>
  <c r="X48" i="25"/>
  <c r="I49" i="25"/>
  <c r="AH49" i="25" s="1"/>
  <c r="I48" i="24"/>
  <c r="J48" i="24" s="1"/>
  <c r="K48" i="24" s="1"/>
  <c r="L48" i="24" s="1"/>
  <c r="S48" i="24"/>
  <c r="AP45" i="22"/>
  <c r="AO45" i="22"/>
  <c r="G56" i="21"/>
  <c r="X56" i="21" s="1"/>
  <c r="H56" i="21"/>
  <c r="Y56" i="21" s="1"/>
  <c r="BD46" i="22"/>
  <c r="B47" i="22" s="1"/>
  <c r="Z46" i="22"/>
  <c r="D56" i="21"/>
  <c r="U56" i="21" s="1"/>
  <c r="J43" i="23"/>
  <c r="K43" i="23" s="1"/>
  <c r="L43" i="23" s="1"/>
  <c r="AD47" i="21"/>
  <c r="AA47" i="21"/>
  <c r="AB47" i="21" s="1"/>
  <c r="AC47" i="21" s="1"/>
  <c r="AK47" i="21"/>
  <c r="AM47" i="21"/>
  <c r="AH47" i="21"/>
  <c r="S48" i="21"/>
  <c r="I48" i="21"/>
  <c r="J48" i="21" s="1"/>
  <c r="K48" i="21" s="1"/>
  <c r="L48" i="21" s="1"/>
  <c r="E56" i="21"/>
  <c r="V56" i="21" s="1"/>
  <c r="AD47" i="24"/>
  <c r="BB47" i="24"/>
  <c r="BV47" i="24"/>
  <c r="AA47" i="24"/>
  <c r="AB47" i="24" s="1"/>
  <c r="AC47" i="24" s="1"/>
  <c r="BA47" i="24"/>
  <c r="BP47" i="24"/>
  <c r="AN47" i="24"/>
  <c r="AL47" i="24"/>
  <c r="BS47" i="24"/>
  <c r="AI47" i="24"/>
  <c r="BU47" i="24"/>
  <c r="AG47" i="21"/>
  <c r="AQ46" i="24"/>
  <c r="Z43" i="23"/>
  <c r="AT43" i="23" s="1"/>
  <c r="J50" i="1"/>
  <c r="K50" i="1" s="1"/>
  <c r="L50" i="1" s="1"/>
  <c r="Y48" i="1"/>
  <c r="V50" i="1"/>
  <c r="Q50" i="1"/>
  <c r="U50" i="1"/>
  <c r="P50" i="1"/>
  <c r="Y45" i="4"/>
  <c r="T47" i="4"/>
  <c r="AD47" i="4"/>
  <c r="W49" i="1"/>
  <c r="AI47" i="4"/>
  <c r="X49" i="1"/>
  <c r="Q47" i="4"/>
  <c r="X46" i="4"/>
  <c r="AG47" i="4"/>
  <c r="B10" i="14"/>
  <c r="Y44" i="7"/>
  <c r="W46" i="4"/>
  <c r="V47" i="4"/>
  <c r="B53" i="1"/>
  <c r="E52" i="1"/>
  <c r="J45" i="7"/>
  <c r="K45" i="7" s="1"/>
  <c r="L45" i="7" s="1"/>
  <c r="Q45" i="7"/>
  <c r="V45" i="7"/>
  <c r="T45" i="7"/>
  <c r="AJ47" i="4"/>
  <c r="AT47" i="4"/>
  <c r="J47" i="4"/>
  <c r="K47" i="4" s="1"/>
  <c r="L47" i="4" s="1"/>
  <c r="AG51" i="7"/>
  <c r="G52" i="7" s="1"/>
  <c r="I51" i="1"/>
  <c r="C14" i="14" s="1"/>
  <c r="AD52" i="7"/>
  <c r="D53" i="7" s="1"/>
  <c r="D52" i="1"/>
  <c r="AI45" i="7"/>
  <c r="AJ45" i="7" s="1"/>
  <c r="B46" i="7"/>
  <c r="G53" i="1"/>
  <c r="AE52" i="7"/>
  <c r="E53" i="7" s="1"/>
  <c r="H52" i="1"/>
  <c r="AH51" i="7"/>
  <c r="H52" i="7" s="1"/>
  <c r="P45" i="7"/>
  <c r="AC47" i="4"/>
  <c r="AU47" i="4" l="1"/>
  <c r="AQ47" i="4"/>
  <c r="G48" i="4" s="1"/>
  <c r="AS47" i="4"/>
  <c r="H48" i="4" s="1"/>
  <c r="AN47" i="4"/>
  <c r="C48" i="4" s="1"/>
  <c r="AM47" i="4"/>
  <c r="B48" i="4" s="1"/>
  <c r="AP47" i="24"/>
  <c r="AQ45" i="22"/>
  <c r="AN48" i="29"/>
  <c r="G59" i="29"/>
  <c r="X59" i="29" s="1"/>
  <c r="AO48" i="29"/>
  <c r="H59" i="29"/>
  <c r="Y59" i="29" s="1"/>
  <c r="E59" i="29"/>
  <c r="V59" i="29" s="1"/>
  <c r="Z49" i="29"/>
  <c r="AG49" i="29" s="1"/>
  <c r="B50" i="29"/>
  <c r="S50" i="29" s="1"/>
  <c r="D59" i="29"/>
  <c r="U59" i="29" s="1"/>
  <c r="Y59" i="28"/>
  <c r="L60" i="28"/>
  <c r="I70" i="28"/>
  <c r="X60" i="28"/>
  <c r="W60" i="28"/>
  <c r="B63" i="28"/>
  <c r="D63" i="28"/>
  <c r="H62" i="28"/>
  <c r="E63" i="28"/>
  <c r="I61" i="28"/>
  <c r="V61" i="28" s="1"/>
  <c r="G63" i="28"/>
  <c r="AP43" i="26"/>
  <c r="AO43" i="26"/>
  <c r="BD43" i="26"/>
  <c r="BJ43" i="26"/>
  <c r="H44" i="26" s="1"/>
  <c r="Y44" i="26" s="1"/>
  <c r="BH43" i="26"/>
  <c r="F44" i="26" s="1"/>
  <c r="BE43" i="26"/>
  <c r="C44" i="26" s="1"/>
  <c r="Y48" i="25"/>
  <c r="V49" i="25"/>
  <c r="AC49" i="25"/>
  <c r="AD49" i="25"/>
  <c r="U49" i="25"/>
  <c r="P49" i="25"/>
  <c r="AI49" i="25"/>
  <c r="AT49" i="25"/>
  <c r="AU49" i="25" s="1"/>
  <c r="AM49" i="25"/>
  <c r="B50" i="25" s="1"/>
  <c r="AS49" i="25"/>
  <c r="H50" i="25" s="1"/>
  <c r="AN49" i="25"/>
  <c r="C50" i="25" s="1"/>
  <c r="AJ49" i="25"/>
  <c r="J49" i="25"/>
  <c r="K49" i="25" s="1"/>
  <c r="L49" i="25" s="1"/>
  <c r="AQ49" i="25"/>
  <c r="Q49" i="25"/>
  <c r="AO47" i="24"/>
  <c r="AQ47" i="24" s="1"/>
  <c r="AD46" i="22"/>
  <c r="BL46" i="22"/>
  <c r="AA46" i="22"/>
  <c r="AB46" i="22" s="1"/>
  <c r="AC46" i="22" s="1"/>
  <c r="BA46" i="22"/>
  <c r="BK46" i="22"/>
  <c r="AL46" i="22"/>
  <c r="AI46" i="22"/>
  <c r="AU46" i="22"/>
  <c r="AZ46" i="22"/>
  <c r="AN46" i="22"/>
  <c r="AX46" i="22"/>
  <c r="E57" i="21"/>
  <c r="V57" i="21" s="1"/>
  <c r="AT46" i="22"/>
  <c r="AD43" i="23"/>
  <c r="AA43" i="23"/>
  <c r="AB43" i="23" s="1"/>
  <c r="AC43" i="23" s="1"/>
  <c r="BA43" i="23"/>
  <c r="BK43" i="23"/>
  <c r="AI43" i="23"/>
  <c r="AU43" i="23"/>
  <c r="AX43" i="23"/>
  <c r="AL43" i="23"/>
  <c r="AZ43" i="23"/>
  <c r="AN43" i="23"/>
  <c r="AH46" i="22"/>
  <c r="B49" i="21"/>
  <c r="Z48" i="21"/>
  <c r="AO47" i="21"/>
  <c r="AN47" i="21"/>
  <c r="D57" i="21"/>
  <c r="U57" i="21" s="1"/>
  <c r="H57" i="21"/>
  <c r="Y57" i="21" s="1"/>
  <c r="AH43" i="23"/>
  <c r="I47" i="22"/>
  <c r="J47" i="22" s="1"/>
  <c r="K47" i="22" s="1"/>
  <c r="L47" i="22" s="1"/>
  <c r="S47" i="22"/>
  <c r="AT48" i="24"/>
  <c r="B49" i="24" s="1"/>
  <c r="Z48" i="24"/>
  <c r="AM48" i="24" s="1"/>
  <c r="G57" i="21"/>
  <c r="X57" i="21" s="1"/>
  <c r="Y49" i="1"/>
  <c r="X50" i="1"/>
  <c r="W50" i="1"/>
  <c r="X47" i="4"/>
  <c r="W47" i="4"/>
  <c r="V51" i="1"/>
  <c r="Y46" i="4"/>
  <c r="R51" i="1"/>
  <c r="I52" i="1"/>
  <c r="C15" i="14" s="1"/>
  <c r="X45" i="7"/>
  <c r="W45" i="7"/>
  <c r="E54" i="7"/>
  <c r="E53" i="1"/>
  <c r="H53" i="1"/>
  <c r="AB46" i="7"/>
  <c r="I46" i="7"/>
  <c r="D54" i="7"/>
  <c r="AG52" i="7"/>
  <c r="G53" i="7" s="1"/>
  <c r="B54" i="1"/>
  <c r="AH52" i="7"/>
  <c r="H53" i="7" s="1"/>
  <c r="G54" i="1"/>
  <c r="D53" i="1"/>
  <c r="J51" i="1"/>
  <c r="K51" i="1" s="1"/>
  <c r="L51" i="1" s="1"/>
  <c r="P51" i="1"/>
  <c r="U51" i="1"/>
  <c r="S51" i="1"/>
  <c r="I62" i="28" l="1"/>
  <c r="I74" i="28" s="1"/>
  <c r="I75" i="28"/>
  <c r="I48" i="4"/>
  <c r="AD48" i="4" s="1"/>
  <c r="AP47" i="21"/>
  <c r="AQ43" i="26"/>
  <c r="AP48" i="29"/>
  <c r="D60" i="29"/>
  <c r="U60" i="29" s="1"/>
  <c r="E60" i="29"/>
  <c r="V60" i="29" s="1"/>
  <c r="I50" i="29"/>
  <c r="J50" i="29" s="1"/>
  <c r="K50" i="29" s="1"/>
  <c r="L50" i="29" s="1"/>
  <c r="G60" i="29"/>
  <c r="X60" i="29" s="1"/>
  <c r="AA49" i="29"/>
  <c r="AB49" i="29" s="1"/>
  <c r="AC49" i="29" s="1"/>
  <c r="AD49" i="29"/>
  <c r="AL49" i="29"/>
  <c r="AM49" i="29"/>
  <c r="AH49" i="29"/>
  <c r="H60" i="29"/>
  <c r="Y60" i="29" s="1"/>
  <c r="Y60" i="28"/>
  <c r="J62" i="28"/>
  <c r="K62" i="28" s="1"/>
  <c r="L62" i="28" s="1"/>
  <c r="S62" i="28"/>
  <c r="U62" i="28"/>
  <c r="G64" i="28"/>
  <c r="G65" i="28" s="1"/>
  <c r="J61" i="28"/>
  <c r="K61" i="28" s="1"/>
  <c r="L61" i="28" s="1"/>
  <c r="U61" i="28"/>
  <c r="S61" i="28"/>
  <c r="R61" i="28"/>
  <c r="P61" i="28"/>
  <c r="H63" i="28"/>
  <c r="I63" i="28" s="1"/>
  <c r="J63" i="28" s="1"/>
  <c r="K63" i="28" s="1"/>
  <c r="L63" i="28" s="1"/>
  <c r="V62" i="28"/>
  <c r="P62" i="28"/>
  <c r="D64" i="28"/>
  <c r="D65" i="28" s="1"/>
  <c r="E64" i="28"/>
  <c r="E65" i="28" s="1"/>
  <c r="R62" i="28"/>
  <c r="B64" i="28"/>
  <c r="B65" i="28" s="1"/>
  <c r="B44" i="26"/>
  <c r="S44" i="26" s="1"/>
  <c r="BL43" i="26"/>
  <c r="X49" i="25"/>
  <c r="W49" i="25"/>
  <c r="I50" i="25"/>
  <c r="D58" i="21"/>
  <c r="U58" i="21" s="1"/>
  <c r="Z47" i="22"/>
  <c r="AP43" i="23"/>
  <c r="AO43" i="23"/>
  <c r="H58" i="21"/>
  <c r="Y58" i="21" s="1"/>
  <c r="I49" i="21"/>
  <c r="J49" i="21" s="1"/>
  <c r="K49" i="21" s="1"/>
  <c r="L49" i="21" s="1"/>
  <c r="S49" i="21"/>
  <c r="BD43" i="23"/>
  <c r="BH43" i="23"/>
  <c r="F44" i="23" s="1"/>
  <c r="W44" i="23" s="1"/>
  <c r="BJ43" i="23"/>
  <c r="H44" i="23" s="1"/>
  <c r="Y44" i="23" s="1"/>
  <c r="BE43" i="23"/>
  <c r="C44" i="23" s="1"/>
  <c r="T44" i="23" s="1"/>
  <c r="BA48" i="24"/>
  <c r="BV48" i="24"/>
  <c r="AA48" i="24"/>
  <c r="AB48" i="24" s="1"/>
  <c r="AC48" i="24" s="1"/>
  <c r="AD48" i="24"/>
  <c r="BB48" i="24"/>
  <c r="AN48" i="24"/>
  <c r="BP48" i="24"/>
  <c r="BU48" i="24"/>
  <c r="AI48" i="24"/>
  <c r="BS48" i="24"/>
  <c r="I49" i="24"/>
  <c r="J49" i="24" s="1"/>
  <c r="K49" i="24" s="1"/>
  <c r="L49" i="24" s="1"/>
  <c r="S49" i="24"/>
  <c r="AA48" i="21"/>
  <c r="AB48" i="21" s="1"/>
  <c r="AC48" i="21" s="1"/>
  <c r="AD48" i="21"/>
  <c r="AK48" i="21"/>
  <c r="AM48" i="21"/>
  <c r="AH48" i="21"/>
  <c r="E58" i="21"/>
  <c r="V58" i="21" s="1"/>
  <c r="G58" i="21"/>
  <c r="X58" i="21" s="1"/>
  <c r="AG48" i="21"/>
  <c r="BO48" i="24"/>
  <c r="AP46" i="22"/>
  <c r="AO46" i="22"/>
  <c r="AH48" i="24"/>
  <c r="Y50" i="1"/>
  <c r="U52" i="1"/>
  <c r="Y47" i="4"/>
  <c r="P52" i="1"/>
  <c r="R52" i="1"/>
  <c r="V52" i="1"/>
  <c r="S52" i="1"/>
  <c r="J52" i="1"/>
  <c r="K52" i="1" s="1"/>
  <c r="L52" i="1" s="1"/>
  <c r="X51" i="1"/>
  <c r="W51" i="1"/>
  <c r="P46" i="7"/>
  <c r="D9" i="14"/>
  <c r="Y45" i="7"/>
  <c r="G55" i="1"/>
  <c r="B55" i="1"/>
  <c r="G54" i="7"/>
  <c r="AI46" i="7"/>
  <c r="AJ46" i="7" s="1"/>
  <c r="B47" i="7"/>
  <c r="D54" i="1"/>
  <c r="I53" i="1"/>
  <c r="C16" i="14" s="1"/>
  <c r="H54" i="1"/>
  <c r="E54" i="1"/>
  <c r="J46" i="7"/>
  <c r="K46" i="7" s="1"/>
  <c r="L46" i="7" s="1"/>
  <c r="Q46" i="7"/>
  <c r="T46" i="7"/>
  <c r="V46" i="7"/>
  <c r="AH48" i="4" l="1"/>
  <c r="AH47" i="22"/>
  <c r="AZ47" i="22"/>
  <c r="I76" i="28"/>
  <c r="P48" i="4"/>
  <c r="AI48" i="4"/>
  <c r="AT48" i="4"/>
  <c r="V48" i="4"/>
  <c r="AJ48" i="4"/>
  <c r="T48" i="4"/>
  <c r="B11" i="14"/>
  <c r="AC48" i="4"/>
  <c r="Q48" i="4"/>
  <c r="J48" i="4"/>
  <c r="K48" i="4" s="1"/>
  <c r="L48" i="4" s="1"/>
  <c r="AQ46" i="22"/>
  <c r="AQ43" i="23"/>
  <c r="AO49" i="29"/>
  <c r="H61" i="29"/>
  <c r="Y61" i="29" s="1"/>
  <c r="E61" i="29"/>
  <c r="V61" i="29" s="1"/>
  <c r="G61" i="29"/>
  <c r="X61" i="29" s="1"/>
  <c r="AN49" i="29"/>
  <c r="Z50" i="29"/>
  <c r="B51" i="29"/>
  <c r="S51" i="29" s="1"/>
  <c r="D61" i="29"/>
  <c r="U61" i="29" s="1"/>
  <c r="H64" i="28"/>
  <c r="V63" i="28"/>
  <c r="W61" i="28"/>
  <c r="X61" i="28"/>
  <c r="P63" i="28"/>
  <c r="S63" i="28"/>
  <c r="X62" i="28"/>
  <c r="W62" i="28"/>
  <c r="R63" i="28"/>
  <c r="U63" i="28"/>
  <c r="I44" i="26"/>
  <c r="Y49" i="25"/>
  <c r="AR50" i="25"/>
  <c r="G51" i="25" s="1"/>
  <c r="AJ50" i="25"/>
  <c r="J50" i="25"/>
  <c r="K50" i="25" s="1"/>
  <c r="L50" i="25" s="1"/>
  <c r="AN50" i="25"/>
  <c r="AS50" i="25"/>
  <c r="H51" i="25" s="1"/>
  <c r="U50" i="25"/>
  <c r="AM50" i="25"/>
  <c r="B51" i="25" s="1"/>
  <c r="AT50" i="25"/>
  <c r="AU50" i="25" s="1"/>
  <c r="AH50" i="25"/>
  <c r="P50" i="25"/>
  <c r="V50" i="25"/>
  <c r="AC50" i="25"/>
  <c r="AD50" i="25"/>
  <c r="AI50" i="25"/>
  <c r="Q50" i="25"/>
  <c r="G59" i="21"/>
  <c r="X59" i="21" s="1"/>
  <c r="B44" i="23"/>
  <c r="BL43" i="23"/>
  <c r="E59" i="21"/>
  <c r="V59" i="21" s="1"/>
  <c r="AO48" i="24"/>
  <c r="AP48" i="24"/>
  <c r="AO48" i="21"/>
  <c r="AN48" i="21"/>
  <c r="Z49" i="24"/>
  <c r="AH49" i="24" s="1"/>
  <c r="AT49" i="24"/>
  <c r="B50" i="24" s="1"/>
  <c r="S50" i="24" s="1"/>
  <c r="H59" i="21"/>
  <c r="Y59" i="21" s="1"/>
  <c r="BA47" i="22"/>
  <c r="AA47" i="22"/>
  <c r="AB47" i="22" s="1"/>
  <c r="AC47" i="22" s="1"/>
  <c r="AD47" i="22"/>
  <c r="BK47" i="22"/>
  <c r="AX47" i="22"/>
  <c r="AI47" i="22"/>
  <c r="AN47" i="22"/>
  <c r="AL47" i="22"/>
  <c r="AU47" i="22"/>
  <c r="AT47" i="22"/>
  <c r="B50" i="21"/>
  <c r="S50" i="21" s="1"/>
  <c r="Z49" i="21"/>
  <c r="D59" i="21"/>
  <c r="U59" i="21" s="1"/>
  <c r="X52" i="1"/>
  <c r="W52" i="1"/>
  <c r="Y51" i="1"/>
  <c r="V53" i="1"/>
  <c r="X46" i="7"/>
  <c r="W46" i="7"/>
  <c r="H55" i="1"/>
  <c r="J53" i="1"/>
  <c r="K53" i="1" s="1"/>
  <c r="L53" i="1" s="1"/>
  <c r="P53" i="1"/>
  <c r="U53" i="1"/>
  <c r="I47" i="7"/>
  <c r="AB47" i="7"/>
  <c r="B56" i="1"/>
  <c r="E55" i="1"/>
  <c r="D55" i="1"/>
  <c r="S53" i="1"/>
  <c r="R53" i="1"/>
  <c r="I54" i="1"/>
  <c r="G56" i="1"/>
  <c r="BJ47" i="22" l="1"/>
  <c r="H48" i="22" s="1"/>
  <c r="Y48" i="22" s="1"/>
  <c r="BJ48" i="22" s="1"/>
  <c r="BD47" i="22"/>
  <c r="BH47" i="22"/>
  <c r="G48" i="22" s="1"/>
  <c r="X48" i="22" s="1"/>
  <c r="BE47" i="22"/>
  <c r="C48" i="22" s="1"/>
  <c r="T48" i="22" s="1"/>
  <c r="BE48" i="22" s="1"/>
  <c r="AU48" i="4"/>
  <c r="AR48" i="4"/>
  <c r="G49" i="4" s="1"/>
  <c r="AR49" i="4" s="1"/>
  <c r="AM48" i="4"/>
  <c r="B49" i="4" s="1"/>
  <c r="AM49" i="4" s="1"/>
  <c r="AN48" i="4"/>
  <c r="C49" i="4" s="1"/>
  <c r="AN49" i="4" s="1"/>
  <c r="AS48" i="4"/>
  <c r="H49" i="4" s="1"/>
  <c r="AS49" i="4" s="1"/>
  <c r="W48" i="4"/>
  <c r="X48" i="4"/>
  <c r="AP49" i="29"/>
  <c r="I64" i="28"/>
  <c r="U64" i="28" s="1"/>
  <c r="H65" i="28"/>
  <c r="Y52" i="1"/>
  <c r="AP48" i="21"/>
  <c r="AD50" i="29"/>
  <c r="AA50" i="29"/>
  <c r="AB50" i="29" s="1"/>
  <c r="AC50" i="29" s="1"/>
  <c r="AL50" i="29"/>
  <c r="AH50" i="29"/>
  <c r="AM50" i="29"/>
  <c r="E62" i="29"/>
  <c r="V62" i="29" s="1"/>
  <c r="D62" i="29"/>
  <c r="U62" i="29" s="1"/>
  <c r="AG50" i="29"/>
  <c r="I51" i="29"/>
  <c r="J51" i="29" s="1"/>
  <c r="K51" i="29" s="1"/>
  <c r="L51" i="29" s="1"/>
  <c r="G62" i="29"/>
  <c r="X62" i="29" s="1"/>
  <c r="H62" i="29"/>
  <c r="Y62" i="29" s="1"/>
  <c r="Y62" i="28"/>
  <c r="X63" i="28"/>
  <c r="W63" i="28"/>
  <c r="V64" i="28"/>
  <c r="S64" i="28"/>
  <c r="P64" i="28"/>
  <c r="Y61" i="28"/>
  <c r="J44" i="26"/>
  <c r="K44" i="26" s="1"/>
  <c r="L44" i="26" s="1"/>
  <c r="Z44" i="26"/>
  <c r="AH44" i="26" s="1"/>
  <c r="D51" i="25"/>
  <c r="E51" i="25"/>
  <c r="W50" i="25"/>
  <c r="X50" i="25"/>
  <c r="BO49" i="24"/>
  <c r="AO47" i="22"/>
  <c r="H60" i="21"/>
  <c r="Y60" i="21" s="1"/>
  <c r="I50" i="21"/>
  <c r="J50" i="21" s="1"/>
  <c r="K50" i="21" s="1"/>
  <c r="L50" i="21" s="1"/>
  <c r="I44" i="23"/>
  <c r="S44" i="23"/>
  <c r="BA49" i="24"/>
  <c r="BV49" i="24"/>
  <c r="AD49" i="24"/>
  <c r="BB49" i="24"/>
  <c r="AA49" i="24"/>
  <c r="AB49" i="24" s="1"/>
  <c r="AC49" i="24" s="1"/>
  <c r="BU49" i="24"/>
  <c r="AN49" i="24"/>
  <c r="AI49" i="24"/>
  <c r="BP49" i="24"/>
  <c r="AM49" i="24"/>
  <c r="BT49" i="24"/>
  <c r="AQ48" i="24"/>
  <c r="AA49" i="21"/>
  <c r="AB49" i="21" s="1"/>
  <c r="AC49" i="21" s="1"/>
  <c r="AD49" i="21"/>
  <c r="AH49" i="21"/>
  <c r="AL49" i="21"/>
  <c r="AM49" i="21"/>
  <c r="G60" i="21"/>
  <c r="X60" i="21" s="1"/>
  <c r="I50" i="24"/>
  <c r="J50" i="24" s="1"/>
  <c r="K50" i="24" s="1"/>
  <c r="L50" i="24" s="1"/>
  <c r="D60" i="21"/>
  <c r="U60" i="21" s="1"/>
  <c r="E60" i="21"/>
  <c r="V60" i="21" s="1"/>
  <c r="AP47" i="22"/>
  <c r="AG49" i="21"/>
  <c r="X53" i="1"/>
  <c r="W53" i="1"/>
  <c r="S54" i="1"/>
  <c r="C17" i="14"/>
  <c r="Y46" i="7"/>
  <c r="P47" i="7"/>
  <c r="D10" i="14"/>
  <c r="B57" i="1"/>
  <c r="E56" i="1"/>
  <c r="J47" i="7"/>
  <c r="K47" i="7" s="1"/>
  <c r="L47" i="7" s="1"/>
  <c r="Q47" i="7"/>
  <c r="T47" i="7"/>
  <c r="V47" i="7"/>
  <c r="G57" i="1"/>
  <c r="J54" i="1"/>
  <c r="K54" i="1" s="1"/>
  <c r="L54" i="1" s="1"/>
  <c r="P54" i="1"/>
  <c r="U54" i="1"/>
  <c r="R54" i="1"/>
  <c r="V54" i="1"/>
  <c r="D56" i="1"/>
  <c r="I55" i="1"/>
  <c r="C18" i="14" s="1"/>
  <c r="B48" i="7"/>
  <c r="AI47" i="7"/>
  <c r="AJ47" i="7" s="1"/>
  <c r="H56" i="1"/>
  <c r="B48" i="22" l="1"/>
  <c r="BL47" i="22"/>
  <c r="BI48" i="22"/>
  <c r="G49" i="22" s="1"/>
  <c r="I49" i="4"/>
  <c r="AD49" i="4" s="1"/>
  <c r="Y48" i="4"/>
  <c r="R64" i="28"/>
  <c r="J64" i="28"/>
  <c r="K64" i="28" s="1"/>
  <c r="L64" i="28" s="1"/>
  <c r="Z51" i="29"/>
  <c r="AG51" i="29" s="1"/>
  <c r="B52" i="29"/>
  <c r="S52" i="29" s="1"/>
  <c r="D63" i="29"/>
  <c r="U63" i="29" s="1"/>
  <c r="H63" i="29"/>
  <c r="Y63" i="29" s="1"/>
  <c r="E63" i="29"/>
  <c r="V63" i="29" s="1"/>
  <c r="AO50" i="29"/>
  <c r="AN50" i="29"/>
  <c r="G63" i="29"/>
  <c r="X63" i="29" s="1"/>
  <c r="Y63" i="28"/>
  <c r="X64" i="28"/>
  <c r="W64" i="28"/>
  <c r="BA44" i="26"/>
  <c r="AA44" i="26"/>
  <c r="AB44" i="26" s="1"/>
  <c r="AC44" i="26" s="1"/>
  <c r="BK44" i="26"/>
  <c r="AD44" i="26"/>
  <c r="AZ44" i="26"/>
  <c r="AN44" i="26"/>
  <c r="AI44" i="26"/>
  <c r="AX44" i="26"/>
  <c r="AL44" i="26"/>
  <c r="AU44" i="26"/>
  <c r="AT44" i="26"/>
  <c r="I51" i="25"/>
  <c r="AT51" i="25" s="1"/>
  <c r="AU51" i="25" s="1"/>
  <c r="Y50" i="25"/>
  <c r="AO49" i="24"/>
  <c r="AQ47" i="22"/>
  <c r="B51" i="21"/>
  <c r="Z50" i="21"/>
  <c r="AG50" i="21" s="1"/>
  <c r="G61" i="21"/>
  <c r="X61" i="21" s="1"/>
  <c r="H61" i="21"/>
  <c r="Y61" i="21" s="1"/>
  <c r="AO49" i="21"/>
  <c r="AN49" i="21"/>
  <c r="J44" i="23"/>
  <c r="K44" i="23" s="1"/>
  <c r="L44" i="23" s="1"/>
  <c r="Z50" i="24"/>
  <c r="AT50" i="24"/>
  <c r="B51" i="24" s="1"/>
  <c r="E61" i="21"/>
  <c r="V61" i="21" s="1"/>
  <c r="AP49" i="24"/>
  <c r="D61" i="21"/>
  <c r="U61" i="21" s="1"/>
  <c r="Z44" i="23"/>
  <c r="AT44" i="23" s="1"/>
  <c r="I56" i="1"/>
  <c r="C19" i="14" s="1"/>
  <c r="R55" i="1"/>
  <c r="V55" i="1"/>
  <c r="Y53" i="1"/>
  <c r="X54" i="1"/>
  <c r="W54" i="1"/>
  <c r="X47" i="7"/>
  <c r="W47" i="7"/>
  <c r="I48" i="7"/>
  <c r="U48" i="7" s="1"/>
  <c r="AB48" i="7"/>
  <c r="G58" i="1"/>
  <c r="E57" i="1"/>
  <c r="B58" i="1"/>
  <c r="H57" i="1"/>
  <c r="J55" i="1"/>
  <c r="K55" i="1" s="1"/>
  <c r="L55" i="1" s="1"/>
  <c r="P55" i="1"/>
  <c r="U55" i="1"/>
  <c r="S55" i="1"/>
  <c r="D57" i="1"/>
  <c r="I48" i="22" l="1"/>
  <c r="J48" i="22" s="1"/>
  <c r="K48" i="22" s="1"/>
  <c r="L48" i="22" s="1"/>
  <c r="S48" i="22"/>
  <c r="BO50" i="24"/>
  <c r="AK50" i="24"/>
  <c r="AJ50" i="24"/>
  <c r="B12" i="14"/>
  <c r="V49" i="4"/>
  <c r="AC49" i="4"/>
  <c r="U49" i="4"/>
  <c r="AT49" i="4"/>
  <c r="AI49" i="4"/>
  <c r="P49" i="4"/>
  <c r="AJ49" i="4"/>
  <c r="J49" i="4"/>
  <c r="K49" i="4" s="1"/>
  <c r="L49" i="4" s="1"/>
  <c r="Q49" i="4"/>
  <c r="AH49" i="4"/>
  <c r="AQ49" i="24"/>
  <c r="Y64" i="28"/>
  <c r="AP50" i="29"/>
  <c r="G64" i="29"/>
  <c r="X64" i="29" s="1"/>
  <c r="D64" i="29"/>
  <c r="U64" i="29" s="1"/>
  <c r="H64" i="29"/>
  <c r="Y64" i="29" s="1"/>
  <c r="I52" i="29"/>
  <c r="J52" i="29" s="1"/>
  <c r="K52" i="29" s="1"/>
  <c r="L52" i="29" s="1"/>
  <c r="E64" i="29"/>
  <c r="V64" i="29" s="1"/>
  <c r="AA51" i="29"/>
  <c r="AB51" i="29" s="1"/>
  <c r="AC51" i="29" s="1"/>
  <c r="AD51" i="29"/>
  <c r="AI51" i="29"/>
  <c r="AJ51" i="29"/>
  <c r="AL51" i="29"/>
  <c r="AM51" i="29"/>
  <c r="AP44" i="26"/>
  <c r="AO44" i="26"/>
  <c r="BH44" i="26"/>
  <c r="F45" i="26" s="1"/>
  <c r="BE44" i="26"/>
  <c r="C45" i="26" s="1"/>
  <c r="BD44" i="26"/>
  <c r="BJ44" i="26"/>
  <c r="H45" i="26" s="1"/>
  <c r="Y45" i="26" s="1"/>
  <c r="AR51" i="25"/>
  <c r="G52" i="25" s="1"/>
  <c r="S51" i="25"/>
  <c r="U51" i="25"/>
  <c r="AE51" i="25"/>
  <c r="V51" i="25"/>
  <c r="AC51" i="25"/>
  <c r="AP51" i="25"/>
  <c r="E52" i="25" s="1"/>
  <c r="R51" i="25"/>
  <c r="AI51" i="25"/>
  <c r="AH51" i="25"/>
  <c r="J51" i="25"/>
  <c r="K51" i="25" s="1"/>
  <c r="L51" i="25" s="1"/>
  <c r="AF51" i="25"/>
  <c r="P51" i="25"/>
  <c r="AJ51" i="25"/>
  <c r="AM51" i="25"/>
  <c r="B52" i="25" s="1"/>
  <c r="AS51" i="25"/>
  <c r="H52" i="25" s="1"/>
  <c r="AO51" i="25"/>
  <c r="D52" i="25" s="1"/>
  <c r="AH50" i="24"/>
  <c r="AP49" i="21"/>
  <c r="H62" i="21"/>
  <c r="Y62" i="21" s="1"/>
  <c r="I51" i="24"/>
  <c r="J51" i="24" s="1"/>
  <c r="K51" i="24" s="1"/>
  <c r="L51" i="24" s="1"/>
  <c r="S51" i="24"/>
  <c r="H49" i="22"/>
  <c r="Y49" i="22" s="1"/>
  <c r="C49" i="22"/>
  <c r="T49" i="22" s="1"/>
  <c r="X49" i="22"/>
  <c r="E62" i="21"/>
  <c r="V62" i="21" s="1"/>
  <c r="I51" i="21"/>
  <c r="J51" i="21" s="1"/>
  <c r="K51" i="21" s="1"/>
  <c r="L51" i="21" s="1"/>
  <c r="S51" i="21"/>
  <c r="AD44" i="23"/>
  <c r="AA44" i="23"/>
  <c r="AB44" i="23" s="1"/>
  <c r="AC44" i="23" s="1"/>
  <c r="BA44" i="23"/>
  <c r="BK44" i="23"/>
  <c r="AX44" i="23"/>
  <c r="AZ44" i="23"/>
  <c r="AL44" i="23"/>
  <c r="AN44" i="23"/>
  <c r="AU44" i="23"/>
  <c r="AI44" i="23"/>
  <c r="BA50" i="24"/>
  <c r="BB50" i="24"/>
  <c r="AD50" i="24"/>
  <c r="BV50" i="24"/>
  <c r="AA50" i="24"/>
  <c r="AB50" i="24" s="1"/>
  <c r="AC50" i="24" s="1"/>
  <c r="AN50" i="24"/>
  <c r="BP50" i="24"/>
  <c r="BU50" i="24"/>
  <c r="AM50" i="24"/>
  <c r="BT50" i="24"/>
  <c r="G62" i="21"/>
  <c r="X62" i="21" s="1"/>
  <c r="AH44" i="23"/>
  <c r="D62" i="21"/>
  <c r="U62" i="21" s="1"/>
  <c r="AD50" i="21"/>
  <c r="AA50" i="21"/>
  <c r="AB50" i="21" s="1"/>
  <c r="AC50" i="21" s="1"/>
  <c r="AL50" i="21"/>
  <c r="AM50" i="21"/>
  <c r="AH50" i="21"/>
  <c r="P56" i="1"/>
  <c r="V56" i="1"/>
  <c r="S56" i="1"/>
  <c r="J56" i="1"/>
  <c r="K56" i="1" s="1"/>
  <c r="L56" i="1" s="1"/>
  <c r="R56" i="1"/>
  <c r="U56" i="1"/>
  <c r="Y54" i="1"/>
  <c r="P48" i="7"/>
  <c r="D11" i="14"/>
  <c r="X55" i="1"/>
  <c r="W55" i="1"/>
  <c r="Y47" i="7"/>
  <c r="D58" i="1"/>
  <c r="H58" i="1"/>
  <c r="E58" i="1"/>
  <c r="J48" i="7"/>
  <c r="K48" i="7" s="1"/>
  <c r="L48" i="7" s="1"/>
  <c r="Q48" i="7"/>
  <c r="V48" i="7"/>
  <c r="I57" i="1"/>
  <c r="G59" i="1"/>
  <c r="B59" i="1"/>
  <c r="B49" i="7"/>
  <c r="AI48" i="7"/>
  <c r="AJ48" i="7" s="1"/>
  <c r="BD48" i="22" l="1"/>
  <c r="Z48" i="22"/>
  <c r="AH48" i="22"/>
  <c r="AT48" i="22"/>
  <c r="H50" i="4"/>
  <c r="AU49" i="4"/>
  <c r="G50" i="4"/>
  <c r="B50" i="4"/>
  <c r="X49" i="4"/>
  <c r="W49" i="4"/>
  <c r="Y49" i="4" s="1"/>
  <c r="X65" i="29"/>
  <c r="G65" i="29"/>
  <c r="Y65" i="29"/>
  <c r="H65" i="29"/>
  <c r="E65" i="29"/>
  <c r="V65" i="29"/>
  <c r="U65" i="29"/>
  <c r="D65" i="29"/>
  <c r="AQ44" i="26"/>
  <c r="AO51" i="29"/>
  <c r="Z52" i="29"/>
  <c r="B53" i="29"/>
  <c r="S53" i="29" s="1"/>
  <c r="AN51" i="29"/>
  <c r="B45" i="26"/>
  <c r="S45" i="26" s="1"/>
  <c r="BL44" i="26"/>
  <c r="W51" i="25"/>
  <c r="X51" i="25"/>
  <c r="I52" i="25"/>
  <c r="P52" i="25" s="1"/>
  <c r="AP50" i="24"/>
  <c r="AN50" i="21"/>
  <c r="AO50" i="24"/>
  <c r="B49" i="22"/>
  <c r="BL48" i="22"/>
  <c r="AO50" i="21"/>
  <c r="D63" i="21"/>
  <c r="U63" i="21" s="1"/>
  <c r="E63" i="21"/>
  <c r="V63" i="21" s="1"/>
  <c r="G63" i="21"/>
  <c r="X63" i="21" s="1"/>
  <c r="AO44" i="23"/>
  <c r="AP44" i="23"/>
  <c r="BE44" i="23"/>
  <c r="C45" i="23" s="1"/>
  <c r="T45" i="23" s="1"/>
  <c r="BJ44" i="23"/>
  <c r="H45" i="23" s="1"/>
  <c r="Y45" i="23" s="1"/>
  <c r="BH44" i="23"/>
  <c r="F45" i="23" s="1"/>
  <c r="W45" i="23" s="1"/>
  <c r="BD44" i="23"/>
  <c r="Z51" i="21"/>
  <c r="AG51" i="21" s="1"/>
  <c r="B52" i="21"/>
  <c r="AT51" i="24"/>
  <c r="B52" i="24" s="1"/>
  <c r="Z51" i="24"/>
  <c r="AH51" i="24" s="1"/>
  <c r="H63" i="21"/>
  <c r="Y63" i="21" s="1"/>
  <c r="X56" i="1"/>
  <c r="Y55" i="1"/>
  <c r="W56" i="1"/>
  <c r="I58" i="1"/>
  <c r="C21" i="14" s="1"/>
  <c r="R57" i="1"/>
  <c r="C20" i="14"/>
  <c r="X48" i="7"/>
  <c r="W48" i="7"/>
  <c r="B60" i="1"/>
  <c r="E59" i="1"/>
  <c r="I49" i="7"/>
  <c r="AB49" i="7"/>
  <c r="J57" i="1"/>
  <c r="K57" i="1" s="1"/>
  <c r="L57" i="1" s="1"/>
  <c r="U57" i="1"/>
  <c r="P57" i="1"/>
  <c r="V57" i="1"/>
  <c r="H59" i="1"/>
  <c r="G60" i="1"/>
  <c r="S57" i="1"/>
  <c r="D59" i="1"/>
  <c r="D12" i="14" l="1"/>
  <c r="U49" i="7"/>
  <c r="AY48" i="22"/>
  <c r="AU48" i="22"/>
  <c r="BA48" i="22"/>
  <c r="AA48" i="22"/>
  <c r="AB48" i="22" s="1"/>
  <c r="AC48" i="22" s="1"/>
  <c r="AI48" i="22"/>
  <c r="AP48" i="22" s="1"/>
  <c r="AM48" i="22"/>
  <c r="BK48" i="22"/>
  <c r="AN48" i="22"/>
  <c r="AD48" i="22"/>
  <c r="AZ48" i="22"/>
  <c r="D50" i="4"/>
  <c r="E50" i="4"/>
  <c r="Y56" i="1"/>
  <c r="AQ50" i="24"/>
  <c r="AP51" i="29"/>
  <c r="I53" i="29"/>
  <c r="J53" i="29" s="1"/>
  <c r="K53" i="29" s="1"/>
  <c r="L53" i="29" s="1"/>
  <c r="AA52" i="29"/>
  <c r="AB52" i="29" s="1"/>
  <c r="AC52" i="29" s="1"/>
  <c r="AD52" i="29"/>
  <c r="AL52" i="29"/>
  <c r="AJ52" i="29"/>
  <c r="AI52" i="29"/>
  <c r="AM52" i="29"/>
  <c r="AG52" i="29"/>
  <c r="I45" i="26"/>
  <c r="J45" i="26" s="1"/>
  <c r="K45" i="26" s="1"/>
  <c r="L45" i="26" s="1"/>
  <c r="Y51" i="25"/>
  <c r="AM52" i="25"/>
  <c r="B53" i="25" s="1"/>
  <c r="AT52" i="25"/>
  <c r="AU52" i="25" s="1"/>
  <c r="AE52" i="25"/>
  <c r="AP52" i="25"/>
  <c r="E53" i="25" s="1"/>
  <c r="AF52" i="25"/>
  <c r="V52" i="25"/>
  <c r="AJ52" i="25"/>
  <c r="R52" i="25"/>
  <c r="AO52" i="25"/>
  <c r="D53" i="25" s="1"/>
  <c r="AS52" i="25"/>
  <c r="H53" i="25" s="1"/>
  <c r="AH52" i="25"/>
  <c r="S52" i="25"/>
  <c r="J52" i="25"/>
  <c r="K52" i="25" s="1"/>
  <c r="L52" i="25" s="1"/>
  <c r="AR52" i="25"/>
  <c r="G53" i="25" s="1"/>
  <c r="U52" i="25"/>
  <c r="AI52" i="25"/>
  <c r="AC52" i="25"/>
  <c r="AP50" i="21"/>
  <c r="D64" i="21"/>
  <c r="U64" i="21" s="1"/>
  <c r="U65" i="21" s="1"/>
  <c r="S52" i="24"/>
  <c r="I52" i="24"/>
  <c r="J52" i="24" s="1"/>
  <c r="K52" i="24" s="1"/>
  <c r="L52" i="24" s="1"/>
  <c r="G64" i="21"/>
  <c r="X64" i="21" s="1"/>
  <c r="X65" i="21" s="1"/>
  <c r="I52" i="21"/>
  <c r="J52" i="21" s="1"/>
  <c r="K52" i="21" s="1"/>
  <c r="L52" i="21" s="1"/>
  <c r="S52" i="21"/>
  <c r="E64" i="21"/>
  <c r="V64" i="21" s="1"/>
  <c r="V65" i="21" s="1"/>
  <c r="H64" i="21"/>
  <c r="Y64" i="21" s="1"/>
  <c r="Y65" i="21" s="1"/>
  <c r="AD51" i="21"/>
  <c r="AA51" i="21"/>
  <c r="AB51" i="21" s="1"/>
  <c r="AC51" i="21" s="1"/>
  <c r="AJ51" i="21"/>
  <c r="AI51" i="21"/>
  <c r="AM51" i="21"/>
  <c r="AL51" i="21"/>
  <c r="I49" i="22"/>
  <c r="J49" i="22" s="1"/>
  <c r="K49" i="22" s="1"/>
  <c r="L49" i="22" s="1"/>
  <c r="S49" i="22"/>
  <c r="BV51" i="24"/>
  <c r="BA51" i="24"/>
  <c r="AD51" i="24"/>
  <c r="BB51" i="24"/>
  <c r="AA51" i="24"/>
  <c r="AB51" i="24" s="1"/>
  <c r="AC51" i="24" s="1"/>
  <c r="BT51" i="24"/>
  <c r="BU51" i="24"/>
  <c r="AN51" i="24"/>
  <c r="AM51" i="24"/>
  <c r="BQ51" i="24"/>
  <c r="AK51" i="24"/>
  <c r="AJ51" i="24"/>
  <c r="BR51" i="24"/>
  <c r="B45" i="23"/>
  <c r="BL44" i="23"/>
  <c r="BO51" i="24"/>
  <c r="AQ44" i="23"/>
  <c r="V58" i="1"/>
  <c r="P58" i="1"/>
  <c r="U58" i="1"/>
  <c r="R58" i="1"/>
  <c r="J58" i="1"/>
  <c r="K58" i="1" s="1"/>
  <c r="L58" i="1" s="1"/>
  <c r="S58" i="1"/>
  <c r="X57" i="1"/>
  <c r="W57" i="1"/>
  <c r="Y48" i="7"/>
  <c r="H60" i="1"/>
  <c r="J49" i="7"/>
  <c r="K49" i="7" s="1"/>
  <c r="L49" i="7" s="1"/>
  <c r="Q49" i="7"/>
  <c r="V49" i="7"/>
  <c r="D60" i="1"/>
  <c r="P49" i="7"/>
  <c r="E60" i="1"/>
  <c r="I59" i="1"/>
  <c r="C22" i="14" s="1"/>
  <c r="G61" i="1"/>
  <c r="AI49" i="7"/>
  <c r="AJ49" i="7" s="1"/>
  <c r="B50" i="7"/>
  <c r="B61" i="1"/>
  <c r="AO48" i="22" l="1"/>
  <c r="AQ48" i="22" s="1"/>
  <c r="I50" i="4"/>
  <c r="G65" i="21"/>
  <c r="E65" i="21"/>
  <c r="H65" i="21"/>
  <c r="D65" i="21"/>
  <c r="AO52" i="29"/>
  <c r="AN52" i="29"/>
  <c r="Z53" i="29"/>
  <c r="AG53" i="29" s="1"/>
  <c r="B54" i="29"/>
  <c r="S54" i="29" s="1"/>
  <c r="I67" i="28"/>
  <c r="I73" i="28"/>
  <c r="I65" i="28"/>
  <c r="I71" i="28" s="1"/>
  <c r="Z45" i="26"/>
  <c r="I53" i="25"/>
  <c r="U53" i="25" s="1"/>
  <c r="W52" i="25"/>
  <c r="X52" i="25"/>
  <c r="V53" i="25"/>
  <c r="AP51" i="24"/>
  <c r="AO51" i="21"/>
  <c r="Z49" i="22"/>
  <c r="AH49" i="22" s="1"/>
  <c r="Z52" i="24"/>
  <c r="AH52" i="24" s="1"/>
  <c r="AT52" i="24"/>
  <c r="B53" i="24" s="1"/>
  <c r="Z52" i="21"/>
  <c r="AG52" i="21" s="1"/>
  <c r="B53" i="21"/>
  <c r="AN51" i="21"/>
  <c r="AO51" i="24"/>
  <c r="I45" i="23"/>
  <c r="J45" i="23" s="1"/>
  <c r="K45" i="23" s="1"/>
  <c r="L45" i="23" s="1"/>
  <c r="S45" i="23"/>
  <c r="X58" i="1"/>
  <c r="W58" i="1"/>
  <c r="I60" i="1"/>
  <c r="P60" i="1" s="1"/>
  <c r="Y57" i="1"/>
  <c r="X49" i="7"/>
  <c r="J59" i="1"/>
  <c r="K59" i="1" s="1"/>
  <c r="L59" i="1" s="1"/>
  <c r="U59" i="1"/>
  <c r="P59" i="1"/>
  <c r="G62" i="1"/>
  <c r="S59" i="1"/>
  <c r="E61" i="1"/>
  <c r="R59" i="1"/>
  <c r="H61" i="1"/>
  <c r="AB50" i="7"/>
  <c r="I50" i="7"/>
  <c r="W49" i="7"/>
  <c r="D61" i="1"/>
  <c r="V59" i="1"/>
  <c r="B62" i="1"/>
  <c r="AF50" i="4" l="1"/>
  <c r="AI50" i="4"/>
  <c r="S50" i="7"/>
  <c r="R50" i="7"/>
  <c r="AE50" i="4"/>
  <c r="AC50" i="4"/>
  <c r="Q50" i="4"/>
  <c r="B13" i="14"/>
  <c r="J50" i="4"/>
  <c r="K50" i="4" s="1"/>
  <c r="L50" i="4" s="1"/>
  <c r="V50" i="4"/>
  <c r="P50" i="4"/>
  <c r="AJ50" i="4"/>
  <c r="AT50" i="4"/>
  <c r="U50" i="4"/>
  <c r="AH50" i="4"/>
  <c r="AQ51" i="24"/>
  <c r="Y58" i="1"/>
  <c r="AP53" i="25"/>
  <c r="E54" i="25" s="1"/>
  <c r="AT53" i="25"/>
  <c r="AU53" i="25" s="1"/>
  <c r="AE53" i="25"/>
  <c r="BO52" i="24"/>
  <c r="R53" i="25"/>
  <c r="J53" i="25"/>
  <c r="K53" i="25" s="1"/>
  <c r="L53" i="25" s="1"/>
  <c r="Y52" i="25"/>
  <c r="AI53" i="25"/>
  <c r="AO53" i="25"/>
  <c r="D54" i="25" s="1"/>
  <c r="I54" i="29"/>
  <c r="J54" i="29" s="1"/>
  <c r="K54" i="29" s="1"/>
  <c r="L54" i="29" s="1"/>
  <c r="AP52" i="29"/>
  <c r="AA53" i="29"/>
  <c r="AB53" i="29" s="1"/>
  <c r="AC53" i="29" s="1"/>
  <c r="AD53" i="29"/>
  <c r="AM53" i="29"/>
  <c r="AJ53" i="29"/>
  <c r="AL53" i="29"/>
  <c r="AI53" i="29"/>
  <c r="I72" i="28"/>
  <c r="I66" i="28"/>
  <c r="I68" i="28" s="1"/>
  <c r="BK45" i="26"/>
  <c r="AD45" i="26"/>
  <c r="BA45" i="26"/>
  <c r="AA45" i="26"/>
  <c r="AB45" i="26" s="1"/>
  <c r="AC45" i="26" s="1"/>
  <c r="AN45" i="26"/>
  <c r="AI45" i="26"/>
  <c r="AX45" i="26"/>
  <c r="AL45" i="26"/>
  <c r="AZ45" i="26"/>
  <c r="AU45" i="26"/>
  <c r="AH45" i="26"/>
  <c r="AT45" i="26"/>
  <c r="P53" i="25"/>
  <c r="W53" i="25" s="1"/>
  <c r="S53" i="25"/>
  <c r="AS53" i="25"/>
  <c r="H54" i="25" s="1"/>
  <c r="AJ53" i="25"/>
  <c r="AC53" i="25"/>
  <c r="AH53" i="25"/>
  <c r="AF53" i="25"/>
  <c r="AM53" i="25"/>
  <c r="B54" i="25" s="1"/>
  <c r="AR53" i="25"/>
  <c r="G54" i="25" s="1"/>
  <c r="AP51" i="21"/>
  <c r="Z45" i="23"/>
  <c r="AT45" i="23" s="1"/>
  <c r="AD52" i="21"/>
  <c r="AA52" i="21"/>
  <c r="AB52" i="21" s="1"/>
  <c r="AC52" i="21" s="1"/>
  <c r="AM52" i="21"/>
  <c r="AJ52" i="21"/>
  <c r="AI52" i="21"/>
  <c r="AL52" i="21"/>
  <c r="S53" i="21"/>
  <c r="I53" i="21"/>
  <c r="J53" i="21" s="1"/>
  <c r="K53" i="21" s="1"/>
  <c r="L53" i="21" s="1"/>
  <c r="I53" i="24"/>
  <c r="J53" i="24" s="1"/>
  <c r="K53" i="24" s="1"/>
  <c r="L53" i="24" s="1"/>
  <c r="S53" i="24"/>
  <c r="BK49" i="22"/>
  <c r="BA49" i="22"/>
  <c r="AA49" i="22"/>
  <c r="AB49" i="22" s="1"/>
  <c r="AC49" i="22" s="1"/>
  <c r="AD49" i="22"/>
  <c r="AU49" i="22"/>
  <c r="AZ49" i="22"/>
  <c r="AI49" i="22"/>
  <c r="AN49" i="22"/>
  <c r="AM49" i="22"/>
  <c r="AY49" i="22"/>
  <c r="BB52" i="24"/>
  <c r="AA52" i="24"/>
  <c r="AB52" i="24" s="1"/>
  <c r="AC52" i="24" s="1"/>
  <c r="BA52" i="24"/>
  <c r="BV52" i="24"/>
  <c r="AD52" i="24"/>
  <c r="AN52" i="24"/>
  <c r="AM52" i="24"/>
  <c r="BT52" i="24"/>
  <c r="BU52" i="24"/>
  <c r="AK52" i="24"/>
  <c r="AJ52" i="24"/>
  <c r="BR52" i="24"/>
  <c r="BQ52" i="24"/>
  <c r="AT49" i="22"/>
  <c r="V60" i="1"/>
  <c r="J60" i="1"/>
  <c r="S60" i="1"/>
  <c r="R60" i="1"/>
  <c r="U60" i="1"/>
  <c r="C23" i="14"/>
  <c r="Y49" i="7"/>
  <c r="I61" i="1"/>
  <c r="C24" i="14" s="1"/>
  <c r="X59" i="1"/>
  <c r="W59" i="1"/>
  <c r="P50" i="7"/>
  <c r="D13" i="14"/>
  <c r="D62" i="1"/>
  <c r="AI50" i="7"/>
  <c r="AJ50" i="7" s="1"/>
  <c r="B51" i="7"/>
  <c r="G63" i="1"/>
  <c r="J50" i="7"/>
  <c r="K50" i="7" s="1"/>
  <c r="L50" i="7" s="1"/>
  <c r="V50" i="7"/>
  <c r="U50" i="7"/>
  <c r="H62" i="1"/>
  <c r="E62" i="1"/>
  <c r="B63" i="1"/>
  <c r="K60" i="1"/>
  <c r="I69" i="1"/>
  <c r="C10" i="8" s="1"/>
  <c r="AU50" i="4" l="1"/>
  <c r="AP50" i="4"/>
  <c r="E51" i="4" s="1"/>
  <c r="AP51" i="4" s="1"/>
  <c r="E52" i="4" s="1"/>
  <c r="AR50" i="4"/>
  <c r="G51" i="4" s="1"/>
  <c r="AR51" i="4" s="1"/>
  <c r="G52" i="4" s="1"/>
  <c r="AO50" i="4"/>
  <c r="D51" i="4" s="1"/>
  <c r="AO51" i="4" s="1"/>
  <c r="D52" i="4" s="1"/>
  <c r="AM50" i="4"/>
  <c r="B51" i="4" s="1"/>
  <c r="AS50" i="4"/>
  <c r="H51" i="4" s="1"/>
  <c r="AS51" i="4" s="1"/>
  <c r="H52" i="4" s="1"/>
  <c r="BJ49" i="22"/>
  <c r="H50" i="22" s="1"/>
  <c r="BI49" i="22"/>
  <c r="G50" i="22" s="1"/>
  <c r="BE49" i="22"/>
  <c r="BD49" i="22"/>
  <c r="X50" i="4"/>
  <c r="W50" i="4"/>
  <c r="AH45" i="23"/>
  <c r="W60" i="1"/>
  <c r="AO53" i="29"/>
  <c r="AN53" i="29"/>
  <c r="B55" i="29"/>
  <c r="S55" i="29" s="1"/>
  <c r="Z54" i="29"/>
  <c r="AG54" i="29" s="1"/>
  <c r="BD45" i="26"/>
  <c r="BJ45" i="26"/>
  <c r="H46" i="26" s="1"/>
  <c r="Y46" i="26" s="1"/>
  <c r="BH45" i="26"/>
  <c r="F46" i="26" s="1"/>
  <c r="BE45" i="26"/>
  <c r="C46" i="26" s="1"/>
  <c r="AP45" i="26"/>
  <c r="AO45" i="26"/>
  <c r="I54" i="25"/>
  <c r="V54" i="25" s="1"/>
  <c r="X53" i="25"/>
  <c r="Y53" i="25" s="1"/>
  <c r="AT54" i="25"/>
  <c r="AU54" i="25" s="1"/>
  <c r="S54" i="25"/>
  <c r="U54" i="25"/>
  <c r="AP49" i="22"/>
  <c r="AO52" i="24"/>
  <c r="AN52" i="21"/>
  <c r="Z53" i="21"/>
  <c r="B54" i="21"/>
  <c r="AP52" i="24"/>
  <c r="AO52" i="21"/>
  <c r="Z53" i="24"/>
  <c r="AZ53" i="24" s="1"/>
  <c r="H54" i="24" s="1"/>
  <c r="Y54" i="24" s="1"/>
  <c r="B54" i="24"/>
  <c r="AO49" i="22"/>
  <c r="BK45" i="23"/>
  <c r="BA45" i="23"/>
  <c r="AD45" i="23"/>
  <c r="AA45" i="23"/>
  <c r="AB45" i="23" s="1"/>
  <c r="AC45" i="23" s="1"/>
  <c r="AI45" i="23"/>
  <c r="AL45" i="23"/>
  <c r="AP45" i="23" s="1"/>
  <c r="AZ45" i="23"/>
  <c r="AX45" i="23"/>
  <c r="AN45" i="23"/>
  <c r="AU45" i="23"/>
  <c r="X60" i="1"/>
  <c r="R61" i="1"/>
  <c r="V61" i="1"/>
  <c r="I62" i="1"/>
  <c r="P61" i="1"/>
  <c r="U61" i="1"/>
  <c r="S61" i="1"/>
  <c r="J61" i="1"/>
  <c r="K61" i="1" s="1"/>
  <c r="L61" i="1" s="1"/>
  <c r="Y59" i="1"/>
  <c r="X50" i="7"/>
  <c r="W50" i="7"/>
  <c r="E63" i="1"/>
  <c r="G64" i="1"/>
  <c r="G65" i="1" s="1"/>
  <c r="AB51" i="7"/>
  <c r="I51" i="7"/>
  <c r="I70" i="1"/>
  <c r="C11" i="8" s="1"/>
  <c r="L60" i="1"/>
  <c r="B64" i="1"/>
  <c r="D63" i="1"/>
  <c r="H63" i="1"/>
  <c r="P62" i="1" l="1"/>
  <c r="I74" i="1"/>
  <c r="I75" i="1"/>
  <c r="C13" i="8" s="1"/>
  <c r="E50" i="22"/>
  <c r="V50" i="22" s="1"/>
  <c r="D50" i="22"/>
  <c r="U50" i="22" s="1"/>
  <c r="J54" i="25"/>
  <c r="K54" i="25" s="1"/>
  <c r="L54" i="25" s="1"/>
  <c r="AH51" i="4"/>
  <c r="AE51" i="4"/>
  <c r="AM51" i="4"/>
  <c r="B52" i="4" s="1"/>
  <c r="I52" i="4" s="1"/>
  <c r="B15" i="14" s="1"/>
  <c r="I51" i="4"/>
  <c r="X50" i="22"/>
  <c r="Y50" i="22"/>
  <c r="B50" i="22"/>
  <c r="S50" i="22" s="1"/>
  <c r="BL49" i="22"/>
  <c r="Y50" i="4"/>
  <c r="AT52" i="4"/>
  <c r="R52" i="4"/>
  <c r="AJ52" i="4"/>
  <c r="Y60" i="1"/>
  <c r="AQ45" i="26"/>
  <c r="AP53" i="29"/>
  <c r="AO45" i="23"/>
  <c r="B65" i="1"/>
  <c r="AQ49" i="22"/>
  <c r="AQ52" i="24"/>
  <c r="I55" i="29"/>
  <c r="J55" i="29" s="1"/>
  <c r="K55" i="29" s="1"/>
  <c r="L55" i="29" s="1"/>
  <c r="AA54" i="29"/>
  <c r="AB54" i="29" s="1"/>
  <c r="AC54" i="29" s="1"/>
  <c r="AD54" i="29"/>
  <c r="AI54" i="29"/>
  <c r="AL54" i="29"/>
  <c r="AJ54" i="29"/>
  <c r="AM54" i="29"/>
  <c r="B46" i="26"/>
  <c r="S46" i="26" s="1"/>
  <c r="BL45" i="26"/>
  <c r="AE54" i="25"/>
  <c r="AP54" i="25"/>
  <c r="E55" i="25" s="1"/>
  <c r="AM54" i="25"/>
  <c r="B55" i="25" s="1"/>
  <c r="AF54" i="25"/>
  <c r="R54" i="25"/>
  <c r="W54" i="25" s="1"/>
  <c r="P54" i="25"/>
  <c r="AR54" i="25"/>
  <c r="G55" i="25" s="1"/>
  <c r="AS54" i="25"/>
  <c r="H55" i="25" s="1"/>
  <c r="AC54" i="25"/>
  <c r="AI54" i="25"/>
  <c r="AJ54" i="25"/>
  <c r="AO54" i="25"/>
  <c r="D55" i="25" s="1"/>
  <c r="AH54" i="25"/>
  <c r="AP52" i="21"/>
  <c r="AA53" i="24"/>
  <c r="AB53" i="24" s="1"/>
  <c r="AC53" i="24" s="1"/>
  <c r="AD53" i="24"/>
  <c r="BV53" i="24"/>
  <c r="BB53" i="24"/>
  <c r="BA53" i="24"/>
  <c r="BT53" i="24"/>
  <c r="AM53" i="24"/>
  <c r="AN53" i="24"/>
  <c r="BU53" i="24"/>
  <c r="BR53" i="24"/>
  <c r="AK53" i="24"/>
  <c r="AJ53" i="24"/>
  <c r="BQ53" i="24"/>
  <c r="I54" i="21"/>
  <c r="J54" i="21" s="1"/>
  <c r="K54" i="21" s="1"/>
  <c r="L54" i="21" s="1"/>
  <c r="S54" i="21"/>
  <c r="AD53" i="21"/>
  <c r="AA53" i="21"/>
  <c r="AB53" i="21" s="1"/>
  <c r="AC53" i="21" s="1"/>
  <c r="AJ53" i="21"/>
  <c r="AI53" i="21"/>
  <c r="AM53" i="21"/>
  <c r="AL53" i="21"/>
  <c r="AQ45" i="23"/>
  <c r="BJ45" i="23"/>
  <c r="H46" i="23" s="1"/>
  <c r="Y46" i="23" s="1"/>
  <c r="BE45" i="23"/>
  <c r="C46" i="23" s="1"/>
  <c r="T46" i="23" s="1"/>
  <c r="BD45" i="23"/>
  <c r="BH45" i="23"/>
  <c r="F46" i="23" s="1"/>
  <c r="W46" i="23" s="1"/>
  <c r="BO53" i="24"/>
  <c r="I54" i="24"/>
  <c r="J54" i="24" s="1"/>
  <c r="K54" i="24" s="1"/>
  <c r="L54" i="24" s="1"/>
  <c r="AH53" i="24"/>
  <c r="AG53" i="21"/>
  <c r="C25" i="14"/>
  <c r="U62" i="1"/>
  <c r="R62" i="1"/>
  <c r="J62" i="1"/>
  <c r="K62" i="1" s="1"/>
  <c r="L62" i="1" s="1"/>
  <c r="W61" i="1"/>
  <c r="V62" i="1"/>
  <c r="S62" i="1"/>
  <c r="X61" i="1"/>
  <c r="Y50" i="7"/>
  <c r="P51" i="7"/>
  <c r="D14" i="14"/>
  <c r="D64" i="1"/>
  <c r="D65" i="1" s="1"/>
  <c r="B52" i="7"/>
  <c r="AI51" i="7"/>
  <c r="AJ51" i="7" s="1"/>
  <c r="I63" i="1"/>
  <c r="V63" i="1" s="1"/>
  <c r="H64" i="1"/>
  <c r="H65" i="1" s="1"/>
  <c r="E64" i="1"/>
  <c r="E65" i="1" s="1"/>
  <c r="J51" i="7"/>
  <c r="K51" i="7" s="1"/>
  <c r="L51" i="7" s="1"/>
  <c r="S51" i="7"/>
  <c r="R51" i="7"/>
  <c r="U51" i="7"/>
  <c r="V51" i="7"/>
  <c r="P52" i="4" l="1"/>
  <c r="S52" i="4"/>
  <c r="J52" i="4"/>
  <c r="K52" i="4" s="1"/>
  <c r="L52" i="4" s="1"/>
  <c r="AI52" i="4"/>
  <c r="V52" i="4"/>
  <c r="AC52" i="4"/>
  <c r="I76" i="1"/>
  <c r="C12" i="8"/>
  <c r="AU52" i="4"/>
  <c r="AO52" i="4"/>
  <c r="D53" i="4" s="1"/>
  <c r="AP52" i="4"/>
  <c r="E53" i="4" s="1"/>
  <c r="AR52" i="4"/>
  <c r="G53" i="4" s="1"/>
  <c r="AM52" i="4"/>
  <c r="B53" i="4" s="1"/>
  <c r="AS52" i="4"/>
  <c r="H53" i="4" s="1"/>
  <c r="AH52" i="4"/>
  <c r="AE52" i="4"/>
  <c r="U52" i="4"/>
  <c r="W52" i="4" s="1"/>
  <c r="AF52" i="4"/>
  <c r="AJ51" i="4"/>
  <c r="P51" i="4"/>
  <c r="V51" i="4"/>
  <c r="AT51" i="4"/>
  <c r="AU51" i="4" s="1"/>
  <c r="AI51" i="4"/>
  <c r="B14" i="14"/>
  <c r="AF51" i="4"/>
  <c r="S51" i="4"/>
  <c r="AC51" i="4"/>
  <c r="J51" i="4"/>
  <c r="K51" i="4" s="1"/>
  <c r="L51" i="4" s="1"/>
  <c r="U51" i="4"/>
  <c r="R51" i="4"/>
  <c r="I50" i="22"/>
  <c r="J50" i="22" s="1"/>
  <c r="K50" i="22" s="1"/>
  <c r="L50" i="22" s="1"/>
  <c r="X52" i="4"/>
  <c r="X54" i="25"/>
  <c r="Y54" i="25" s="1"/>
  <c r="I55" i="25"/>
  <c r="S55" i="25" s="1"/>
  <c r="I65" i="1"/>
  <c r="X62" i="1"/>
  <c r="AN54" i="29"/>
  <c r="AO54" i="29"/>
  <c r="Z55" i="29"/>
  <c r="AG55" i="29" s="1"/>
  <c r="B56" i="29"/>
  <c r="S56" i="29" s="1"/>
  <c r="I46" i="26"/>
  <c r="J46" i="26" s="1"/>
  <c r="K46" i="26" s="1"/>
  <c r="L46" i="26" s="1"/>
  <c r="AH55" i="25"/>
  <c r="V55" i="25"/>
  <c r="U55" i="25"/>
  <c r="AC55" i="25"/>
  <c r="AE55" i="25"/>
  <c r="AR55" i="25"/>
  <c r="G56" i="25" s="1"/>
  <c r="AP55" i="25"/>
  <c r="E56" i="25" s="1"/>
  <c r="AJ55" i="25"/>
  <c r="AS55" i="25"/>
  <c r="H56" i="25" s="1"/>
  <c r="J55" i="25"/>
  <c r="K55" i="25" s="1"/>
  <c r="L55" i="25" s="1"/>
  <c r="AO55" i="25"/>
  <c r="D56" i="25" s="1"/>
  <c r="AM55" i="25"/>
  <c r="B56" i="25" s="1"/>
  <c r="AI55" i="25"/>
  <c r="AF55" i="25"/>
  <c r="B46" i="23"/>
  <c r="BL45" i="23"/>
  <c r="AO53" i="21"/>
  <c r="AN53" i="21"/>
  <c r="Z54" i="24"/>
  <c r="Z54" i="21"/>
  <c r="AG54" i="21" s="1"/>
  <c r="B55" i="21"/>
  <c r="AP53" i="24"/>
  <c r="AO53" i="24"/>
  <c r="Y61" i="1"/>
  <c r="W62" i="1"/>
  <c r="S63" i="1"/>
  <c r="R63" i="1"/>
  <c r="C26" i="14"/>
  <c r="X51" i="7"/>
  <c r="W51" i="7"/>
  <c r="I52" i="7"/>
  <c r="AB52" i="7"/>
  <c r="J63" i="1"/>
  <c r="K63" i="1" s="1"/>
  <c r="L63" i="1" s="1"/>
  <c r="U63" i="1"/>
  <c r="P63" i="1"/>
  <c r="I64" i="1"/>
  <c r="I53" i="4" l="1"/>
  <c r="R53" i="4"/>
  <c r="AE53" i="4"/>
  <c r="X51" i="4"/>
  <c r="W51" i="4"/>
  <c r="AI53" i="4"/>
  <c r="V53" i="4"/>
  <c r="P53" i="4"/>
  <c r="AC53" i="4"/>
  <c r="U53" i="4"/>
  <c r="AH53" i="4"/>
  <c r="S53" i="4"/>
  <c r="AW54" i="24"/>
  <c r="AV54" i="24"/>
  <c r="AT54" i="24"/>
  <c r="AZ54" i="24"/>
  <c r="H55" i="24" s="1"/>
  <c r="Y55" i="24" s="1"/>
  <c r="AZ55" i="24" s="1"/>
  <c r="AY54" i="24"/>
  <c r="G55" i="24" s="1"/>
  <c r="X55" i="24" s="1"/>
  <c r="AY55" i="24" s="1"/>
  <c r="B55" i="24"/>
  <c r="S55" i="24" s="1"/>
  <c r="AT55" i="24" s="1"/>
  <c r="Z50" i="22"/>
  <c r="Y52" i="4"/>
  <c r="I71" i="1"/>
  <c r="E55" i="24"/>
  <c r="V55" i="24" s="1"/>
  <c r="AW55" i="24" s="1"/>
  <c r="D55" i="24"/>
  <c r="U55" i="24" s="1"/>
  <c r="AV55" i="24" s="1"/>
  <c r="R55" i="25"/>
  <c r="Y62" i="1"/>
  <c r="AT55" i="25"/>
  <c r="AU55" i="25" s="1"/>
  <c r="P55" i="25"/>
  <c r="AP54" i="29"/>
  <c r="I56" i="29"/>
  <c r="J56" i="29" s="1"/>
  <c r="K56" i="29" s="1"/>
  <c r="L56" i="29" s="1"/>
  <c r="AD55" i="29"/>
  <c r="AA55" i="29"/>
  <c r="AB55" i="29" s="1"/>
  <c r="AC55" i="29" s="1"/>
  <c r="AI55" i="29"/>
  <c r="AM55" i="29"/>
  <c r="AJ55" i="29"/>
  <c r="AL55" i="29"/>
  <c r="Z46" i="26"/>
  <c r="AH46" i="26" s="1"/>
  <c r="I56" i="25"/>
  <c r="U56" i="25" s="1"/>
  <c r="AA54" i="24"/>
  <c r="AB54" i="24" s="1"/>
  <c r="AC54" i="24" s="1"/>
  <c r="BA54" i="24"/>
  <c r="AD54" i="24"/>
  <c r="BV54" i="24"/>
  <c r="AM54" i="24"/>
  <c r="AN54" i="24"/>
  <c r="BT54" i="24"/>
  <c r="BU54" i="24"/>
  <c r="BR54" i="24"/>
  <c r="AK54" i="24"/>
  <c r="AJ54" i="24"/>
  <c r="BQ54" i="24"/>
  <c r="AH54" i="24"/>
  <c r="AQ53" i="24"/>
  <c r="AP53" i="21"/>
  <c r="S55" i="21"/>
  <c r="I55" i="21"/>
  <c r="J55" i="21" s="1"/>
  <c r="K55" i="21" s="1"/>
  <c r="L55" i="21" s="1"/>
  <c r="AD54" i="21"/>
  <c r="AA54" i="21"/>
  <c r="AB54" i="21" s="1"/>
  <c r="AC54" i="21" s="1"/>
  <c r="AM54" i="21"/>
  <c r="AI54" i="21"/>
  <c r="AL54" i="21"/>
  <c r="AJ54" i="21"/>
  <c r="BO54" i="24"/>
  <c r="S46" i="23"/>
  <c r="I46" i="23"/>
  <c r="J46" i="23" s="1"/>
  <c r="K46" i="23" s="1"/>
  <c r="L46" i="23" s="1"/>
  <c r="C27" i="14"/>
  <c r="J64" i="1"/>
  <c r="K64" i="1" s="1"/>
  <c r="L64" i="1" s="1"/>
  <c r="V64" i="1"/>
  <c r="S64" i="1"/>
  <c r="P52" i="7"/>
  <c r="D15" i="14"/>
  <c r="X63" i="1"/>
  <c r="W63" i="1"/>
  <c r="R64" i="1"/>
  <c r="Y51" i="7"/>
  <c r="J52" i="7"/>
  <c r="K52" i="7" s="1"/>
  <c r="L52" i="7" s="1"/>
  <c r="R52" i="7"/>
  <c r="S52" i="7"/>
  <c r="V52" i="7"/>
  <c r="U52" i="7"/>
  <c r="P64" i="1"/>
  <c r="U64" i="1"/>
  <c r="B53" i="7"/>
  <c r="AI52" i="7"/>
  <c r="AJ52" i="7" s="1"/>
  <c r="W53" i="4" l="1"/>
  <c r="X53" i="4"/>
  <c r="X55" i="25"/>
  <c r="AT50" i="22"/>
  <c r="AV50" i="22"/>
  <c r="AK50" i="22"/>
  <c r="AJ50" i="22"/>
  <c r="AW50" i="22"/>
  <c r="Y51" i="4"/>
  <c r="AF53" i="4"/>
  <c r="B16" i="14"/>
  <c r="AJ53" i="4"/>
  <c r="AT53" i="4"/>
  <c r="J53" i="4"/>
  <c r="K53" i="4" s="1"/>
  <c r="L53" i="4" s="1"/>
  <c r="AH50" i="22"/>
  <c r="AY50" i="22"/>
  <c r="AM50" i="22"/>
  <c r="BK50" i="22"/>
  <c r="AD50" i="22"/>
  <c r="AA50" i="22"/>
  <c r="AB50" i="22" s="1"/>
  <c r="AC50" i="22" s="1"/>
  <c r="BA50" i="22"/>
  <c r="AZ50" i="22"/>
  <c r="AN50" i="22"/>
  <c r="W55" i="25"/>
  <c r="AN55" i="29"/>
  <c r="AO55" i="29"/>
  <c r="Z56" i="29"/>
  <c r="AG56" i="29" s="1"/>
  <c r="B57" i="29"/>
  <c r="S57" i="29" s="1"/>
  <c r="BA46" i="26"/>
  <c r="AA46" i="26"/>
  <c r="AB46" i="26" s="1"/>
  <c r="AC46" i="26" s="1"/>
  <c r="BK46" i="26"/>
  <c r="AD46" i="26"/>
  <c r="AI46" i="26"/>
  <c r="AZ46" i="26"/>
  <c r="AX46" i="26"/>
  <c r="AU46" i="26"/>
  <c r="AN46" i="26"/>
  <c r="AL46" i="26"/>
  <c r="AT46" i="26"/>
  <c r="Y55" i="25"/>
  <c r="S56" i="25"/>
  <c r="R56" i="25"/>
  <c r="AT56" i="25"/>
  <c r="AU56" i="25" s="1"/>
  <c r="AO56" i="25"/>
  <c r="D57" i="25" s="1"/>
  <c r="AS56" i="25"/>
  <c r="H57" i="25" s="1"/>
  <c r="AM56" i="25"/>
  <c r="B57" i="25" s="1"/>
  <c r="J56" i="25"/>
  <c r="K56" i="25" s="1"/>
  <c r="L56" i="25" s="1"/>
  <c r="AR56" i="25"/>
  <c r="G57" i="25" s="1"/>
  <c r="AP56" i="25"/>
  <c r="E57" i="25" s="1"/>
  <c r="AJ56" i="25"/>
  <c r="AH56" i="25"/>
  <c r="AF56" i="25"/>
  <c r="P56" i="25"/>
  <c r="V56" i="25"/>
  <c r="AE56" i="25"/>
  <c r="AC56" i="25"/>
  <c r="AI56" i="25"/>
  <c r="BB54" i="24"/>
  <c r="AN54" i="21"/>
  <c r="AO54" i="21"/>
  <c r="Z46" i="23"/>
  <c r="AT46" i="23" s="1"/>
  <c r="AP54" i="24"/>
  <c r="AO54" i="24"/>
  <c r="Z55" i="21"/>
  <c r="AG55" i="21" s="1"/>
  <c r="B56" i="21"/>
  <c r="I55" i="24"/>
  <c r="J55" i="24" s="1"/>
  <c r="K55" i="24" s="1"/>
  <c r="L55" i="24" s="1"/>
  <c r="I73" i="1"/>
  <c r="Y63" i="1"/>
  <c r="X64" i="1"/>
  <c r="W64" i="1"/>
  <c r="X52" i="7"/>
  <c r="W52" i="7"/>
  <c r="I53" i="7"/>
  <c r="AH53" i="7" s="1"/>
  <c r="H54" i="7" s="1"/>
  <c r="BG50" i="22" l="1"/>
  <c r="E51" i="22" s="1"/>
  <c r="V51" i="22" s="1"/>
  <c r="BG51" i="22" s="1"/>
  <c r="E52" i="22" s="1"/>
  <c r="V52" i="22" s="1"/>
  <c r="BJ50" i="22"/>
  <c r="H51" i="22" s="1"/>
  <c r="Y51" i="22" s="1"/>
  <c r="BJ51" i="22" s="1"/>
  <c r="H52" i="22" s="1"/>
  <c r="Y52" i="22" s="1"/>
  <c r="BI50" i="22"/>
  <c r="G51" i="22" s="1"/>
  <c r="X51" i="22" s="1"/>
  <c r="BI51" i="22" s="1"/>
  <c r="G52" i="22" s="1"/>
  <c r="X52" i="22" s="1"/>
  <c r="BF50" i="22"/>
  <c r="D51" i="22" s="1"/>
  <c r="U51" i="22" s="1"/>
  <c r="BF51" i="22" s="1"/>
  <c r="D52" i="22" s="1"/>
  <c r="U52" i="22" s="1"/>
  <c r="BD50" i="22"/>
  <c r="AO53" i="4"/>
  <c r="D54" i="4" s="1"/>
  <c r="AP53" i="4"/>
  <c r="E54" i="4" s="1"/>
  <c r="AR53" i="4"/>
  <c r="G54" i="4" s="1"/>
  <c r="AS53" i="4"/>
  <c r="H54" i="4" s="1"/>
  <c r="AM53" i="4"/>
  <c r="B54" i="4" s="1"/>
  <c r="AU53" i="4"/>
  <c r="Y53" i="4"/>
  <c r="AP50" i="22"/>
  <c r="AO50" i="22"/>
  <c r="AH46" i="23"/>
  <c r="AQ54" i="24"/>
  <c r="AP55" i="29"/>
  <c r="I57" i="29"/>
  <c r="J57" i="29" s="1"/>
  <c r="K57" i="29" s="1"/>
  <c r="L57" i="29" s="1"/>
  <c r="AD56" i="29"/>
  <c r="AA56" i="29"/>
  <c r="AB56" i="29" s="1"/>
  <c r="AC56" i="29" s="1"/>
  <c r="AJ56" i="29"/>
  <c r="AI56" i="29"/>
  <c r="AL56" i="29"/>
  <c r="AM56" i="29"/>
  <c r="AO46" i="26"/>
  <c r="BH46" i="26"/>
  <c r="F47" i="26" s="1"/>
  <c r="BE46" i="26"/>
  <c r="C47" i="26" s="1"/>
  <c r="BD46" i="26"/>
  <c r="BJ46" i="26"/>
  <c r="H47" i="26" s="1"/>
  <c r="Y47" i="26" s="1"/>
  <c r="AP46" i="26"/>
  <c r="I57" i="25"/>
  <c r="AI57" i="25" s="1"/>
  <c r="W56" i="25"/>
  <c r="X56" i="25"/>
  <c r="AP54" i="21"/>
  <c r="S56" i="21"/>
  <c r="I56" i="21"/>
  <c r="J56" i="21" s="1"/>
  <c r="K56" i="21" s="1"/>
  <c r="L56" i="21" s="1"/>
  <c r="AD55" i="21"/>
  <c r="AA55" i="21"/>
  <c r="AB55" i="21" s="1"/>
  <c r="AC55" i="21" s="1"/>
  <c r="AM55" i="21"/>
  <c r="AL55" i="21"/>
  <c r="AI55" i="21"/>
  <c r="AJ55" i="21"/>
  <c r="Z55" i="24"/>
  <c r="AA46" i="23"/>
  <c r="AB46" i="23" s="1"/>
  <c r="AC46" i="23" s="1"/>
  <c r="BA46" i="23"/>
  <c r="AD46" i="23"/>
  <c r="BK46" i="23"/>
  <c r="AI46" i="23"/>
  <c r="AU46" i="23"/>
  <c r="AL46" i="23"/>
  <c r="AX46" i="23"/>
  <c r="AZ46" i="23"/>
  <c r="AN46" i="23"/>
  <c r="I72" i="1"/>
  <c r="C14" i="8"/>
  <c r="I67" i="1"/>
  <c r="C8" i="8" s="1"/>
  <c r="I66" i="1"/>
  <c r="I68" i="1" s="1"/>
  <c r="C6" i="8"/>
  <c r="Y52" i="7"/>
  <c r="P53" i="7"/>
  <c r="D16" i="14"/>
  <c r="Y64" i="1"/>
  <c r="J53" i="7"/>
  <c r="K53" i="7" s="1"/>
  <c r="L53" i="7" s="1"/>
  <c r="S53" i="7"/>
  <c r="R53" i="7"/>
  <c r="U53" i="7"/>
  <c r="V53" i="7"/>
  <c r="AI53" i="7"/>
  <c r="AJ53" i="7" s="1"/>
  <c r="B54" i="7"/>
  <c r="I54" i="4" l="1"/>
  <c r="P54" i="4"/>
  <c r="AC54" i="4"/>
  <c r="R54" i="4"/>
  <c r="U54" i="4"/>
  <c r="AH54" i="4"/>
  <c r="S54" i="4"/>
  <c r="AF54" i="4"/>
  <c r="V54" i="4"/>
  <c r="AI54" i="4"/>
  <c r="B51" i="22"/>
  <c r="BL50" i="22"/>
  <c r="E56" i="24"/>
  <c r="V56" i="24" s="1"/>
  <c r="H56" i="24"/>
  <c r="Y56" i="24" s="1"/>
  <c r="G56" i="24"/>
  <c r="X56" i="24" s="1"/>
  <c r="D56" i="24"/>
  <c r="U56" i="24" s="1"/>
  <c r="B56" i="24"/>
  <c r="AQ50" i="22"/>
  <c r="AN55" i="24"/>
  <c r="AP46" i="23"/>
  <c r="AQ46" i="26"/>
  <c r="AO56" i="29"/>
  <c r="Z57" i="29"/>
  <c r="AG57" i="29" s="1"/>
  <c r="B58" i="29"/>
  <c r="S58" i="29" s="1"/>
  <c r="AN56" i="29"/>
  <c r="B47" i="26"/>
  <c r="S47" i="26" s="1"/>
  <c r="BL46" i="26"/>
  <c r="R57" i="25"/>
  <c r="AT57" i="25"/>
  <c r="AU57" i="25" s="1"/>
  <c r="AS57" i="25"/>
  <c r="H58" i="25" s="1"/>
  <c r="AR57" i="25"/>
  <c r="G58" i="25" s="1"/>
  <c r="AP57" i="25"/>
  <c r="E58" i="25" s="1"/>
  <c r="AJ57" i="25"/>
  <c r="AO57" i="25"/>
  <c r="D58" i="25" s="1"/>
  <c r="AM57" i="25"/>
  <c r="B58" i="25" s="1"/>
  <c r="J57" i="25"/>
  <c r="K57" i="25" s="1"/>
  <c r="L57" i="25" s="1"/>
  <c r="AE57" i="25"/>
  <c r="V57" i="25"/>
  <c r="Y56" i="25"/>
  <c r="AH57" i="25"/>
  <c r="S57" i="25"/>
  <c r="P57" i="25"/>
  <c r="U57" i="25"/>
  <c r="AF57" i="25"/>
  <c r="AC57" i="25"/>
  <c r="AO55" i="21"/>
  <c r="BE46" i="23"/>
  <c r="C47" i="23" s="1"/>
  <c r="T47" i="23" s="1"/>
  <c r="BD46" i="23"/>
  <c r="BJ46" i="23"/>
  <c r="H47" i="23" s="1"/>
  <c r="Y47" i="23" s="1"/>
  <c r="BH46" i="23"/>
  <c r="F47" i="23" s="1"/>
  <c r="W47" i="23" s="1"/>
  <c r="BT55" i="24"/>
  <c r="BR55" i="24"/>
  <c r="AM55" i="24"/>
  <c r="AA55" i="24"/>
  <c r="AB55" i="24" s="1"/>
  <c r="AC55" i="24" s="1"/>
  <c r="BA55" i="24"/>
  <c r="AJ55" i="24"/>
  <c r="AH55" i="24"/>
  <c r="BV55" i="24"/>
  <c r="AK55" i="24"/>
  <c r="AD55" i="24"/>
  <c r="BQ55" i="24"/>
  <c r="BO55" i="24"/>
  <c r="BU55" i="24"/>
  <c r="Z56" i="21"/>
  <c r="B57" i="21"/>
  <c r="AO46" i="23"/>
  <c r="AN55" i="21"/>
  <c r="C9" i="8"/>
  <c r="C7" i="8"/>
  <c r="X53" i="7"/>
  <c r="W53" i="7"/>
  <c r="I54" i="7"/>
  <c r="I51" i="22" l="1"/>
  <c r="J51" i="22" s="1"/>
  <c r="K51" i="22" s="1"/>
  <c r="L51" i="22" s="1"/>
  <c r="S51" i="22"/>
  <c r="AQ46" i="23"/>
  <c r="W54" i="4"/>
  <c r="X54" i="4"/>
  <c r="AE54" i="4"/>
  <c r="J54" i="4"/>
  <c r="K54" i="4" s="1"/>
  <c r="L54" i="4" s="1"/>
  <c r="AJ54" i="4"/>
  <c r="B17" i="14"/>
  <c r="AT54" i="4"/>
  <c r="D17" i="14"/>
  <c r="AH54" i="7"/>
  <c r="AB54" i="7"/>
  <c r="B55" i="7" s="1"/>
  <c r="AB55" i="7" s="1"/>
  <c r="AE54" i="7"/>
  <c r="E55" i="7" s="1"/>
  <c r="AE55" i="7" s="1"/>
  <c r="AG54" i="7"/>
  <c r="G55" i="7" s="1"/>
  <c r="AG55" i="7" s="1"/>
  <c r="AD54" i="7"/>
  <c r="D55" i="7" s="1"/>
  <c r="AD55" i="7" s="1"/>
  <c r="AP55" i="21"/>
  <c r="AP56" i="29"/>
  <c r="I58" i="29"/>
  <c r="J58" i="29" s="1"/>
  <c r="K58" i="29" s="1"/>
  <c r="L58" i="29" s="1"/>
  <c r="AD57" i="29"/>
  <c r="AA57" i="29"/>
  <c r="AB57" i="29" s="1"/>
  <c r="AC57" i="29" s="1"/>
  <c r="AJ57" i="29"/>
  <c r="AL57" i="29"/>
  <c r="AI57" i="29"/>
  <c r="AM57" i="29"/>
  <c r="I47" i="26"/>
  <c r="J47" i="26" s="1"/>
  <c r="K47" i="26" s="1"/>
  <c r="L47" i="26" s="1"/>
  <c r="I58" i="25"/>
  <c r="AC58" i="25" s="1"/>
  <c r="X57" i="25"/>
  <c r="W57" i="25"/>
  <c r="BB55" i="24"/>
  <c r="S57" i="21"/>
  <c r="I57" i="21"/>
  <c r="J57" i="21" s="1"/>
  <c r="K57" i="21" s="1"/>
  <c r="L57" i="21" s="1"/>
  <c r="AD56" i="21"/>
  <c r="AA56" i="21"/>
  <c r="AB56" i="21" s="1"/>
  <c r="AC56" i="21" s="1"/>
  <c r="AI56" i="21"/>
  <c r="AM56" i="21"/>
  <c r="AJ56" i="21"/>
  <c r="AL56" i="21"/>
  <c r="AV56" i="24"/>
  <c r="D57" i="24" s="1"/>
  <c r="U57" i="24" s="1"/>
  <c r="AZ56" i="24"/>
  <c r="H57" i="24" s="1"/>
  <c r="Y57" i="24" s="1"/>
  <c r="AY56" i="24"/>
  <c r="G57" i="24" s="1"/>
  <c r="X57" i="24" s="1"/>
  <c r="AG56" i="21"/>
  <c r="S56" i="24"/>
  <c r="I56" i="24"/>
  <c r="J56" i="24" s="1"/>
  <c r="K56" i="24" s="1"/>
  <c r="L56" i="24" s="1"/>
  <c r="AW56" i="24"/>
  <c r="E57" i="24" s="1"/>
  <c r="V57" i="24" s="1"/>
  <c r="B47" i="23"/>
  <c r="BL46" i="23"/>
  <c r="AP55" i="24"/>
  <c r="AO55" i="24"/>
  <c r="Y53" i="7"/>
  <c r="P54" i="7"/>
  <c r="J54" i="7"/>
  <c r="K54" i="7" s="1"/>
  <c r="L54" i="7" s="1"/>
  <c r="R54" i="7"/>
  <c r="S54" i="7"/>
  <c r="V54" i="7"/>
  <c r="U54" i="7"/>
  <c r="AS54" i="4" l="1"/>
  <c r="H55" i="4" s="1"/>
  <c r="AO54" i="4"/>
  <c r="D55" i="4" s="1"/>
  <c r="AU54" i="4"/>
  <c r="AR54" i="4"/>
  <c r="G55" i="4" s="1"/>
  <c r="AP54" i="4"/>
  <c r="E55" i="4" s="1"/>
  <c r="AM54" i="4"/>
  <c r="B55" i="4" s="1"/>
  <c r="Z51" i="22"/>
  <c r="BD51" i="22"/>
  <c r="B52" i="22" s="1"/>
  <c r="Y54" i="4"/>
  <c r="AQ55" i="24"/>
  <c r="AO57" i="29"/>
  <c r="Z58" i="29"/>
  <c r="AG58" i="29" s="1"/>
  <c r="B59" i="29"/>
  <c r="S59" i="29" s="1"/>
  <c r="AN57" i="29"/>
  <c r="Z47" i="26"/>
  <c r="V58" i="25"/>
  <c r="AI58" i="25"/>
  <c r="AH58" i="25"/>
  <c r="R58" i="25"/>
  <c r="AR58" i="25"/>
  <c r="G59" i="25" s="1"/>
  <c r="AP58" i="25"/>
  <c r="E59" i="25" s="1"/>
  <c r="AJ58" i="25"/>
  <c r="AO58" i="25"/>
  <c r="D59" i="25" s="1"/>
  <c r="AM58" i="25"/>
  <c r="B59" i="25" s="1"/>
  <c r="J58" i="25"/>
  <c r="K58" i="25" s="1"/>
  <c r="L58" i="25" s="1"/>
  <c r="AS58" i="25"/>
  <c r="H59" i="25" s="1"/>
  <c r="AT58" i="25"/>
  <c r="AU58" i="25" s="1"/>
  <c r="AE58" i="25"/>
  <c r="U58" i="25"/>
  <c r="S58" i="25"/>
  <c r="Y57" i="25"/>
  <c r="P58" i="25"/>
  <c r="AF58" i="25"/>
  <c r="S47" i="23"/>
  <c r="I47" i="23"/>
  <c r="J47" i="23" s="1"/>
  <c r="K47" i="23" s="1"/>
  <c r="L47" i="23" s="1"/>
  <c r="AY57" i="24"/>
  <c r="G58" i="24" s="1"/>
  <c r="X58" i="24" s="1"/>
  <c r="AT56" i="24"/>
  <c r="B57" i="24" s="1"/>
  <c r="Z56" i="24"/>
  <c r="AH56" i="24" s="1"/>
  <c r="AN56" i="21"/>
  <c r="AO56" i="21"/>
  <c r="AZ57" i="24"/>
  <c r="H58" i="24" s="1"/>
  <c r="Y58" i="24" s="1"/>
  <c r="AW57" i="24"/>
  <c r="E58" i="24" s="1"/>
  <c r="V58" i="24" s="1"/>
  <c r="AV57" i="24"/>
  <c r="D58" i="24" s="1"/>
  <c r="U58" i="24" s="1"/>
  <c r="Z57" i="21"/>
  <c r="AG57" i="21" s="1"/>
  <c r="B58" i="21"/>
  <c r="W54" i="7"/>
  <c r="X54" i="7"/>
  <c r="AI54" i="7"/>
  <c r="AJ54" i="7" s="1"/>
  <c r="H55" i="7"/>
  <c r="AH55" i="7" s="1"/>
  <c r="S52" i="22" l="1"/>
  <c r="I52" i="22"/>
  <c r="J52" i="22" s="1"/>
  <c r="K52" i="22" s="1"/>
  <c r="L52" i="22" s="1"/>
  <c r="AM55" i="4"/>
  <c r="B56" i="4" s="1"/>
  <c r="P55" i="4"/>
  <c r="I55" i="4"/>
  <c r="AC55" i="4"/>
  <c r="AO55" i="4"/>
  <c r="D56" i="4" s="1"/>
  <c r="AE55" i="4"/>
  <c r="AR55" i="4"/>
  <c r="G56" i="4" s="1"/>
  <c r="U55" i="4"/>
  <c r="AH55" i="4"/>
  <c r="AT51" i="22"/>
  <c r="AD51" i="22"/>
  <c r="AY51" i="22"/>
  <c r="AW51" i="22"/>
  <c r="BL51" i="22"/>
  <c r="BA51" i="22"/>
  <c r="AM51" i="22"/>
  <c r="AJ51" i="22"/>
  <c r="AA51" i="22"/>
  <c r="AB51" i="22" s="1"/>
  <c r="AC51" i="22" s="1"/>
  <c r="AN51" i="22"/>
  <c r="AV51" i="22"/>
  <c r="BK51" i="22"/>
  <c r="AZ51" i="22"/>
  <c r="AK51" i="22"/>
  <c r="AH51" i="22"/>
  <c r="AP55" i="4"/>
  <c r="E56" i="4" s="1"/>
  <c r="S55" i="4"/>
  <c r="AF55" i="4"/>
  <c r="AS55" i="4"/>
  <c r="H56" i="4" s="1"/>
  <c r="V55" i="4"/>
  <c r="AI55" i="4"/>
  <c r="AP57" i="29"/>
  <c r="I59" i="29"/>
  <c r="J59" i="29" s="1"/>
  <c r="K59" i="29" s="1"/>
  <c r="L59" i="29" s="1"/>
  <c r="AD58" i="29"/>
  <c r="AA58" i="29"/>
  <c r="AB58" i="29" s="1"/>
  <c r="AC58" i="29" s="1"/>
  <c r="AI58" i="29"/>
  <c r="AM58" i="29"/>
  <c r="AL58" i="29"/>
  <c r="AJ58" i="29"/>
  <c r="BK47" i="26"/>
  <c r="AD47" i="26"/>
  <c r="BA47" i="26"/>
  <c r="AA47" i="26"/>
  <c r="AB47" i="26" s="1"/>
  <c r="AC47" i="26" s="1"/>
  <c r="AZ47" i="26"/>
  <c r="AU47" i="26"/>
  <c r="AN47" i="26"/>
  <c r="AI47" i="26"/>
  <c r="AX47" i="26"/>
  <c r="AL47" i="26"/>
  <c r="AH47" i="26"/>
  <c r="AT47" i="26"/>
  <c r="X58" i="25"/>
  <c r="W58" i="25"/>
  <c r="I59" i="25"/>
  <c r="P59" i="25" s="1"/>
  <c r="BA56" i="24"/>
  <c r="BV56" i="24"/>
  <c r="BB56" i="24"/>
  <c r="AA56" i="24"/>
  <c r="AB56" i="24" s="1"/>
  <c r="AC56" i="24" s="1"/>
  <c r="AD56" i="24"/>
  <c r="BQ56" i="24"/>
  <c r="AM56" i="24"/>
  <c r="AJ56" i="24"/>
  <c r="AK56" i="24"/>
  <c r="BR56" i="24"/>
  <c r="BU56" i="24"/>
  <c r="AN56" i="24"/>
  <c r="BT56" i="24"/>
  <c r="I58" i="21"/>
  <c r="J58" i="21" s="1"/>
  <c r="K58" i="21" s="1"/>
  <c r="L58" i="21" s="1"/>
  <c r="S58" i="21"/>
  <c r="I57" i="24"/>
  <c r="J57" i="24" s="1"/>
  <c r="K57" i="24" s="1"/>
  <c r="L57" i="24" s="1"/>
  <c r="S57" i="24"/>
  <c r="AY58" i="24"/>
  <c r="G59" i="24" s="1"/>
  <c r="X59" i="24" s="1"/>
  <c r="AD57" i="21"/>
  <c r="AA57" i="21"/>
  <c r="AB57" i="21" s="1"/>
  <c r="AC57" i="21" s="1"/>
  <c r="AM57" i="21"/>
  <c r="AI57" i="21"/>
  <c r="AJ57" i="21"/>
  <c r="AL57" i="21"/>
  <c r="AW58" i="24"/>
  <c r="E59" i="24" s="1"/>
  <c r="V59" i="24" s="1"/>
  <c r="BO56" i="24"/>
  <c r="AZ58" i="24"/>
  <c r="H59" i="24" s="1"/>
  <c r="Y59" i="24" s="1"/>
  <c r="AV58" i="24"/>
  <c r="D59" i="24" s="1"/>
  <c r="U59" i="24" s="1"/>
  <c r="AP56" i="21"/>
  <c r="Z47" i="23"/>
  <c r="AH47" i="23" s="1"/>
  <c r="Y54" i="7"/>
  <c r="I55" i="7"/>
  <c r="AM56" i="4" l="1"/>
  <c r="B57" i="4" s="1"/>
  <c r="I56" i="4"/>
  <c r="P56" i="4"/>
  <c r="AC56" i="4"/>
  <c r="AP56" i="4"/>
  <c r="E57" i="4" s="1"/>
  <c r="AF56" i="4"/>
  <c r="AS56" i="4"/>
  <c r="H57" i="4" s="1"/>
  <c r="V56" i="4"/>
  <c r="AP51" i="22"/>
  <c r="AO51" i="22"/>
  <c r="AO56" i="4"/>
  <c r="D57" i="4" s="1"/>
  <c r="R56" i="4"/>
  <c r="AE56" i="4"/>
  <c r="AR56" i="4"/>
  <c r="G57" i="4" s="1"/>
  <c r="AH56" i="4"/>
  <c r="U56" i="4"/>
  <c r="R55" i="4"/>
  <c r="W55" i="4" s="1"/>
  <c r="AJ55" i="4"/>
  <c r="J55" i="4"/>
  <c r="K55" i="4" s="1"/>
  <c r="L55" i="4" s="1"/>
  <c r="B18" i="14"/>
  <c r="AT55" i="4"/>
  <c r="AU55" i="4" s="1"/>
  <c r="Z52" i="22"/>
  <c r="AH52" i="22"/>
  <c r="AT52" i="22"/>
  <c r="AO57" i="21"/>
  <c r="AP56" i="24"/>
  <c r="AO58" i="29"/>
  <c r="Z59" i="29"/>
  <c r="AG59" i="29" s="1"/>
  <c r="B60" i="29"/>
  <c r="S60" i="29" s="1"/>
  <c r="AN58" i="29"/>
  <c r="BD47" i="26"/>
  <c r="BJ47" i="26"/>
  <c r="H48" i="26" s="1"/>
  <c r="Y48" i="26" s="1"/>
  <c r="BH47" i="26"/>
  <c r="F48" i="26" s="1"/>
  <c r="BE47" i="26"/>
  <c r="C48" i="26" s="1"/>
  <c r="AP47" i="26"/>
  <c r="AO47" i="26"/>
  <c r="AF59" i="25"/>
  <c r="Y58" i="25"/>
  <c r="AI59" i="25"/>
  <c r="U59" i="25"/>
  <c r="AS59" i="25"/>
  <c r="H60" i="25" s="1"/>
  <c r="AM59" i="25"/>
  <c r="B60" i="25" s="1"/>
  <c r="AR59" i="25"/>
  <c r="G60" i="25" s="1"/>
  <c r="J59" i="25"/>
  <c r="K59" i="25" s="1"/>
  <c r="L59" i="25" s="1"/>
  <c r="AJ59" i="25"/>
  <c r="AT59" i="25"/>
  <c r="AU59" i="25" s="1"/>
  <c r="AO59" i="25"/>
  <c r="D60" i="25" s="1"/>
  <c r="AP59" i="25"/>
  <c r="E60" i="25" s="1"/>
  <c r="V59" i="25"/>
  <c r="AH59" i="25"/>
  <c r="R59" i="25"/>
  <c r="S59" i="25"/>
  <c r="AE59" i="25"/>
  <c r="AC59" i="25"/>
  <c r="AO56" i="24"/>
  <c r="D60" i="24"/>
  <c r="AT57" i="24"/>
  <c r="B58" i="24" s="1"/>
  <c r="Z57" i="24"/>
  <c r="BO57" i="24" s="1"/>
  <c r="E60" i="24"/>
  <c r="G60" i="24"/>
  <c r="AN57" i="21"/>
  <c r="Z58" i="21"/>
  <c r="AG58" i="21" s="1"/>
  <c r="B59" i="21"/>
  <c r="BK47" i="23"/>
  <c r="BA47" i="23"/>
  <c r="AD47" i="23"/>
  <c r="AA47" i="23"/>
  <c r="AB47" i="23" s="1"/>
  <c r="AC47" i="23" s="1"/>
  <c r="AZ47" i="23"/>
  <c r="AU47" i="23"/>
  <c r="AI47" i="23"/>
  <c r="AX47" i="23"/>
  <c r="AL47" i="23"/>
  <c r="AN47" i="23"/>
  <c r="AT47" i="23"/>
  <c r="V55" i="7"/>
  <c r="D18" i="14"/>
  <c r="D56" i="7"/>
  <c r="E56" i="7"/>
  <c r="G56" i="7"/>
  <c r="H56" i="7"/>
  <c r="U55" i="7"/>
  <c r="J55" i="7"/>
  <c r="K55" i="7" s="1"/>
  <c r="L55" i="7" s="1"/>
  <c r="R55" i="7"/>
  <c r="S55" i="7"/>
  <c r="P55" i="7"/>
  <c r="X56" i="4" l="1"/>
  <c r="R57" i="4"/>
  <c r="X55" i="4"/>
  <c r="Y55" i="4" s="1"/>
  <c r="AI56" i="4"/>
  <c r="J56" i="4"/>
  <c r="K56" i="4" s="1"/>
  <c r="L56" i="4" s="1"/>
  <c r="AT56" i="4"/>
  <c r="AU56" i="4" s="1"/>
  <c r="B19" i="14"/>
  <c r="AJ56" i="4"/>
  <c r="AN52" i="22"/>
  <c r="AJ52" i="22"/>
  <c r="AO52" i="22" s="1"/>
  <c r="BA52" i="22"/>
  <c r="AZ52" i="22"/>
  <c r="AV52" i="22"/>
  <c r="AA52" i="22"/>
  <c r="AB52" i="22" s="1"/>
  <c r="AC52" i="22" s="1"/>
  <c r="BK52" i="22"/>
  <c r="AY52" i="22"/>
  <c r="AW52" i="22"/>
  <c r="AK52" i="22"/>
  <c r="AD52" i="22"/>
  <c r="AM52" i="22"/>
  <c r="U57" i="4"/>
  <c r="AQ51" i="22"/>
  <c r="S56" i="4"/>
  <c r="W56" i="4" s="1"/>
  <c r="Y56" i="4" s="1"/>
  <c r="I57" i="4"/>
  <c r="S57" i="4" s="1"/>
  <c r="P57" i="4"/>
  <c r="AQ56" i="24"/>
  <c r="AP57" i="21"/>
  <c r="AH57" i="24"/>
  <c r="AP58" i="29"/>
  <c r="I60" i="29"/>
  <c r="J60" i="29" s="1"/>
  <c r="AD59" i="29"/>
  <c r="AA59" i="29"/>
  <c r="AB59" i="29" s="1"/>
  <c r="AC59" i="29" s="1"/>
  <c r="AM59" i="29"/>
  <c r="AI59" i="29"/>
  <c r="AJ59" i="29"/>
  <c r="AL59" i="29"/>
  <c r="AQ47" i="26"/>
  <c r="B48" i="26"/>
  <c r="S48" i="26" s="1"/>
  <c r="BL47" i="26"/>
  <c r="W59" i="25"/>
  <c r="I60" i="25"/>
  <c r="AI60" i="25" s="1"/>
  <c r="X59" i="25"/>
  <c r="AA59" i="25"/>
  <c r="AO47" i="23"/>
  <c r="BV57" i="24"/>
  <c r="BA57" i="24"/>
  <c r="AD57" i="24"/>
  <c r="AA57" i="24"/>
  <c r="AB57" i="24" s="1"/>
  <c r="AC57" i="24" s="1"/>
  <c r="BB57" i="24"/>
  <c r="AJ57" i="24"/>
  <c r="BU57" i="24"/>
  <c r="BQ57" i="24"/>
  <c r="AN57" i="24"/>
  <c r="AM57" i="24"/>
  <c r="BR57" i="24"/>
  <c r="AK57" i="24"/>
  <c r="BT57" i="24"/>
  <c r="BJ47" i="23"/>
  <c r="H48" i="23" s="1"/>
  <c r="Y48" i="23" s="1"/>
  <c r="BE47" i="23"/>
  <c r="C48" i="23" s="1"/>
  <c r="T48" i="23" s="1"/>
  <c r="BH47" i="23"/>
  <c r="G48" i="23" s="1"/>
  <c r="X48" i="23" s="1"/>
  <c r="BD47" i="23"/>
  <c r="I58" i="24"/>
  <c r="J58" i="24" s="1"/>
  <c r="K58" i="24" s="1"/>
  <c r="L58" i="24" s="1"/>
  <c r="S58" i="24"/>
  <c r="I59" i="21"/>
  <c r="J59" i="21" s="1"/>
  <c r="K59" i="21" s="1"/>
  <c r="L59" i="21" s="1"/>
  <c r="S59" i="21"/>
  <c r="AA58" i="21"/>
  <c r="AB58" i="21" s="1"/>
  <c r="AC58" i="21" s="1"/>
  <c r="AD58" i="21"/>
  <c r="AJ58" i="21"/>
  <c r="AM58" i="21"/>
  <c r="AI58" i="21"/>
  <c r="AL58" i="21"/>
  <c r="AP47" i="23"/>
  <c r="X55" i="7"/>
  <c r="W55" i="7"/>
  <c r="AD56" i="7"/>
  <c r="D57" i="7" s="1"/>
  <c r="B56" i="7"/>
  <c r="AI55" i="7"/>
  <c r="AJ55" i="7" s="1"/>
  <c r="AG56" i="7"/>
  <c r="G57" i="7" s="1"/>
  <c r="AH56" i="7"/>
  <c r="H57" i="7" s="1"/>
  <c r="AE56" i="7"/>
  <c r="E57" i="7" s="1"/>
  <c r="AI57" i="4" l="1"/>
  <c r="AP52" i="22"/>
  <c r="AQ52" i="22" s="1"/>
  <c r="AC57" i="4"/>
  <c r="AJ57" i="4"/>
  <c r="B20" i="14"/>
  <c r="J57" i="4"/>
  <c r="K57" i="4" s="1"/>
  <c r="L57" i="4" s="1"/>
  <c r="AT57" i="4"/>
  <c r="V57" i="4"/>
  <c r="AF57" i="4"/>
  <c r="W57" i="4"/>
  <c r="X57" i="4"/>
  <c r="AH57" i="4"/>
  <c r="BF52" i="22"/>
  <c r="D53" i="22" s="1"/>
  <c r="U53" i="22" s="1"/>
  <c r="BI52" i="22"/>
  <c r="G53" i="22" s="1"/>
  <c r="X53" i="22" s="1"/>
  <c r="BJ52" i="22"/>
  <c r="H53" i="22" s="1"/>
  <c r="Y53" i="22" s="1"/>
  <c r="BD52" i="22"/>
  <c r="BG52" i="22"/>
  <c r="E53" i="22" s="1"/>
  <c r="V53" i="22" s="1"/>
  <c r="AE57" i="4"/>
  <c r="AP57" i="24"/>
  <c r="AO58" i="21"/>
  <c r="AO59" i="29"/>
  <c r="AN59" i="29"/>
  <c r="Z60" i="29"/>
  <c r="AG60" i="29" s="1"/>
  <c r="B61" i="29"/>
  <c r="S61" i="29" s="1"/>
  <c r="I69" i="29"/>
  <c r="K60" i="29"/>
  <c r="I48" i="26"/>
  <c r="J48" i="26" s="1"/>
  <c r="K48" i="26" s="1"/>
  <c r="L48" i="26" s="1"/>
  <c r="Y59" i="25"/>
  <c r="P60" i="25"/>
  <c r="AF60" i="25"/>
  <c r="AH60" i="25"/>
  <c r="V60" i="25"/>
  <c r="U60" i="25"/>
  <c r="R60" i="25"/>
  <c r="AE60" i="25"/>
  <c r="AC60" i="25"/>
  <c r="S60" i="25"/>
  <c r="AS60" i="25"/>
  <c r="H61" i="25" s="1"/>
  <c r="AM60" i="25"/>
  <c r="B61" i="25" s="1"/>
  <c r="AP60" i="25"/>
  <c r="E61" i="25" s="1"/>
  <c r="AO60" i="25"/>
  <c r="D61" i="25" s="1"/>
  <c r="J60" i="25"/>
  <c r="AJ60" i="25"/>
  <c r="AR60" i="25"/>
  <c r="G61" i="25" s="1"/>
  <c r="AT60" i="25"/>
  <c r="AU60" i="25" s="1"/>
  <c r="AQ47" i="23"/>
  <c r="AO57" i="24"/>
  <c r="AN58" i="21"/>
  <c r="Z58" i="24"/>
  <c r="BO58" i="24" s="1"/>
  <c r="AT58" i="24"/>
  <c r="B59" i="24" s="1"/>
  <c r="S59" i="24" s="1"/>
  <c r="Z59" i="21"/>
  <c r="AG59" i="21" s="1"/>
  <c r="B60" i="21"/>
  <c r="B48" i="23"/>
  <c r="BL47" i="23"/>
  <c r="Y55" i="7"/>
  <c r="AE57" i="7"/>
  <c r="E58" i="7" s="1"/>
  <c r="AG57" i="7"/>
  <c r="G58" i="7" s="1"/>
  <c r="AB56" i="7"/>
  <c r="I56" i="7"/>
  <c r="AH57" i="7"/>
  <c r="H58" i="7" s="1"/>
  <c r="AD57" i="7"/>
  <c r="D58" i="7" s="1"/>
  <c r="AU57" i="4" l="1"/>
  <c r="AO57" i="4"/>
  <c r="D58" i="4" s="1"/>
  <c r="AP57" i="4"/>
  <c r="E58" i="4" s="1"/>
  <c r="AS57" i="4"/>
  <c r="H58" i="4" s="1"/>
  <c r="AR57" i="4"/>
  <c r="G58" i="4" s="1"/>
  <c r="AM57" i="4"/>
  <c r="B58" i="4" s="1"/>
  <c r="Y57" i="4"/>
  <c r="B53" i="22"/>
  <c r="BL52" i="22"/>
  <c r="AP58" i="21"/>
  <c r="AQ57" i="24"/>
  <c r="AH58" i="24"/>
  <c r="AP59" i="29"/>
  <c r="I61" i="29"/>
  <c r="J61" i="29" s="1"/>
  <c r="K61" i="29" s="1"/>
  <c r="L61" i="29" s="1"/>
  <c r="I70" i="29"/>
  <c r="L60" i="29"/>
  <c r="AD60" i="29"/>
  <c r="AA60" i="29"/>
  <c r="AB60" i="29" s="1"/>
  <c r="AC60" i="29" s="1"/>
  <c r="AM60" i="29"/>
  <c r="AL60" i="29"/>
  <c r="AJ60" i="29"/>
  <c r="AI60" i="29"/>
  <c r="Z48" i="26"/>
  <c r="AT48" i="26" s="1"/>
  <c r="W60" i="25"/>
  <c r="X60" i="25"/>
  <c r="I61" i="25"/>
  <c r="AH61" i="25" s="1"/>
  <c r="I69" i="25"/>
  <c r="K60" i="25"/>
  <c r="I59" i="24"/>
  <c r="J59" i="24" s="1"/>
  <c r="K59" i="24" s="1"/>
  <c r="L59" i="24" s="1"/>
  <c r="I48" i="23"/>
  <c r="J48" i="23" s="1"/>
  <c r="K48" i="23" s="1"/>
  <c r="L48" i="23" s="1"/>
  <c r="S48" i="23"/>
  <c r="BB58" i="24"/>
  <c r="BV58" i="24"/>
  <c r="BA58" i="24"/>
  <c r="AD58" i="24"/>
  <c r="AA58" i="24"/>
  <c r="AB58" i="24" s="1"/>
  <c r="AC58" i="24" s="1"/>
  <c r="BR58" i="24"/>
  <c r="BU58" i="24"/>
  <c r="AJ58" i="24"/>
  <c r="BT58" i="24"/>
  <c r="AK58" i="24"/>
  <c r="AN58" i="24"/>
  <c r="AM58" i="24"/>
  <c r="BQ58" i="24"/>
  <c r="S60" i="21"/>
  <c r="I60" i="21"/>
  <c r="J60" i="21" s="1"/>
  <c r="AD59" i="21"/>
  <c r="AA59" i="21"/>
  <c r="AB59" i="21" s="1"/>
  <c r="AC59" i="21" s="1"/>
  <c r="AJ59" i="21"/>
  <c r="AM59" i="21"/>
  <c r="AL59" i="21"/>
  <c r="AI59" i="21"/>
  <c r="P56" i="7"/>
  <c r="D19" i="14"/>
  <c r="B57" i="7"/>
  <c r="AI56" i="7"/>
  <c r="AJ56" i="7" s="1"/>
  <c r="AE58" i="7"/>
  <c r="E59" i="7" s="1"/>
  <c r="AD58" i="7"/>
  <c r="D59" i="7" s="1"/>
  <c r="AH58" i="7"/>
  <c r="H59" i="7" s="1"/>
  <c r="AG58" i="7"/>
  <c r="G59" i="7" s="1"/>
  <c r="J56" i="7"/>
  <c r="K56" i="7" s="1"/>
  <c r="L56" i="7" s="1"/>
  <c r="R56" i="7"/>
  <c r="U56" i="7"/>
  <c r="V56" i="7"/>
  <c r="S56" i="7"/>
  <c r="I53" i="22" l="1"/>
  <c r="J53" i="22" s="1"/>
  <c r="K53" i="22" s="1"/>
  <c r="L53" i="22" s="1"/>
  <c r="S53" i="22"/>
  <c r="I58" i="4"/>
  <c r="AM58" i="4"/>
  <c r="B59" i="4" s="1"/>
  <c r="AR58" i="4"/>
  <c r="G59" i="4" s="1"/>
  <c r="U58" i="4"/>
  <c r="AS58" i="4"/>
  <c r="H59" i="4" s="1"/>
  <c r="V58" i="4"/>
  <c r="AI58" i="4"/>
  <c r="AO58" i="4"/>
  <c r="D59" i="4" s="1"/>
  <c r="R58" i="4"/>
  <c r="AP58" i="4"/>
  <c r="E59" i="4" s="1"/>
  <c r="AO60" i="29"/>
  <c r="AN60" i="29"/>
  <c r="Z61" i="29"/>
  <c r="AG61" i="29" s="1"/>
  <c r="B62" i="29"/>
  <c r="S62" i="29" s="1"/>
  <c r="AH48" i="26"/>
  <c r="BA48" i="26"/>
  <c r="AA48" i="26"/>
  <c r="AB48" i="26" s="1"/>
  <c r="AC48" i="26" s="1"/>
  <c r="BK48" i="26"/>
  <c r="AD48" i="26"/>
  <c r="AI48" i="26"/>
  <c r="AZ48" i="26"/>
  <c r="AU48" i="26"/>
  <c r="AN48" i="26"/>
  <c r="AX48" i="26"/>
  <c r="AL48" i="26"/>
  <c r="Y60" i="25"/>
  <c r="V61" i="25"/>
  <c r="I70" i="25"/>
  <c r="L60" i="25"/>
  <c r="AE61" i="25"/>
  <c r="R61" i="25"/>
  <c r="AF61" i="25"/>
  <c r="AP61" i="25"/>
  <c r="E62" i="25" s="1"/>
  <c r="AJ61" i="25"/>
  <c r="AT61" i="25"/>
  <c r="AU61" i="25" s="1"/>
  <c r="AM61" i="25"/>
  <c r="B62" i="25" s="1"/>
  <c r="AS61" i="25"/>
  <c r="H62" i="25" s="1"/>
  <c r="AR61" i="25"/>
  <c r="G62" i="25" s="1"/>
  <c r="AO61" i="25"/>
  <c r="D62" i="25" s="1"/>
  <c r="J61" i="25"/>
  <c r="K61" i="25" s="1"/>
  <c r="L61" i="25" s="1"/>
  <c r="P61" i="25"/>
  <c r="AI61" i="25"/>
  <c r="AC61" i="25"/>
  <c r="S61" i="25"/>
  <c r="U61" i="25"/>
  <c r="AP58" i="24"/>
  <c r="AN59" i="21"/>
  <c r="AO59" i="21"/>
  <c r="AP59" i="21" s="1"/>
  <c r="I69" i="21"/>
  <c r="C25" i="8" s="1"/>
  <c r="K60" i="21"/>
  <c r="Z48" i="23"/>
  <c r="AH48" i="23" s="1"/>
  <c r="Z60" i="21"/>
  <c r="AG60" i="21" s="1"/>
  <c r="B61" i="21"/>
  <c r="AO58" i="24"/>
  <c r="Z59" i="24"/>
  <c r="B60" i="24"/>
  <c r="X56" i="7"/>
  <c r="W56" i="7"/>
  <c r="D60" i="7"/>
  <c r="AB57" i="7"/>
  <c r="I57" i="7"/>
  <c r="G60" i="7"/>
  <c r="E60" i="7"/>
  <c r="AF58" i="4" l="1"/>
  <c r="J58" i="4"/>
  <c r="K58" i="4" s="1"/>
  <c r="L58" i="4" s="1"/>
  <c r="AT58" i="4"/>
  <c r="AU58" i="4" s="1"/>
  <c r="B21" i="14"/>
  <c r="AJ58" i="4"/>
  <c r="AE58" i="4"/>
  <c r="P58" i="4"/>
  <c r="Z53" i="22"/>
  <c r="AH53" i="22"/>
  <c r="I59" i="4"/>
  <c r="S58" i="4"/>
  <c r="AH58" i="4"/>
  <c r="AC58" i="4"/>
  <c r="AH59" i="24"/>
  <c r="AZ59" i="24"/>
  <c r="H60" i="24" s="1"/>
  <c r="Y60" i="24" s="1"/>
  <c r="AP48" i="26"/>
  <c r="AT48" i="23"/>
  <c r="AQ58" i="24"/>
  <c r="AP60" i="29"/>
  <c r="I62" i="29"/>
  <c r="J62" i="29" s="1"/>
  <c r="K62" i="29" s="1"/>
  <c r="L62" i="29" s="1"/>
  <c r="AD61" i="29"/>
  <c r="AA61" i="29"/>
  <c r="AB61" i="29" s="1"/>
  <c r="AC61" i="29" s="1"/>
  <c r="AI61" i="29"/>
  <c r="AJ61" i="29"/>
  <c r="AL61" i="29"/>
  <c r="AM61" i="29"/>
  <c r="AO48" i="26"/>
  <c r="BH48" i="26"/>
  <c r="G49" i="26" s="1"/>
  <c r="BE48" i="26"/>
  <c r="C49" i="26" s="1"/>
  <c r="BD48" i="26"/>
  <c r="BJ48" i="26"/>
  <c r="H49" i="26" s="1"/>
  <c r="Y49" i="26" s="1"/>
  <c r="X61" i="25"/>
  <c r="W61" i="25"/>
  <c r="I62" i="25"/>
  <c r="I61" i="21"/>
  <c r="J61" i="21" s="1"/>
  <c r="K61" i="21" s="1"/>
  <c r="L61" i="21" s="1"/>
  <c r="S61" i="21"/>
  <c r="AD60" i="21"/>
  <c r="AA60" i="21"/>
  <c r="AB60" i="21" s="1"/>
  <c r="AC60" i="21" s="1"/>
  <c r="AM60" i="21"/>
  <c r="AI60" i="21"/>
  <c r="AJ60" i="21"/>
  <c r="AL60" i="21"/>
  <c r="AA48" i="23"/>
  <c r="AB48" i="23" s="1"/>
  <c r="AC48" i="23" s="1"/>
  <c r="BA48" i="23"/>
  <c r="BK48" i="23"/>
  <c r="BI48" i="23" s="1"/>
  <c r="G49" i="23" s="1"/>
  <c r="AD48" i="23"/>
  <c r="AN48" i="23"/>
  <c r="AZ48" i="23"/>
  <c r="AX48" i="23"/>
  <c r="AI48" i="23"/>
  <c r="AL48" i="23"/>
  <c r="AU48" i="23"/>
  <c r="BB59" i="24"/>
  <c r="AA59" i="24"/>
  <c r="AB59" i="24" s="1"/>
  <c r="AC59" i="24" s="1"/>
  <c r="BV59" i="24"/>
  <c r="AD59" i="24"/>
  <c r="BA59" i="24"/>
  <c r="AN59" i="24"/>
  <c r="BQ59" i="24"/>
  <c r="AJ59" i="24"/>
  <c r="BR59" i="24"/>
  <c r="BU59" i="24"/>
  <c r="AK59" i="24"/>
  <c r="AM59" i="24"/>
  <c r="BT59" i="24"/>
  <c r="I70" i="21"/>
  <c r="C26" i="8" s="1"/>
  <c r="L60" i="21"/>
  <c r="BO59" i="24"/>
  <c r="Y56" i="7"/>
  <c r="P57" i="7"/>
  <c r="D20" i="14"/>
  <c r="J57" i="7"/>
  <c r="K57" i="7" s="1"/>
  <c r="L57" i="7" s="1"/>
  <c r="S57" i="7"/>
  <c r="U57" i="7"/>
  <c r="V57" i="7"/>
  <c r="R57" i="7"/>
  <c r="B58" i="7"/>
  <c r="AI57" i="7"/>
  <c r="AJ57" i="7" s="1"/>
  <c r="V59" i="4" l="1"/>
  <c r="B22" i="14"/>
  <c r="AJ59" i="4"/>
  <c r="J59" i="4"/>
  <c r="K59" i="4" s="1"/>
  <c r="L59" i="4" s="1"/>
  <c r="AT59" i="4"/>
  <c r="AF59" i="4"/>
  <c r="S62" i="25"/>
  <c r="I74" i="25"/>
  <c r="P59" i="4"/>
  <c r="AT53" i="22"/>
  <c r="AA53" i="22"/>
  <c r="AB53" i="22" s="1"/>
  <c r="AC53" i="22" s="1"/>
  <c r="BA53" i="22"/>
  <c r="BK53" i="22"/>
  <c r="AD53" i="22"/>
  <c r="AN53" i="22"/>
  <c r="AM53" i="22"/>
  <c r="AW53" i="22"/>
  <c r="AZ53" i="22"/>
  <c r="AY53" i="22"/>
  <c r="AV53" i="22"/>
  <c r="AJ53" i="22"/>
  <c r="AP53" i="22" s="1"/>
  <c r="AK53" i="22"/>
  <c r="S59" i="4"/>
  <c r="AE59" i="4"/>
  <c r="AI59" i="4"/>
  <c r="U59" i="4"/>
  <c r="R59" i="4"/>
  <c r="AC59" i="4"/>
  <c r="X58" i="4"/>
  <c r="W58" i="4"/>
  <c r="AH59" i="4"/>
  <c r="I75" i="25"/>
  <c r="I60" i="24"/>
  <c r="J60" i="24" s="1"/>
  <c r="I69" i="24" s="1"/>
  <c r="D25" i="8" s="1"/>
  <c r="AQ48" i="26"/>
  <c r="AN60" i="21"/>
  <c r="AO59" i="24"/>
  <c r="AO61" i="29"/>
  <c r="Z62" i="29"/>
  <c r="B63" i="29"/>
  <c r="S63" i="29" s="1"/>
  <c r="AN61" i="29"/>
  <c r="B49" i="26"/>
  <c r="S49" i="26" s="1"/>
  <c r="BL48" i="26"/>
  <c r="P62" i="25"/>
  <c r="V62" i="25"/>
  <c r="AE62" i="25"/>
  <c r="R62" i="25"/>
  <c r="AF62" i="25"/>
  <c r="Y61" i="25"/>
  <c r="AS62" i="25"/>
  <c r="H63" i="25" s="1"/>
  <c r="AM62" i="25"/>
  <c r="B63" i="25" s="1"/>
  <c r="J62" i="25"/>
  <c r="K62" i="25" s="1"/>
  <c r="L62" i="25" s="1"/>
  <c r="AR62" i="25"/>
  <c r="G63" i="25" s="1"/>
  <c r="AJ62" i="25"/>
  <c r="AP62" i="25"/>
  <c r="E63" i="25" s="1"/>
  <c r="AT62" i="25"/>
  <c r="AU62" i="25" s="1"/>
  <c r="AO62" i="25"/>
  <c r="D63" i="25" s="1"/>
  <c r="AC62" i="25"/>
  <c r="AI62" i="25"/>
  <c r="U62" i="25"/>
  <c r="AH62" i="25"/>
  <c r="AO48" i="23"/>
  <c r="AO60" i="21"/>
  <c r="AP59" i="24"/>
  <c r="BE48" i="23"/>
  <c r="C49" i="23" s="1"/>
  <c r="T49" i="23" s="1"/>
  <c r="X49" i="23"/>
  <c r="BD48" i="23"/>
  <c r="BJ48" i="23"/>
  <c r="H49" i="23" s="1"/>
  <c r="Y49" i="23" s="1"/>
  <c r="Z61" i="21"/>
  <c r="AG61" i="21" s="1"/>
  <c r="B62" i="21"/>
  <c r="Z60" i="24"/>
  <c r="AP48" i="23"/>
  <c r="X57" i="7"/>
  <c r="W57" i="7"/>
  <c r="AB58" i="7"/>
  <c r="I58" i="7"/>
  <c r="BJ53" i="22" l="1"/>
  <c r="H54" i="22" s="1"/>
  <c r="Y54" i="22" s="1"/>
  <c r="BD53" i="22"/>
  <c r="BG53" i="22"/>
  <c r="E54" i="22" s="1"/>
  <c r="V54" i="22" s="1"/>
  <c r="BI53" i="22"/>
  <c r="G54" i="22" s="1"/>
  <c r="X54" i="22" s="1"/>
  <c r="BF53" i="22"/>
  <c r="D54" i="22" s="1"/>
  <c r="U54" i="22" s="1"/>
  <c r="AO53" i="22"/>
  <c r="AQ53" i="22" s="1"/>
  <c r="I76" i="25"/>
  <c r="W59" i="4"/>
  <c r="Y59" i="4" s="1"/>
  <c r="X59" i="4"/>
  <c r="Y58" i="4"/>
  <c r="AM59" i="4"/>
  <c r="B60" i="4" s="1"/>
  <c r="AR59" i="4"/>
  <c r="G60" i="4" s="1"/>
  <c r="AS59" i="4"/>
  <c r="H60" i="4" s="1"/>
  <c r="AU59" i="4"/>
  <c r="AP59" i="4"/>
  <c r="E60" i="4" s="1"/>
  <c r="AO59" i="4"/>
  <c r="D60" i="4" s="1"/>
  <c r="K60" i="24"/>
  <c r="L60" i="24" s="1"/>
  <c r="AZ60" i="24"/>
  <c r="H61" i="24" s="1"/>
  <c r="AT60" i="24"/>
  <c r="B61" i="24" s="1"/>
  <c r="S61" i="24" s="1"/>
  <c r="AT61" i="24" s="1"/>
  <c r="AV60" i="24"/>
  <c r="D61" i="24" s="1"/>
  <c r="U61" i="24" s="1"/>
  <c r="AV61" i="24" s="1"/>
  <c r="AY60" i="24"/>
  <c r="G61" i="24" s="1"/>
  <c r="X61" i="24" s="1"/>
  <c r="AY61" i="24" s="1"/>
  <c r="AW60" i="24"/>
  <c r="E61" i="24" s="1"/>
  <c r="V61" i="24" s="1"/>
  <c r="AW61" i="24" s="1"/>
  <c r="AP60" i="21"/>
  <c r="AQ48" i="23"/>
  <c r="AQ59" i="24"/>
  <c r="AP61" i="29"/>
  <c r="I63" i="29"/>
  <c r="J63" i="29" s="1"/>
  <c r="K63" i="29" s="1"/>
  <c r="L63" i="29" s="1"/>
  <c r="AD62" i="29"/>
  <c r="AA62" i="29"/>
  <c r="AB62" i="29" s="1"/>
  <c r="AC62" i="29" s="1"/>
  <c r="AI62" i="29"/>
  <c r="AL62" i="29"/>
  <c r="AM62" i="29"/>
  <c r="AJ62" i="29"/>
  <c r="AG62" i="29"/>
  <c r="I49" i="26"/>
  <c r="J49" i="26" s="1"/>
  <c r="K49" i="26" s="1"/>
  <c r="L49" i="26" s="1"/>
  <c r="X62" i="25"/>
  <c r="W62" i="25"/>
  <c r="I63" i="25"/>
  <c r="R63" i="25" s="1"/>
  <c r="BA60" i="24"/>
  <c r="AA60" i="24"/>
  <c r="AB60" i="24" s="1"/>
  <c r="AC60" i="24" s="1"/>
  <c r="BV60" i="24"/>
  <c r="AD60" i="24"/>
  <c r="BR60" i="24"/>
  <c r="AK60" i="24"/>
  <c r="BT60" i="24"/>
  <c r="AM60" i="24"/>
  <c r="AJ60" i="24"/>
  <c r="BQ60" i="24"/>
  <c r="BU60" i="24"/>
  <c r="AN60" i="24"/>
  <c r="BO60" i="24"/>
  <c r="AH60" i="24"/>
  <c r="B49" i="23"/>
  <c r="BL48" i="23"/>
  <c r="S62" i="21"/>
  <c r="I62" i="21"/>
  <c r="J62" i="21" s="1"/>
  <c r="K62" i="21" s="1"/>
  <c r="L62" i="21" s="1"/>
  <c r="AD61" i="21"/>
  <c r="AA61" i="21"/>
  <c r="AB61" i="21" s="1"/>
  <c r="AC61" i="21" s="1"/>
  <c r="AM61" i="21"/>
  <c r="AJ61" i="21"/>
  <c r="AL61" i="21"/>
  <c r="AI61" i="21"/>
  <c r="Y57" i="7"/>
  <c r="P58" i="7"/>
  <c r="D21" i="14"/>
  <c r="J58" i="7"/>
  <c r="K58" i="7" s="1"/>
  <c r="L58" i="7" s="1"/>
  <c r="S58" i="7"/>
  <c r="U58" i="7"/>
  <c r="R58" i="7"/>
  <c r="V58" i="7"/>
  <c r="AI58" i="7"/>
  <c r="AJ58" i="7" s="1"/>
  <c r="B59" i="7"/>
  <c r="AR60" i="4" l="1"/>
  <c r="G61" i="4" s="1"/>
  <c r="AP60" i="4"/>
  <c r="E61" i="4" s="1"/>
  <c r="I60" i="4"/>
  <c r="AM60" i="4"/>
  <c r="B61" i="4" s="1"/>
  <c r="B54" i="22"/>
  <c r="BL53" i="22"/>
  <c r="AO60" i="4"/>
  <c r="D61" i="4" s="1"/>
  <c r="AS60" i="4"/>
  <c r="H61" i="4" s="1"/>
  <c r="AI60" i="4"/>
  <c r="I70" i="24"/>
  <c r="D26" i="8" s="1"/>
  <c r="Y61" i="24"/>
  <c r="AZ61" i="24" s="1"/>
  <c r="BB60" i="24"/>
  <c r="Z63" i="29"/>
  <c r="B64" i="29"/>
  <c r="S64" i="29" s="1"/>
  <c r="AO62" i="29"/>
  <c r="AN62" i="29"/>
  <c r="Z49" i="26"/>
  <c r="AT49" i="26" s="1"/>
  <c r="Y62" i="25"/>
  <c r="AC63" i="25"/>
  <c r="AF63" i="25"/>
  <c r="S63" i="25"/>
  <c r="AE63" i="25"/>
  <c r="AI63" i="25"/>
  <c r="AH63" i="25"/>
  <c r="P63" i="25"/>
  <c r="AP63" i="25"/>
  <c r="E64" i="25" s="1"/>
  <c r="E65" i="25" s="1"/>
  <c r="AJ63" i="25"/>
  <c r="AO63" i="25"/>
  <c r="D64" i="25" s="1"/>
  <c r="D65" i="25" s="1"/>
  <c r="J63" i="25"/>
  <c r="K63" i="25" s="1"/>
  <c r="L63" i="25" s="1"/>
  <c r="AT63" i="25"/>
  <c r="AU63" i="25" s="1"/>
  <c r="AM63" i="25"/>
  <c r="B64" i="25" s="1"/>
  <c r="B65" i="25" s="1"/>
  <c r="AS63" i="25"/>
  <c r="H64" i="25" s="1"/>
  <c r="H65" i="25" s="1"/>
  <c r="AR63" i="25"/>
  <c r="G64" i="25" s="1"/>
  <c r="G65" i="25" s="1"/>
  <c r="U63" i="25"/>
  <c r="V63" i="25"/>
  <c r="AO61" i="21"/>
  <c r="S49" i="23"/>
  <c r="I49" i="23"/>
  <c r="J49" i="23" s="1"/>
  <c r="K49" i="23" s="1"/>
  <c r="L49" i="23" s="1"/>
  <c r="AO60" i="24"/>
  <c r="AP60" i="24"/>
  <c r="Z62" i="21"/>
  <c r="AG62" i="21" s="1"/>
  <c r="B63" i="21"/>
  <c r="I61" i="24"/>
  <c r="J61" i="24" s="1"/>
  <c r="K61" i="24" s="1"/>
  <c r="L61" i="24" s="1"/>
  <c r="AN61" i="21"/>
  <c r="X58" i="7"/>
  <c r="W58" i="7"/>
  <c r="I59" i="7"/>
  <c r="AH59" i="7" s="1"/>
  <c r="H60" i="7" s="1"/>
  <c r="I61" i="4" l="1"/>
  <c r="P61" i="4"/>
  <c r="AC61" i="4"/>
  <c r="V61" i="4"/>
  <c r="AI61" i="4"/>
  <c r="P60" i="4"/>
  <c r="B23" i="14"/>
  <c r="AT60" i="4"/>
  <c r="AU60" i="4" s="1"/>
  <c r="J60" i="4"/>
  <c r="AJ60" i="4"/>
  <c r="R60" i="4"/>
  <c r="I54" i="22"/>
  <c r="J54" i="22" s="1"/>
  <c r="K54" i="22" s="1"/>
  <c r="L54" i="22" s="1"/>
  <c r="S54" i="22"/>
  <c r="AF60" i="4"/>
  <c r="U60" i="4"/>
  <c r="AE61" i="4"/>
  <c r="R61" i="4"/>
  <c r="AF61" i="4"/>
  <c r="S61" i="4"/>
  <c r="AH60" i="4"/>
  <c r="V60" i="4"/>
  <c r="AE60" i="4"/>
  <c r="AC60" i="4"/>
  <c r="S60" i="4"/>
  <c r="AH61" i="4"/>
  <c r="U61" i="4"/>
  <c r="S65" i="29"/>
  <c r="B65" i="29"/>
  <c r="AP61" i="21"/>
  <c r="AP62" i="29"/>
  <c r="I64" i="29"/>
  <c r="J64" i="29" s="1"/>
  <c r="K64" i="29" s="1"/>
  <c r="L64" i="29" s="1"/>
  <c r="AD63" i="29"/>
  <c r="AA63" i="29"/>
  <c r="AB63" i="29" s="1"/>
  <c r="AC63" i="29" s="1"/>
  <c r="AL63" i="29"/>
  <c r="AJ63" i="29"/>
  <c r="AI63" i="29"/>
  <c r="AM63" i="29"/>
  <c r="AG63" i="29"/>
  <c r="BK49" i="26"/>
  <c r="AD49" i="26"/>
  <c r="BA49" i="26"/>
  <c r="AA49" i="26"/>
  <c r="AB49" i="26" s="1"/>
  <c r="AC49" i="26" s="1"/>
  <c r="AY49" i="26"/>
  <c r="AI49" i="26"/>
  <c r="AM49" i="26"/>
  <c r="AU49" i="26"/>
  <c r="AN49" i="26"/>
  <c r="AZ49" i="26"/>
  <c r="AH49" i="26"/>
  <c r="W63" i="25"/>
  <c r="X63" i="25"/>
  <c r="I64" i="25"/>
  <c r="Z61" i="24"/>
  <c r="I63" i="21"/>
  <c r="J63" i="21" s="1"/>
  <c r="K63" i="21" s="1"/>
  <c r="L63" i="21" s="1"/>
  <c r="S63" i="21"/>
  <c r="AA62" i="21"/>
  <c r="AB62" i="21" s="1"/>
  <c r="AC62" i="21" s="1"/>
  <c r="AD62" i="21"/>
  <c r="AI62" i="21"/>
  <c r="AM62" i="21"/>
  <c r="AJ62" i="21"/>
  <c r="AL62" i="21"/>
  <c r="AQ60" i="24"/>
  <c r="Z49" i="23"/>
  <c r="AT49" i="23" s="1"/>
  <c r="Y58" i="7"/>
  <c r="P59" i="7"/>
  <c r="D22" i="14"/>
  <c r="B60" i="7"/>
  <c r="AI59" i="7"/>
  <c r="AJ59" i="7" s="1"/>
  <c r="J59" i="7"/>
  <c r="K59" i="7" s="1"/>
  <c r="L59" i="7" s="1"/>
  <c r="R59" i="7"/>
  <c r="S59" i="7"/>
  <c r="U59" i="7"/>
  <c r="V59" i="7"/>
  <c r="X60" i="4" l="1"/>
  <c r="W60" i="4"/>
  <c r="Y60" i="4" s="1"/>
  <c r="W61" i="4"/>
  <c r="X61" i="4"/>
  <c r="Z54" i="22"/>
  <c r="AT54" i="22"/>
  <c r="K60" i="4"/>
  <c r="I69" i="4"/>
  <c r="B10" i="8" s="1"/>
  <c r="H10" i="8" s="1"/>
  <c r="AT61" i="4"/>
  <c r="AJ61" i="4"/>
  <c r="B24" i="14"/>
  <c r="J61" i="4"/>
  <c r="K61" i="4" s="1"/>
  <c r="L61" i="4" s="1"/>
  <c r="D62" i="24"/>
  <c r="U62" i="24" s="1"/>
  <c r="AN61" i="24"/>
  <c r="G62" i="24"/>
  <c r="X62" i="24" s="1"/>
  <c r="H62" i="24"/>
  <c r="Y62" i="24" s="1"/>
  <c r="S64" i="25"/>
  <c r="BU61" i="24"/>
  <c r="Z64" i="29"/>
  <c r="AO63" i="29"/>
  <c r="AN63" i="29"/>
  <c r="AP49" i="26"/>
  <c r="AO49" i="26"/>
  <c r="BD49" i="26"/>
  <c r="BJ49" i="26"/>
  <c r="H50" i="26" s="1"/>
  <c r="Y50" i="26" s="1"/>
  <c r="BI49" i="26"/>
  <c r="G50" i="26" s="1"/>
  <c r="BE49" i="26"/>
  <c r="C50" i="26" s="1"/>
  <c r="U64" i="25"/>
  <c r="V64" i="25"/>
  <c r="Y63" i="25"/>
  <c r="AS64" i="25"/>
  <c r="AM64" i="25"/>
  <c r="J64" i="25"/>
  <c r="K64" i="25" s="1"/>
  <c r="L64" i="25" s="1"/>
  <c r="AT64" i="25"/>
  <c r="AU64" i="25" s="1"/>
  <c r="AR64" i="25"/>
  <c r="AJ64" i="25"/>
  <c r="AP64" i="25"/>
  <c r="AO64" i="25"/>
  <c r="R64" i="25"/>
  <c r="AH64" i="25"/>
  <c r="AC64" i="25"/>
  <c r="AE64" i="25"/>
  <c r="AF64" i="25"/>
  <c r="P64" i="25"/>
  <c r="AI64" i="25"/>
  <c r="AN62" i="21"/>
  <c r="AD49" i="23"/>
  <c r="AA49" i="23"/>
  <c r="AB49" i="23" s="1"/>
  <c r="AC49" i="23" s="1"/>
  <c r="BK49" i="23"/>
  <c r="BA49" i="23"/>
  <c r="AM49" i="23"/>
  <c r="AY49" i="23"/>
  <c r="AI49" i="23"/>
  <c r="AZ49" i="23"/>
  <c r="AN49" i="23"/>
  <c r="AU49" i="23"/>
  <c r="AH49" i="23"/>
  <c r="BQ61" i="24"/>
  <c r="AK61" i="24"/>
  <c r="BO61" i="24"/>
  <c r="B62" i="24"/>
  <c r="AJ61" i="24"/>
  <c r="BV61" i="24"/>
  <c r="BT61" i="24"/>
  <c r="AA61" i="24"/>
  <c r="AB61" i="24" s="1"/>
  <c r="AC61" i="24" s="1"/>
  <c r="AH61" i="24"/>
  <c r="BR61" i="24"/>
  <c r="BA61" i="24"/>
  <c r="E62" i="24"/>
  <c r="V62" i="24" s="1"/>
  <c r="AD61" i="24"/>
  <c r="AM61" i="24"/>
  <c r="Z63" i="21"/>
  <c r="AG63" i="21" s="1"/>
  <c r="B64" i="21"/>
  <c r="AO62" i="21"/>
  <c r="AP62" i="21" s="1"/>
  <c r="X59" i="7"/>
  <c r="W59" i="7"/>
  <c r="I60" i="7"/>
  <c r="I70" i="4" l="1"/>
  <c r="B11" i="8" s="1"/>
  <c r="H11" i="8" s="1"/>
  <c r="L60" i="4"/>
  <c r="Y61" i="4"/>
  <c r="AU61" i="4"/>
  <c r="AO61" i="4"/>
  <c r="D62" i="4" s="1"/>
  <c r="AP61" i="4"/>
  <c r="E62" i="4" s="1"/>
  <c r="AR61" i="4"/>
  <c r="G62" i="4" s="1"/>
  <c r="AS61" i="4"/>
  <c r="H62" i="4" s="1"/>
  <c r="AM61" i="4"/>
  <c r="B62" i="4" s="1"/>
  <c r="AH54" i="22"/>
  <c r="BA54" i="22"/>
  <c r="AD54" i="22"/>
  <c r="BK54" i="22"/>
  <c r="AA54" i="22"/>
  <c r="AB54" i="22" s="1"/>
  <c r="AC54" i="22" s="1"/>
  <c r="AW54" i="22"/>
  <c r="AZ54" i="22"/>
  <c r="AV54" i="22"/>
  <c r="AK54" i="22"/>
  <c r="AM54" i="22"/>
  <c r="AJ54" i="22"/>
  <c r="AY54" i="22"/>
  <c r="AN54" i="22"/>
  <c r="D23" i="14"/>
  <c r="AH60" i="7"/>
  <c r="AB60" i="7"/>
  <c r="B61" i="7" s="1"/>
  <c r="AB61" i="7" s="1"/>
  <c r="AG60" i="7"/>
  <c r="G61" i="7" s="1"/>
  <c r="AG61" i="7" s="1"/>
  <c r="AE60" i="7"/>
  <c r="E61" i="7" s="1"/>
  <c r="AE61" i="7" s="1"/>
  <c r="AD60" i="7"/>
  <c r="D61" i="7" s="1"/>
  <c r="AD61" i="7" s="1"/>
  <c r="AQ49" i="26"/>
  <c r="AP63" i="29"/>
  <c r="AD64" i="29"/>
  <c r="AA64" i="29"/>
  <c r="AB64" i="29" s="1"/>
  <c r="AC64" i="29" s="1"/>
  <c r="AJ64" i="29"/>
  <c r="AI64" i="29"/>
  <c r="AM64" i="29"/>
  <c r="AL64" i="29"/>
  <c r="AG64" i="29"/>
  <c r="B50" i="26"/>
  <c r="S50" i="26" s="1"/>
  <c r="BL49" i="26"/>
  <c r="W64" i="25"/>
  <c r="X64" i="25"/>
  <c r="AP49" i="23"/>
  <c r="AO49" i="23"/>
  <c r="AW62" i="24"/>
  <c r="E63" i="24" s="1"/>
  <c r="V63" i="24" s="1"/>
  <c r="AZ62" i="24"/>
  <c r="H63" i="24" s="1"/>
  <c r="Y63" i="24" s="1"/>
  <c r="AY62" i="24"/>
  <c r="G63" i="24" s="1"/>
  <c r="X63" i="24" s="1"/>
  <c r="I62" i="24"/>
  <c r="J62" i="24" s="1"/>
  <c r="K62" i="24" s="1"/>
  <c r="L62" i="24" s="1"/>
  <c r="S62" i="24"/>
  <c r="S64" i="21"/>
  <c r="S65" i="21" s="1"/>
  <c r="I64" i="21"/>
  <c r="J64" i="21" s="1"/>
  <c r="K64" i="21" s="1"/>
  <c r="L64" i="21" s="1"/>
  <c r="BJ49" i="23"/>
  <c r="H50" i="23" s="1"/>
  <c r="Y50" i="23" s="1"/>
  <c r="BI49" i="23"/>
  <c r="G50" i="23" s="1"/>
  <c r="X50" i="23" s="1"/>
  <c r="BD49" i="23"/>
  <c r="BE49" i="23"/>
  <c r="AD63" i="21"/>
  <c r="AA63" i="21"/>
  <c r="AB63" i="21" s="1"/>
  <c r="AC63" i="21" s="1"/>
  <c r="AL63" i="21"/>
  <c r="AI63" i="21"/>
  <c r="AJ63" i="21"/>
  <c r="AM63" i="21"/>
  <c r="AO61" i="24"/>
  <c r="AP61" i="24"/>
  <c r="BB61" i="24"/>
  <c r="AV62" i="24"/>
  <c r="D63" i="24" s="1"/>
  <c r="U63" i="24" s="1"/>
  <c r="Y59" i="7"/>
  <c r="J60" i="7"/>
  <c r="U60" i="7"/>
  <c r="S60" i="7"/>
  <c r="R60" i="7"/>
  <c r="V60" i="7"/>
  <c r="P60" i="7"/>
  <c r="AR62" i="4" l="1"/>
  <c r="G63" i="4" s="1"/>
  <c r="U62" i="4"/>
  <c r="I75" i="4"/>
  <c r="AS62" i="4"/>
  <c r="H63" i="4" s="1"/>
  <c r="AI62" i="4"/>
  <c r="AP54" i="22"/>
  <c r="AO54" i="22"/>
  <c r="AP62" i="4"/>
  <c r="E63" i="4" s="1"/>
  <c r="AF62" i="4"/>
  <c r="S62" i="4"/>
  <c r="BF54" i="22"/>
  <c r="D55" i="22" s="1"/>
  <c r="U55" i="22" s="1"/>
  <c r="BI54" i="22"/>
  <c r="G55" i="22" s="1"/>
  <c r="X55" i="22" s="1"/>
  <c r="BJ54" i="22"/>
  <c r="H55" i="22" s="1"/>
  <c r="Y55" i="22" s="1"/>
  <c r="BD54" i="22"/>
  <c r="BG54" i="22"/>
  <c r="E55" i="22" s="1"/>
  <c r="V55" i="22" s="1"/>
  <c r="I62" i="4"/>
  <c r="AM62" i="4"/>
  <c r="P62" i="4"/>
  <c r="AO62" i="4"/>
  <c r="D63" i="4" s="1"/>
  <c r="R62" i="4"/>
  <c r="AE62" i="4"/>
  <c r="E50" i="23"/>
  <c r="V50" i="23" s="1"/>
  <c r="D50" i="23"/>
  <c r="U50" i="23" s="1"/>
  <c r="B65" i="21"/>
  <c r="AO64" i="29"/>
  <c r="AN64" i="29"/>
  <c r="I50" i="26"/>
  <c r="J50" i="26" s="1"/>
  <c r="K50" i="26" s="1"/>
  <c r="L50" i="26" s="1"/>
  <c r="Y64" i="25"/>
  <c r="AN63" i="21"/>
  <c r="AO63" i="21"/>
  <c r="AW63" i="24"/>
  <c r="E64" i="24" s="1"/>
  <c r="V64" i="24" s="1"/>
  <c r="V65" i="24" s="1"/>
  <c r="Z64" i="21"/>
  <c r="AG64" i="21" s="1"/>
  <c r="Z62" i="24"/>
  <c r="BO62" i="24" s="1"/>
  <c r="AT62" i="24"/>
  <c r="B63" i="24" s="1"/>
  <c r="AV63" i="24"/>
  <c r="D64" i="24" s="1"/>
  <c r="U64" i="24" s="1"/>
  <c r="U65" i="24" s="1"/>
  <c r="AQ61" i="24"/>
  <c r="AQ49" i="23"/>
  <c r="B50" i="23"/>
  <c r="S50" i="23" s="1"/>
  <c r="BL49" i="23"/>
  <c r="AY63" i="24"/>
  <c r="G64" i="24" s="1"/>
  <c r="X64" i="24" s="1"/>
  <c r="X65" i="24" s="1"/>
  <c r="AZ63" i="24"/>
  <c r="H64" i="24" s="1"/>
  <c r="Y64" i="24" s="1"/>
  <c r="Y65" i="24" s="1"/>
  <c r="X60" i="7"/>
  <c r="W60" i="7"/>
  <c r="I69" i="7"/>
  <c r="D10" i="8" s="1"/>
  <c r="K60" i="7"/>
  <c r="H61" i="7"/>
  <c r="AH61" i="7" s="1"/>
  <c r="AI60" i="7"/>
  <c r="AJ60" i="7" s="1"/>
  <c r="BJ55" i="22" l="1"/>
  <c r="H56" i="22" s="1"/>
  <c r="Y56" i="22" s="1"/>
  <c r="W62" i="4"/>
  <c r="Y62" i="4" s="1"/>
  <c r="X62" i="4"/>
  <c r="AO63" i="4"/>
  <c r="D64" i="4" s="1"/>
  <c r="I74" i="4"/>
  <c r="B25" i="14"/>
  <c r="J62" i="4"/>
  <c r="K62" i="4" s="1"/>
  <c r="L62" i="4" s="1"/>
  <c r="AJ62" i="4"/>
  <c r="AT62" i="4"/>
  <c r="AU62" i="4" s="1"/>
  <c r="BI55" i="22"/>
  <c r="G56" i="22" s="1"/>
  <c r="X56" i="22" s="1"/>
  <c r="AP63" i="4"/>
  <c r="E64" i="4" s="1"/>
  <c r="V62" i="4"/>
  <c r="AH62" i="4"/>
  <c r="B55" i="22"/>
  <c r="BL54" i="22"/>
  <c r="I13" i="8"/>
  <c r="B13" i="8"/>
  <c r="B63" i="4"/>
  <c r="AM67" i="4"/>
  <c r="AC62" i="4"/>
  <c r="BG55" i="22"/>
  <c r="E56" i="22" s="1"/>
  <c r="V56" i="22" s="1"/>
  <c r="BF55" i="22"/>
  <c r="D56" i="22" s="1"/>
  <c r="U56" i="22" s="1"/>
  <c r="AQ54" i="22"/>
  <c r="AS63" i="4"/>
  <c r="H64" i="4" s="1"/>
  <c r="AR63" i="4"/>
  <c r="G64" i="4" s="1"/>
  <c r="AH62" i="24"/>
  <c r="AP64" i="29"/>
  <c r="Z50" i="26"/>
  <c r="AT50" i="26" s="1"/>
  <c r="AP63" i="21"/>
  <c r="AY64" i="24"/>
  <c r="G65" i="24" s="1"/>
  <c r="AV64" i="24"/>
  <c r="D65" i="24" s="1"/>
  <c r="AA64" i="21"/>
  <c r="AB64" i="21" s="1"/>
  <c r="AC64" i="21" s="1"/>
  <c r="AD64" i="21"/>
  <c r="AJ64" i="21"/>
  <c r="AL64" i="21"/>
  <c r="AI64" i="21"/>
  <c r="AM64" i="21"/>
  <c r="I50" i="23"/>
  <c r="J50" i="23" s="1"/>
  <c r="K50" i="23" s="1"/>
  <c r="L50" i="23" s="1"/>
  <c r="S63" i="24"/>
  <c r="I63" i="24"/>
  <c r="J63" i="24" s="1"/>
  <c r="K63" i="24" s="1"/>
  <c r="L63" i="24" s="1"/>
  <c r="AZ64" i="24"/>
  <c r="H65" i="24" s="1"/>
  <c r="AA62" i="24"/>
  <c r="AB62" i="24" s="1"/>
  <c r="AC62" i="24" s="1"/>
  <c r="BV62" i="24"/>
  <c r="BA62" i="24"/>
  <c r="AD62" i="24"/>
  <c r="BB62" i="24"/>
  <c r="AK62" i="24"/>
  <c r="AM62" i="24"/>
  <c r="BU62" i="24"/>
  <c r="BT62" i="24"/>
  <c r="BQ62" i="24"/>
  <c r="AN62" i="24"/>
  <c r="AJ62" i="24"/>
  <c r="BR62" i="24"/>
  <c r="AW64" i="24"/>
  <c r="E65" i="24" s="1"/>
  <c r="Y60" i="7"/>
  <c r="G10" i="8"/>
  <c r="F10" i="8"/>
  <c r="I70" i="7"/>
  <c r="D11" i="8" s="1"/>
  <c r="L60" i="7"/>
  <c r="I61" i="7"/>
  <c r="BF56" i="22" l="1"/>
  <c r="D57" i="22" s="1"/>
  <c r="U57" i="22" s="1"/>
  <c r="E65" i="4"/>
  <c r="AP64" i="4"/>
  <c r="G65" i="4"/>
  <c r="AR64" i="4"/>
  <c r="AM63" i="4"/>
  <c r="B64" i="4" s="1"/>
  <c r="I63" i="4"/>
  <c r="P63" i="4"/>
  <c r="AC63" i="4"/>
  <c r="D65" i="4"/>
  <c r="AO64" i="4"/>
  <c r="H65" i="4"/>
  <c r="AS64" i="4"/>
  <c r="I76" i="4"/>
  <c r="I12" i="8"/>
  <c r="B12" i="8"/>
  <c r="S55" i="22"/>
  <c r="I55" i="22"/>
  <c r="J55" i="22" s="1"/>
  <c r="K55" i="22" s="1"/>
  <c r="L55" i="22" s="1"/>
  <c r="BG56" i="22"/>
  <c r="E57" i="22" s="1"/>
  <c r="V57" i="22" s="1"/>
  <c r="BI56" i="22"/>
  <c r="G57" i="22" s="1"/>
  <c r="X57" i="22" s="1"/>
  <c r="BJ56" i="22"/>
  <c r="H57" i="22" s="1"/>
  <c r="Y57" i="22" s="1"/>
  <c r="AP62" i="24"/>
  <c r="AH50" i="26"/>
  <c r="BA50" i="26"/>
  <c r="AA50" i="26"/>
  <c r="AB50" i="26" s="1"/>
  <c r="AC50" i="26" s="1"/>
  <c r="BK50" i="26"/>
  <c r="AD50" i="26"/>
  <c r="AZ50" i="26"/>
  <c r="AU50" i="26"/>
  <c r="AN50" i="26"/>
  <c r="AI50" i="26"/>
  <c r="AY50" i="26"/>
  <c r="AM50" i="26"/>
  <c r="AN64" i="21"/>
  <c r="AO62" i="24"/>
  <c r="AT63" i="24"/>
  <c r="B64" i="24" s="1"/>
  <c r="Z63" i="24"/>
  <c r="Z50" i="23"/>
  <c r="AO64" i="21"/>
  <c r="AM69" i="4"/>
  <c r="V61" i="7"/>
  <c r="D24" i="14"/>
  <c r="G11" i="8"/>
  <c r="F11" i="8"/>
  <c r="G25" i="8"/>
  <c r="G62" i="7"/>
  <c r="D62" i="7"/>
  <c r="H62" i="7"/>
  <c r="E62" i="7"/>
  <c r="R61" i="7"/>
  <c r="S61" i="7"/>
  <c r="J61" i="7"/>
  <c r="K61" i="7" s="1"/>
  <c r="L61" i="7" s="1"/>
  <c r="U61" i="7"/>
  <c r="P61" i="7"/>
  <c r="B65" i="4" l="1"/>
  <c r="I64" i="4"/>
  <c r="I65" i="4"/>
  <c r="AM64" i="4"/>
  <c r="AC64" i="4"/>
  <c r="P64" i="4"/>
  <c r="BD55" i="22"/>
  <c r="B56" i="22" s="1"/>
  <c r="Z55" i="22"/>
  <c r="AE63" i="4"/>
  <c r="AJ63" i="4"/>
  <c r="J63" i="4"/>
  <c r="K63" i="4" s="1"/>
  <c r="L63" i="4" s="1"/>
  <c r="B26" i="14"/>
  <c r="AT63" i="4"/>
  <c r="AU63" i="4" s="1"/>
  <c r="AF63" i="4"/>
  <c r="AI63" i="4"/>
  <c r="U63" i="4"/>
  <c r="AH63" i="4"/>
  <c r="S63" i="4"/>
  <c r="W63" i="4" s="1"/>
  <c r="V63" i="4"/>
  <c r="R63" i="4"/>
  <c r="AQ62" i="24"/>
  <c r="AP64" i="21"/>
  <c r="AP50" i="26"/>
  <c r="AO50" i="26"/>
  <c r="BI50" i="26"/>
  <c r="G51" i="26" s="1"/>
  <c r="BE50" i="26"/>
  <c r="BD50" i="26"/>
  <c r="BJ50" i="26"/>
  <c r="H51" i="26" s="1"/>
  <c r="Y51" i="26" s="1"/>
  <c r="AA63" i="24"/>
  <c r="AB63" i="24" s="1"/>
  <c r="AC63" i="24" s="1"/>
  <c r="BB63" i="24"/>
  <c r="BV63" i="24"/>
  <c r="BA63" i="24"/>
  <c r="AD63" i="24"/>
  <c r="AN63" i="24"/>
  <c r="AK63" i="24"/>
  <c r="BU63" i="24"/>
  <c r="AJ63" i="24"/>
  <c r="BQ63" i="24"/>
  <c r="BT63" i="24"/>
  <c r="BR63" i="24"/>
  <c r="AM63" i="24"/>
  <c r="S64" i="24"/>
  <c r="S65" i="24" s="1"/>
  <c r="I64" i="24"/>
  <c r="J64" i="24" s="1"/>
  <c r="K64" i="24" s="1"/>
  <c r="L64" i="24" s="1"/>
  <c r="AH63" i="24"/>
  <c r="AA50" i="23"/>
  <c r="AB50" i="23" s="1"/>
  <c r="AC50" i="23" s="1"/>
  <c r="BA50" i="23"/>
  <c r="BK50" i="23"/>
  <c r="AD50" i="23"/>
  <c r="AI50" i="23"/>
  <c r="AU50" i="23"/>
  <c r="AM50" i="23"/>
  <c r="AY50" i="23"/>
  <c r="AN50" i="23"/>
  <c r="AZ50" i="23"/>
  <c r="BO63" i="24"/>
  <c r="AH50" i="23"/>
  <c r="AT50" i="23"/>
  <c r="X61" i="7"/>
  <c r="B62" i="7"/>
  <c r="AI61" i="7"/>
  <c r="AJ61" i="7" s="1"/>
  <c r="AE62" i="7"/>
  <c r="E63" i="7" s="1"/>
  <c r="W61" i="7"/>
  <c r="AD62" i="7"/>
  <c r="D63" i="7" s="1"/>
  <c r="AH62" i="7"/>
  <c r="H63" i="7" s="1"/>
  <c r="AG62" i="7"/>
  <c r="G63" i="7" s="1"/>
  <c r="G26" i="8"/>
  <c r="X63" i="4" l="1"/>
  <c r="Y63" i="4" s="1"/>
  <c r="I56" i="22"/>
  <c r="J56" i="22" s="1"/>
  <c r="K56" i="22" s="1"/>
  <c r="L56" i="22" s="1"/>
  <c r="S56" i="22"/>
  <c r="AT55" i="22"/>
  <c r="BL55" i="22"/>
  <c r="BA55" i="22"/>
  <c r="BK55" i="22"/>
  <c r="AA55" i="22"/>
  <c r="AB55" i="22" s="1"/>
  <c r="AC55" i="22" s="1"/>
  <c r="AD55" i="22"/>
  <c r="AV55" i="22"/>
  <c r="AJ55" i="22"/>
  <c r="AZ55" i="22"/>
  <c r="AN55" i="22"/>
  <c r="AM55" i="22"/>
  <c r="AW55" i="22"/>
  <c r="AY55" i="22"/>
  <c r="AK55" i="22"/>
  <c r="AH55" i="22"/>
  <c r="X64" i="4"/>
  <c r="AJ64" i="4"/>
  <c r="I71" i="4"/>
  <c r="J64" i="4"/>
  <c r="K64" i="4" s="1"/>
  <c r="L64" i="4" s="1"/>
  <c r="B27" i="14"/>
  <c r="AT64" i="4"/>
  <c r="AU64" i="4" s="1"/>
  <c r="R64" i="4"/>
  <c r="W64" i="4" s="1"/>
  <c r="Y64" i="4" s="1"/>
  <c r="AI64" i="4"/>
  <c r="AF64" i="4"/>
  <c r="AH64" i="4"/>
  <c r="AE64" i="4"/>
  <c r="V64" i="4"/>
  <c r="S64" i="4"/>
  <c r="U64" i="4"/>
  <c r="BG50" i="23"/>
  <c r="E51" i="23" s="1"/>
  <c r="BF50" i="23"/>
  <c r="D51" i="23" s="1"/>
  <c r="AQ50" i="26"/>
  <c r="B51" i="26"/>
  <c r="S51" i="26" s="1"/>
  <c r="BL50" i="26"/>
  <c r="E51" i="26"/>
  <c r="D51" i="26"/>
  <c r="AO63" i="24"/>
  <c r="AP63" i="24"/>
  <c r="AT64" i="24"/>
  <c r="B65" i="24" s="1"/>
  <c r="Z64" i="24"/>
  <c r="AH64" i="24" s="1"/>
  <c r="BJ50" i="23"/>
  <c r="H51" i="23" s="1"/>
  <c r="Y51" i="23" s="1"/>
  <c r="BD50" i="23"/>
  <c r="BI50" i="23"/>
  <c r="G51" i="23" s="1"/>
  <c r="X51" i="23" s="1"/>
  <c r="AO50" i="23"/>
  <c r="AP50" i="23"/>
  <c r="Y61" i="7"/>
  <c r="AD63" i="7"/>
  <c r="D64" i="7" s="1"/>
  <c r="D65" i="7" s="1"/>
  <c r="AG63" i="7"/>
  <c r="G64" i="7" s="1"/>
  <c r="G65" i="7" s="1"/>
  <c r="AE63" i="7"/>
  <c r="E64" i="7" s="1"/>
  <c r="E65" i="7" s="1"/>
  <c r="AB62" i="7"/>
  <c r="I62" i="7"/>
  <c r="AH63" i="7"/>
  <c r="H64" i="7" s="1"/>
  <c r="H65" i="7" s="1"/>
  <c r="BD56" i="22" l="1"/>
  <c r="B57" i="22" s="1"/>
  <c r="Z56" i="22"/>
  <c r="AH56" i="22"/>
  <c r="AT56" i="22"/>
  <c r="AP55" i="22"/>
  <c r="AO55" i="22"/>
  <c r="AQ55" i="22" s="1"/>
  <c r="D25" i="14"/>
  <c r="I74" i="7"/>
  <c r="I75" i="7"/>
  <c r="D13" i="8" s="1"/>
  <c r="BO64" i="24"/>
  <c r="I51" i="26"/>
  <c r="J51" i="26" s="1"/>
  <c r="K51" i="26" s="1"/>
  <c r="L51" i="26" s="1"/>
  <c r="AQ63" i="24"/>
  <c r="AQ50" i="23"/>
  <c r="V51" i="23"/>
  <c r="U51" i="23"/>
  <c r="B51" i="23"/>
  <c r="BL50" i="23"/>
  <c r="BV64" i="24"/>
  <c r="AA64" i="24"/>
  <c r="AB64" i="24" s="1"/>
  <c r="AC64" i="24" s="1"/>
  <c r="BB64" i="24"/>
  <c r="AD64" i="24"/>
  <c r="BA64" i="24"/>
  <c r="AJ64" i="24"/>
  <c r="BT64" i="24"/>
  <c r="BU64" i="24"/>
  <c r="BQ64" i="24"/>
  <c r="AM64" i="24"/>
  <c r="BR64" i="24"/>
  <c r="AK64" i="24"/>
  <c r="AN64" i="24"/>
  <c r="I73" i="4"/>
  <c r="J62" i="7"/>
  <c r="K62" i="7" s="1"/>
  <c r="L62" i="7" s="1"/>
  <c r="V62" i="7"/>
  <c r="U62" i="7"/>
  <c r="S62" i="7"/>
  <c r="R62" i="7"/>
  <c r="AE64" i="7"/>
  <c r="AG64" i="7"/>
  <c r="P62" i="7"/>
  <c r="AD64" i="7"/>
  <c r="B63" i="7"/>
  <c r="AI62" i="7"/>
  <c r="AJ62" i="7" s="1"/>
  <c r="AH64" i="7"/>
  <c r="BL56" i="22" l="1"/>
  <c r="BK56" i="22"/>
  <c r="AD56" i="22"/>
  <c r="AA56" i="22"/>
  <c r="AB56" i="22" s="1"/>
  <c r="AC56" i="22" s="1"/>
  <c r="BA56" i="22"/>
  <c r="AZ56" i="22"/>
  <c r="AM56" i="22"/>
  <c r="AN56" i="22"/>
  <c r="AV56" i="22"/>
  <c r="AY56" i="22"/>
  <c r="AJ56" i="22"/>
  <c r="AP56" i="22" s="1"/>
  <c r="AW56" i="22"/>
  <c r="AK56" i="22"/>
  <c r="I76" i="7"/>
  <c r="D12" i="8"/>
  <c r="AO56" i="22"/>
  <c r="I57" i="22"/>
  <c r="J57" i="22" s="1"/>
  <c r="K57" i="22" s="1"/>
  <c r="L57" i="22" s="1"/>
  <c r="S57" i="22"/>
  <c r="Z51" i="26"/>
  <c r="AT51" i="26" s="1"/>
  <c r="AO64" i="24"/>
  <c r="AP64" i="24"/>
  <c r="I51" i="23"/>
  <c r="J51" i="23" s="1"/>
  <c r="K51" i="23" s="1"/>
  <c r="L51" i="23" s="1"/>
  <c r="S51" i="23"/>
  <c r="I67" i="4"/>
  <c r="B8" i="8" s="1"/>
  <c r="W62" i="7"/>
  <c r="X62" i="7"/>
  <c r="AB63" i="7"/>
  <c r="I63" i="7"/>
  <c r="AQ56" i="22" l="1"/>
  <c r="Z57" i="22"/>
  <c r="AT57" i="22"/>
  <c r="B6" i="8"/>
  <c r="H6" i="8" s="1"/>
  <c r="I66" i="4"/>
  <c r="I68" i="4" s="1"/>
  <c r="B9" i="8" s="1"/>
  <c r="H9" i="8" s="1"/>
  <c r="B14" i="8"/>
  <c r="AQ64" i="24"/>
  <c r="AA51" i="26"/>
  <c r="AB51" i="26" s="1"/>
  <c r="AC51" i="26" s="1"/>
  <c r="BA51" i="26"/>
  <c r="AD51" i="26"/>
  <c r="BK51" i="26"/>
  <c r="AN51" i="26"/>
  <c r="AZ51" i="26"/>
  <c r="AY51" i="26"/>
  <c r="AM51" i="26"/>
  <c r="AW51" i="26"/>
  <c r="AK51" i="26"/>
  <c r="AV51" i="26"/>
  <c r="AJ51" i="26"/>
  <c r="AH51" i="26"/>
  <c r="Z51" i="23"/>
  <c r="AT51" i="23" s="1"/>
  <c r="I72" i="4"/>
  <c r="H8" i="8"/>
  <c r="O8" i="8"/>
  <c r="P63" i="7"/>
  <c r="D26" i="14"/>
  <c r="Y62" i="7"/>
  <c r="J63" i="7"/>
  <c r="K63" i="7" s="1"/>
  <c r="L63" i="7" s="1"/>
  <c r="U63" i="7"/>
  <c r="S63" i="7"/>
  <c r="V63" i="7"/>
  <c r="R63" i="7"/>
  <c r="B64" i="7"/>
  <c r="B65" i="7" s="1"/>
  <c r="AI63" i="7"/>
  <c r="AJ63" i="7" s="1"/>
  <c r="AH57" i="22" l="1"/>
  <c r="AD57" i="22"/>
  <c r="AY57" i="22"/>
  <c r="BA57" i="22"/>
  <c r="AW57" i="22"/>
  <c r="AV57" i="22"/>
  <c r="AK57" i="22"/>
  <c r="AM57" i="22"/>
  <c r="BK57" i="22"/>
  <c r="AJ57" i="22"/>
  <c r="AA57" i="22"/>
  <c r="AB57" i="22" s="1"/>
  <c r="AC57" i="22" s="1"/>
  <c r="AN57" i="22"/>
  <c r="AZ57" i="22"/>
  <c r="B2" i="18"/>
  <c r="B7" i="8"/>
  <c r="H7" i="8" s="1"/>
  <c r="O9" i="8"/>
  <c r="AH51" i="23"/>
  <c r="I75" i="29"/>
  <c r="AP51" i="26"/>
  <c r="AO51" i="26"/>
  <c r="BJ51" i="26"/>
  <c r="H52" i="26" s="1"/>
  <c r="Y52" i="26" s="1"/>
  <c r="BD51" i="26"/>
  <c r="BI51" i="26"/>
  <c r="G52" i="26" s="1"/>
  <c r="BG51" i="26"/>
  <c r="E52" i="26" s="1"/>
  <c r="BF51" i="26"/>
  <c r="D52" i="26" s="1"/>
  <c r="I67" i="25"/>
  <c r="I73" i="25"/>
  <c r="AA51" i="23"/>
  <c r="AB51" i="23" s="1"/>
  <c r="AC51" i="23" s="1"/>
  <c r="BK51" i="23"/>
  <c r="AD51" i="23"/>
  <c r="BA51" i="23"/>
  <c r="AM51" i="23"/>
  <c r="AZ51" i="23"/>
  <c r="AN51" i="23"/>
  <c r="AY51" i="23"/>
  <c r="AV51" i="23"/>
  <c r="AW51" i="23"/>
  <c r="AJ51" i="23"/>
  <c r="AK51" i="23"/>
  <c r="W63" i="7"/>
  <c r="X63" i="7"/>
  <c r="AB64" i="7"/>
  <c r="I64" i="7"/>
  <c r="BI57" i="22" l="1"/>
  <c r="G58" i="22" s="1"/>
  <c r="X58" i="22" s="1"/>
  <c r="BD57" i="22"/>
  <c r="BF57" i="22"/>
  <c r="D58" i="22" s="1"/>
  <c r="U58" i="22" s="1"/>
  <c r="BG57" i="22"/>
  <c r="E58" i="22" s="1"/>
  <c r="V58" i="22" s="1"/>
  <c r="BJ57" i="22"/>
  <c r="H58" i="22" s="1"/>
  <c r="Y58" i="22" s="1"/>
  <c r="AO57" i="22"/>
  <c r="AP57" i="22"/>
  <c r="I65" i="25"/>
  <c r="I71" i="25" s="1"/>
  <c r="AM65" i="25"/>
  <c r="AS65" i="25"/>
  <c r="AQ51" i="26"/>
  <c r="I65" i="29"/>
  <c r="Z65" i="29"/>
  <c r="I66" i="29" s="1"/>
  <c r="I68" i="29" s="1"/>
  <c r="I67" i="29"/>
  <c r="B52" i="26"/>
  <c r="S52" i="26" s="1"/>
  <c r="BL51" i="26"/>
  <c r="AO51" i="23"/>
  <c r="AP51" i="23"/>
  <c r="BI51" i="23"/>
  <c r="G52" i="23" s="1"/>
  <c r="X52" i="23" s="1"/>
  <c r="BD51" i="23"/>
  <c r="BJ51" i="23"/>
  <c r="H52" i="23" s="1"/>
  <c r="Y52" i="23" s="1"/>
  <c r="BG51" i="23"/>
  <c r="E52" i="23" s="1"/>
  <c r="V52" i="23" s="1"/>
  <c r="BF51" i="23"/>
  <c r="D52" i="23" s="1"/>
  <c r="U52" i="23" s="1"/>
  <c r="Y63" i="7"/>
  <c r="P64" i="7"/>
  <c r="D27" i="14"/>
  <c r="AI64" i="7"/>
  <c r="AJ64" i="7" s="1"/>
  <c r="J64" i="7"/>
  <c r="K64" i="7" s="1"/>
  <c r="L64" i="7" s="1"/>
  <c r="S64" i="7"/>
  <c r="R64" i="7"/>
  <c r="U64" i="7"/>
  <c r="V64" i="7"/>
  <c r="I76" i="29" l="1"/>
  <c r="I77" i="29"/>
  <c r="BG58" i="22"/>
  <c r="E59" i="22" s="1"/>
  <c r="V59" i="22" s="1"/>
  <c r="AQ57" i="22"/>
  <c r="B58" i="22"/>
  <c r="BL57" i="22"/>
  <c r="BF58" i="22"/>
  <c r="D59" i="22" s="1"/>
  <c r="U59" i="22" s="1"/>
  <c r="BJ58" i="22"/>
  <c r="H59" i="22" s="1"/>
  <c r="Y59" i="22" s="1"/>
  <c r="BI58" i="22"/>
  <c r="G59" i="22" s="1"/>
  <c r="X59" i="22" s="1"/>
  <c r="I73" i="29"/>
  <c r="I72" i="29"/>
  <c r="I52" i="26"/>
  <c r="J52" i="26" s="1"/>
  <c r="K52" i="26" s="1"/>
  <c r="L52" i="26" s="1"/>
  <c r="I72" i="25"/>
  <c r="I66" i="25"/>
  <c r="I68" i="25" s="1"/>
  <c r="AQ51" i="23"/>
  <c r="I75" i="21"/>
  <c r="B52" i="23"/>
  <c r="BL51" i="23"/>
  <c r="X64" i="7"/>
  <c r="W64" i="7"/>
  <c r="S58" i="22" l="1"/>
  <c r="I58" i="22"/>
  <c r="J58" i="22" s="1"/>
  <c r="K58" i="22" s="1"/>
  <c r="L58" i="22" s="1"/>
  <c r="I78" i="29"/>
  <c r="Z52" i="26"/>
  <c r="I65" i="21"/>
  <c r="Z65" i="21"/>
  <c r="I66" i="21" s="1"/>
  <c r="I67" i="21"/>
  <c r="C23" i="8" s="1"/>
  <c r="I52" i="23"/>
  <c r="J52" i="23" s="1"/>
  <c r="K52" i="23" s="1"/>
  <c r="L52" i="23" s="1"/>
  <c r="S52" i="23"/>
  <c r="Y64" i="7"/>
  <c r="I68" i="21" l="1"/>
  <c r="C24" i="8" s="1"/>
  <c r="C22" i="8"/>
  <c r="I72" i="21"/>
  <c r="I76" i="21"/>
  <c r="C21" i="8"/>
  <c r="I77" i="21"/>
  <c r="C29" i="8" s="1"/>
  <c r="Z58" i="22"/>
  <c r="BD58" i="22"/>
  <c r="B59" i="22" s="1"/>
  <c r="BK52" i="26"/>
  <c r="AA52" i="26"/>
  <c r="AB52" i="26" s="1"/>
  <c r="AC52" i="26" s="1"/>
  <c r="BA52" i="26"/>
  <c r="AD52" i="26"/>
  <c r="AZ52" i="26"/>
  <c r="AY52" i="26"/>
  <c r="AN52" i="26"/>
  <c r="AM52" i="26"/>
  <c r="AJ52" i="26"/>
  <c r="AW52" i="26"/>
  <c r="AV52" i="26"/>
  <c r="AK52" i="26"/>
  <c r="AH52" i="26"/>
  <c r="AT52" i="26"/>
  <c r="Z52" i="23"/>
  <c r="AT52" i="23" s="1"/>
  <c r="I73" i="21"/>
  <c r="I59" i="22" l="1"/>
  <c r="J59" i="22" s="1"/>
  <c r="K59" i="22" s="1"/>
  <c r="L59" i="22" s="1"/>
  <c r="S59" i="22"/>
  <c r="I78" i="21"/>
  <c r="C28" i="8"/>
  <c r="AD58" i="22"/>
  <c r="AA58" i="22"/>
  <c r="AB58" i="22" s="1"/>
  <c r="AC58" i="22" s="1"/>
  <c r="BL58" i="22"/>
  <c r="BK58" i="22"/>
  <c r="BA58" i="22"/>
  <c r="AW58" i="22"/>
  <c r="AM58" i="22"/>
  <c r="AY58" i="22"/>
  <c r="AJ58" i="22"/>
  <c r="AN58" i="22"/>
  <c r="AV58" i="22"/>
  <c r="AZ58" i="22"/>
  <c r="AK58" i="22"/>
  <c r="AT58" i="22"/>
  <c r="AH58" i="22"/>
  <c r="AO52" i="26"/>
  <c r="AP52" i="26"/>
  <c r="BF52" i="26"/>
  <c r="D53" i="26" s="1"/>
  <c r="BJ52" i="26"/>
  <c r="H53" i="26" s="1"/>
  <c r="Y53" i="26" s="1"/>
  <c r="BD52" i="26"/>
  <c r="BI52" i="26"/>
  <c r="G53" i="26" s="1"/>
  <c r="BG52" i="26"/>
  <c r="E53" i="26" s="1"/>
  <c r="BK52" i="23"/>
  <c r="AD52" i="23"/>
  <c r="AA52" i="23"/>
  <c r="AB52" i="23" s="1"/>
  <c r="AC52" i="23" s="1"/>
  <c r="BA52" i="23"/>
  <c r="AY52" i="23"/>
  <c r="AW52" i="23"/>
  <c r="AM52" i="23"/>
  <c r="AK52" i="23"/>
  <c r="AZ52" i="23"/>
  <c r="AN52" i="23"/>
  <c r="AJ52" i="23"/>
  <c r="AV52" i="23"/>
  <c r="AH52" i="23"/>
  <c r="AP58" i="22" l="1"/>
  <c r="AO58" i="22"/>
  <c r="Z59" i="22"/>
  <c r="AT59" i="22"/>
  <c r="AQ52" i="26"/>
  <c r="B53" i="26"/>
  <c r="S53" i="26" s="1"/>
  <c r="BL52" i="26"/>
  <c r="AP52" i="23"/>
  <c r="AO52" i="23"/>
  <c r="BD52" i="23"/>
  <c r="BJ52" i="23"/>
  <c r="H53" i="23" s="1"/>
  <c r="Y53" i="23" s="1"/>
  <c r="BG52" i="23"/>
  <c r="E53" i="23" s="1"/>
  <c r="V53" i="23" s="1"/>
  <c r="BF52" i="23"/>
  <c r="D53" i="23" s="1"/>
  <c r="U53" i="23" s="1"/>
  <c r="BI52" i="23"/>
  <c r="G53" i="23" s="1"/>
  <c r="X53" i="23" s="1"/>
  <c r="Z65" i="24"/>
  <c r="I66" i="24" s="1"/>
  <c r="D22" i="8" s="1"/>
  <c r="I65" i="24"/>
  <c r="I75" i="24"/>
  <c r="AH59" i="22" l="1"/>
  <c r="BK59" i="22"/>
  <c r="BA59" i="22"/>
  <c r="AA59" i="22"/>
  <c r="AB59" i="22" s="1"/>
  <c r="AC59" i="22" s="1"/>
  <c r="AD59" i="22"/>
  <c r="AK59" i="22"/>
  <c r="AZ59" i="22"/>
  <c r="AW59" i="22"/>
  <c r="AN59" i="22"/>
  <c r="AY59" i="22"/>
  <c r="AV59" i="22"/>
  <c r="AJ59" i="22"/>
  <c r="AM59" i="22"/>
  <c r="D21" i="8"/>
  <c r="I76" i="24"/>
  <c r="I77" i="24"/>
  <c r="D29" i="8" s="1"/>
  <c r="AQ58" i="22"/>
  <c r="I53" i="26"/>
  <c r="J53" i="26" s="1"/>
  <c r="K53" i="26" s="1"/>
  <c r="L53" i="26" s="1"/>
  <c r="I68" i="24"/>
  <c r="D24" i="8" s="1"/>
  <c r="I67" i="24"/>
  <c r="D23" i="8" s="1"/>
  <c r="B53" i="23"/>
  <c r="BL52" i="23"/>
  <c r="I72" i="24"/>
  <c r="AQ52" i="23"/>
  <c r="I73" i="7"/>
  <c r="C30" i="8"/>
  <c r="I78" i="24" l="1"/>
  <c r="D28" i="8"/>
  <c r="BI59" i="22"/>
  <c r="G60" i="22" s="1"/>
  <c r="X60" i="22" s="1"/>
  <c r="BG59" i="22"/>
  <c r="E60" i="22" s="1"/>
  <c r="V60" i="22" s="1"/>
  <c r="BJ59" i="22"/>
  <c r="H60" i="22" s="1"/>
  <c r="Y60" i="22" s="1"/>
  <c r="BF59" i="22"/>
  <c r="D60" i="22" s="1"/>
  <c r="U60" i="22" s="1"/>
  <c r="BD59" i="22"/>
  <c r="AO59" i="22"/>
  <c r="AQ59" i="22" s="1"/>
  <c r="AP59" i="22"/>
  <c r="I65" i="7"/>
  <c r="Z53" i="26"/>
  <c r="AT53" i="26" s="1"/>
  <c r="I73" i="24"/>
  <c r="I53" i="23"/>
  <c r="J53" i="23" s="1"/>
  <c r="K53" i="23" s="1"/>
  <c r="L53" i="23" s="1"/>
  <c r="S53" i="23"/>
  <c r="I67" i="7"/>
  <c r="D8" i="8" s="1"/>
  <c r="G8" i="8" s="1"/>
  <c r="BG60" i="22" l="1"/>
  <c r="E61" i="22" s="1"/>
  <c r="V61" i="22" s="1"/>
  <c r="B60" i="22"/>
  <c r="BL59" i="22"/>
  <c r="BI60" i="22"/>
  <c r="G61" i="22" s="1"/>
  <c r="X61" i="22" s="1"/>
  <c r="BF60" i="22"/>
  <c r="D61" i="22" s="1"/>
  <c r="U61" i="22" s="1"/>
  <c r="BJ60" i="22"/>
  <c r="H61" i="22" s="1"/>
  <c r="Y61" i="22" s="1"/>
  <c r="I66" i="7"/>
  <c r="D7" i="8" s="1"/>
  <c r="G7" i="8" s="1"/>
  <c r="I71" i="7"/>
  <c r="D6" i="8"/>
  <c r="B3" i="18" s="1"/>
  <c r="D14" i="8"/>
  <c r="AH53" i="26"/>
  <c r="BA53" i="26"/>
  <c r="AD53" i="26"/>
  <c r="BK53" i="26"/>
  <c r="AA53" i="26"/>
  <c r="AB53" i="26" s="1"/>
  <c r="AC53" i="26" s="1"/>
  <c r="AZ53" i="26"/>
  <c r="AV53" i="26"/>
  <c r="AN53" i="26"/>
  <c r="AJ53" i="26"/>
  <c r="AK53" i="26"/>
  <c r="AY53" i="26"/>
  <c r="AW53" i="26"/>
  <c r="AM53" i="26"/>
  <c r="Z53" i="23"/>
  <c r="F8" i="8"/>
  <c r="I72" i="7"/>
  <c r="F7" i="8"/>
  <c r="S60" i="22" l="1"/>
  <c r="I60" i="22"/>
  <c r="J60" i="22" s="1"/>
  <c r="I68" i="7"/>
  <c r="D9" i="8" s="1"/>
  <c r="G6" i="8"/>
  <c r="F6" i="8"/>
  <c r="J6" i="8"/>
  <c r="K6" i="8"/>
  <c r="BG53" i="26"/>
  <c r="E54" i="26" s="1"/>
  <c r="BF53" i="26"/>
  <c r="D54" i="26" s="1"/>
  <c r="BJ53" i="26"/>
  <c r="H54" i="26" s="1"/>
  <c r="Y54" i="26" s="1"/>
  <c r="BD53" i="26"/>
  <c r="BI53" i="26"/>
  <c r="G54" i="26" s="1"/>
  <c r="AP53" i="26"/>
  <c r="AO53" i="26"/>
  <c r="AD53" i="23"/>
  <c r="BK53" i="23"/>
  <c r="BA53" i="23"/>
  <c r="AA53" i="23"/>
  <c r="AB53" i="23" s="1"/>
  <c r="AC53" i="23" s="1"/>
  <c r="AN53" i="23"/>
  <c r="AJ53" i="23"/>
  <c r="AZ53" i="23"/>
  <c r="AV53" i="23"/>
  <c r="AK53" i="23"/>
  <c r="AW53" i="23"/>
  <c r="AM53" i="23"/>
  <c r="AY53" i="23"/>
  <c r="AT53" i="23"/>
  <c r="AH53" i="23"/>
  <c r="I69" i="22" l="1"/>
  <c r="B25" i="8" s="1"/>
  <c r="K60" i="22"/>
  <c r="Z60" i="22"/>
  <c r="BD60" i="22"/>
  <c r="B61" i="22" s="1"/>
  <c r="F9" i="8"/>
  <c r="G9" i="8"/>
  <c r="B54" i="26"/>
  <c r="S54" i="26" s="1"/>
  <c r="BL53" i="26"/>
  <c r="AQ53" i="26"/>
  <c r="BF53" i="23"/>
  <c r="D54" i="23" s="1"/>
  <c r="U54" i="23" s="1"/>
  <c r="BJ53" i="23"/>
  <c r="H54" i="23" s="1"/>
  <c r="Y54" i="23" s="1"/>
  <c r="BI53" i="23"/>
  <c r="G54" i="23" s="1"/>
  <c r="X54" i="23" s="1"/>
  <c r="BD53" i="23"/>
  <c r="BG53" i="23"/>
  <c r="E54" i="23" s="1"/>
  <c r="V54" i="23" s="1"/>
  <c r="AO53" i="23"/>
  <c r="AP53" i="23"/>
  <c r="F25" i="8"/>
  <c r="H25" i="8"/>
  <c r="I61" i="22" l="1"/>
  <c r="J61" i="22" s="1"/>
  <c r="K61" i="22" s="1"/>
  <c r="L61" i="22" s="1"/>
  <c r="S61" i="22"/>
  <c r="AH60" i="22"/>
  <c r="BL60" i="22"/>
  <c r="BA60" i="22"/>
  <c r="AD60" i="22"/>
  <c r="BK60" i="22"/>
  <c r="AA60" i="22"/>
  <c r="AB60" i="22" s="1"/>
  <c r="AC60" i="22" s="1"/>
  <c r="AY60" i="22"/>
  <c r="AW60" i="22"/>
  <c r="AN60" i="22"/>
  <c r="AK60" i="22"/>
  <c r="AV60" i="22"/>
  <c r="AZ60" i="22"/>
  <c r="AM60" i="22"/>
  <c r="AJ60" i="22"/>
  <c r="L60" i="22"/>
  <c r="I70" i="22"/>
  <c r="B26" i="8" s="1"/>
  <c r="AT60" i="22"/>
  <c r="I54" i="26"/>
  <c r="J54" i="26" s="1"/>
  <c r="K54" i="26" s="1"/>
  <c r="L54" i="26" s="1"/>
  <c r="AQ53" i="23"/>
  <c r="B54" i="23"/>
  <c r="BL53" i="23"/>
  <c r="F26" i="8"/>
  <c r="H26" i="8"/>
  <c r="AO60" i="22" l="1"/>
  <c r="AP60" i="22"/>
  <c r="Z61" i="22"/>
  <c r="AT61" i="22"/>
  <c r="G24" i="8"/>
  <c r="G22" i="8"/>
  <c r="Z54" i="26"/>
  <c r="AT54" i="26" s="1"/>
  <c r="I54" i="23"/>
  <c r="J54" i="23" s="1"/>
  <c r="K54" i="23" s="1"/>
  <c r="L54" i="23" s="1"/>
  <c r="S54" i="23"/>
  <c r="BK61" i="22" l="1"/>
  <c r="AD61" i="22"/>
  <c r="BA61" i="22"/>
  <c r="AA61" i="22"/>
  <c r="AB61" i="22" s="1"/>
  <c r="AC61" i="22" s="1"/>
  <c r="AM61" i="22"/>
  <c r="AZ61" i="22"/>
  <c r="AW61" i="22"/>
  <c r="AY61" i="22"/>
  <c r="AN61" i="22"/>
  <c r="AK61" i="22"/>
  <c r="AV61" i="22"/>
  <c r="AJ61" i="22"/>
  <c r="AH61" i="22"/>
  <c r="AQ60" i="22"/>
  <c r="G23" i="8"/>
  <c r="D30" i="8"/>
  <c r="K21" i="8"/>
  <c r="G21" i="8"/>
  <c r="AA54" i="26"/>
  <c r="AB54" i="26" s="1"/>
  <c r="AC54" i="26" s="1"/>
  <c r="BA54" i="26"/>
  <c r="AD54" i="26"/>
  <c r="BK54" i="26"/>
  <c r="AN54" i="26"/>
  <c r="AK54" i="26"/>
  <c r="AY54" i="26"/>
  <c r="AV54" i="26"/>
  <c r="AM54" i="26"/>
  <c r="AJ54" i="26"/>
  <c r="AZ54" i="26"/>
  <c r="AW54" i="26"/>
  <c r="AH54" i="26"/>
  <c r="Z54" i="23"/>
  <c r="AT54" i="23" s="1"/>
  <c r="AP61" i="22" l="1"/>
  <c r="AO61" i="22"/>
  <c r="AQ61" i="22" s="1"/>
  <c r="BJ61" i="22"/>
  <c r="H62" i="22" s="1"/>
  <c r="Y62" i="22" s="1"/>
  <c r="BG61" i="22"/>
  <c r="E62" i="22" s="1"/>
  <c r="V62" i="22" s="1"/>
  <c r="BF61" i="22"/>
  <c r="D62" i="22" s="1"/>
  <c r="U62" i="22" s="1"/>
  <c r="BI61" i="22"/>
  <c r="G62" i="22" s="1"/>
  <c r="X62" i="22" s="1"/>
  <c r="BD61" i="22"/>
  <c r="AH54" i="23"/>
  <c r="AP54" i="26"/>
  <c r="AO54" i="26"/>
  <c r="BI54" i="26"/>
  <c r="G55" i="26" s="1"/>
  <c r="BG54" i="26"/>
  <c r="E55" i="26" s="1"/>
  <c r="BF54" i="26"/>
  <c r="D55" i="26" s="1"/>
  <c r="BJ54" i="26"/>
  <c r="H55" i="26" s="1"/>
  <c r="Y55" i="26" s="1"/>
  <c r="BD54" i="26"/>
  <c r="BA54" i="23"/>
  <c r="AD54" i="23"/>
  <c r="BK54" i="23"/>
  <c r="AA54" i="23"/>
  <c r="AB54" i="23" s="1"/>
  <c r="AC54" i="23" s="1"/>
  <c r="AN54" i="23"/>
  <c r="AK54" i="23"/>
  <c r="AW54" i="23"/>
  <c r="AY54" i="23"/>
  <c r="AM54" i="23"/>
  <c r="AV54" i="23"/>
  <c r="AZ54" i="23"/>
  <c r="AJ54" i="23"/>
  <c r="BI62" i="22" l="1"/>
  <c r="G63" i="22" s="1"/>
  <c r="X63" i="22" s="1"/>
  <c r="BG62" i="22"/>
  <c r="E63" i="22" s="1"/>
  <c r="V63" i="22" s="1"/>
  <c r="BD66" i="22"/>
  <c r="B62" i="22"/>
  <c r="BL61" i="22"/>
  <c r="BJ62" i="22"/>
  <c r="H63" i="22" s="1"/>
  <c r="Y63" i="22" s="1"/>
  <c r="BF62" i="22"/>
  <c r="D63" i="22" s="1"/>
  <c r="U63" i="22" s="1"/>
  <c r="AQ54" i="26"/>
  <c r="B55" i="26"/>
  <c r="S55" i="26" s="1"/>
  <c r="BL54" i="26"/>
  <c r="AP54" i="23"/>
  <c r="AO54" i="23"/>
  <c r="BG54" i="23"/>
  <c r="E55" i="23" s="1"/>
  <c r="V55" i="23" s="1"/>
  <c r="BI54" i="23"/>
  <c r="G55" i="23" s="1"/>
  <c r="X55" i="23" s="1"/>
  <c r="BF54" i="23"/>
  <c r="D55" i="23" s="1"/>
  <c r="U55" i="23" s="1"/>
  <c r="BJ54" i="23"/>
  <c r="H55" i="23" s="1"/>
  <c r="Y55" i="23" s="1"/>
  <c r="BD54" i="23"/>
  <c r="I62" i="22" l="1"/>
  <c r="S62" i="22"/>
  <c r="BJ63" i="22"/>
  <c r="H64" i="22" s="1"/>
  <c r="Y64" i="22" s="1"/>
  <c r="BG63" i="22"/>
  <c r="E64" i="22" s="1"/>
  <c r="V64" i="22" s="1"/>
  <c r="BF63" i="22"/>
  <c r="D64" i="22" s="1"/>
  <c r="U64" i="22" s="1"/>
  <c r="BI63" i="22"/>
  <c r="G64" i="22" s="1"/>
  <c r="X64" i="22" s="1"/>
  <c r="AQ54" i="23"/>
  <c r="I55" i="26"/>
  <c r="J55" i="26" s="1"/>
  <c r="K55" i="26" s="1"/>
  <c r="L55" i="26" s="1"/>
  <c r="B55" i="23"/>
  <c r="BL54" i="23"/>
  <c r="X65" i="22" l="1"/>
  <c r="BI64" i="22"/>
  <c r="G65" i="22" s="1"/>
  <c r="Y65" i="22"/>
  <c r="BJ64" i="22"/>
  <c r="H65" i="22" s="1"/>
  <c r="V65" i="22"/>
  <c r="BG64" i="22"/>
  <c r="E65" i="22" s="1"/>
  <c r="Z62" i="22"/>
  <c r="BD62" i="22"/>
  <c r="B63" i="22" s="1"/>
  <c r="AT62" i="22"/>
  <c r="U65" i="22"/>
  <c r="BF64" i="22"/>
  <c r="D65" i="22" s="1"/>
  <c r="J62" i="22"/>
  <c r="K62" i="22" s="1"/>
  <c r="L62" i="22" s="1"/>
  <c r="Z55" i="26"/>
  <c r="AT55" i="26" s="1"/>
  <c r="S55" i="23"/>
  <c r="I55" i="23"/>
  <c r="J55" i="23" s="1"/>
  <c r="K55" i="23" s="1"/>
  <c r="L55" i="23" s="1"/>
  <c r="S63" i="22" l="1"/>
  <c r="I63" i="22"/>
  <c r="AH62" i="22"/>
  <c r="BL62" i="22"/>
  <c r="AD62" i="22"/>
  <c r="BA62" i="22"/>
  <c r="BK62" i="22"/>
  <c r="AA62" i="22"/>
  <c r="AB62" i="22" s="1"/>
  <c r="AC62" i="22" s="1"/>
  <c r="AK62" i="22"/>
  <c r="AY62" i="22"/>
  <c r="AN62" i="22"/>
  <c r="AV62" i="22"/>
  <c r="AZ62" i="22"/>
  <c r="AM62" i="22"/>
  <c r="AW62" i="22"/>
  <c r="AJ62" i="22"/>
  <c r="AA55" i="26"/>
  <c r="AB55" i="26" s="1"/>
  <c r="AC55" i="26" s="1"/>
  <c r="BA55" i="26"/>
  <c r="AD55" i="26"/>
  <c r="BK55" i="26"/>
  <c r="AW55" i="26"/>
  <c r="AY55" i="26"/>
  <c r="AV55" i="26"/>
  <c r="AK55" i="26"/>
  <c r="AM55" i="26"/>
  <c r="AJ55" i="26"/>
  <c r="AN55" i="26"/>
  <c r="AZ55" i="26"/>
  <c r="AH55" i="26"/>
  <c r="Z55" i="23"/>
  <c r="AT55" i="23" s="1"/>
  <c r="J63" i="22" l="1"/>
  <c r="K63" i="22" s="1"/>
  <c r="L63" i="22" s="1"/>
  <c r="AO62" i="22"/>
  <c r="AP62" i="22"/>
  <c r="Z63" i="22"/>
  <c r="BD63" i="22"/>
  <c r="B64" i="22" s="1"/>
  <c r="AT63" i="22"/>
  <c r="AH63" i="22"/>
  <c r="AP55" i="26"/>
  <c r="AO55" i="26"/>
  <c r="BJ55" i="26"/>
  <c r="H56" i="26" s="1"/>
  <c r="Y56" i="26" s="1"/>
  <c r="BD55" i="26"/>
  <c r="BI55" i="26"/>
  <c r="G56" i="26" s="1"/>
  <c r="BG55" i="26"/>
  <c r="E56" i="26" s="1"/>
  <c r="BF55" i="26"/>
  <c r="D56" i="26" s="1"/>
  <c r="BK55" i="23"/>
  <c r="AD55" i="23"/>
  <c r="BA55" i="23"/>
  <c r="AA55" i="23"/>
  <c r="AB55" i="23" s="1"/>
  <c r="AC55" i="23" s="1"/>
  <c r="AV55" i="23"/>
  <c r="AK55" i="23"/>
  <c r="AY55" i="23"/>
  <c r="AJ55" i="23"/>
  <c r="AM55" i="23"/>
  <c r="AW55" i="23"/>
  <c r="AZ55" i="23"/>
  <c r="AN55" i="23"/>
  <c r="AH55" i="23"/>
  <c r="AQ62" i="22" l="1"/>
  <c r="S64" i="22"/>
  <c r="I64" i="22"/>
  <c r="AA63" i="22"/>
  <c r="AB63" i="22" s="1"/>
  <c r="AC63" i="22" s="1"/>
  <c r="BK63" i="22"/>
  <c r="AD63" i="22"/>
  <c r="BA63" i="22"/>
  <c r="BL63" i="22"/>
  <c r="AZ63" i="22"/>
  <c r="AY63" i="22"/>
  <c r="AJ63" i="22"/>
  <c r="AP63" i="22" s="1"/>
  <c r="AM63" i="22"/>
  <c r="AW63" i="22"/>
  <c r="AV63" i="22"/>
  <c r="AN63" i="22"/>
  <c r="AK63" i="22"/>
  <c r="AQ55" i="26"/>
  <c r="B56" i="26"/>
  <c r="S56" i="26" s="1"/>
  <c r="BL55" i="26"/>
  <c r="BJ55" i="23"/>
  <c r="H56" i="23" s="1"/>
  <c r="Y56" i="23" s="1"/>
  <c r="BI55" i="23"/>
  <c r="G56" i="23" s="1"/>
  <c r="X56" i="23" s="1"/>
  <c r="BF55" i="23"/>
  <c r="D56" i="23" s="1"/>
  <c r="U56" i="23" s="1"/>
  <c r="BG55" i="23"/>
  <c r="E56" i="23" s="1"/>
  <c r="V56" i="23" s="1"/>
  <c r="BD55" i="23"/>
  <c r="AO55" i="23"/>
  <c r="AP55" i="23"/>
  <c r="S65" i="22" l="1"/>
  <c r="BD64" i="22"/>
  <c r="B65" i="22" s="1"/>
  <c r="Z64" i="22"/>
  <c r="AT64" i="22"/>
  <c r="AO63" i="22"/>
  <c r="AQ63" i="22" s="1"/>
  <c r="J64" i="22"/>
  <c r="K64" i="22" s="1"/>
  <c r="L64" i="22" s="1"/>
  <c r="I75" i="22"/>
  <c r="I56" i="26"/>
  <c r="J56" i="26" s="1"/>
  <c r="K56" i="26" s="1"/>
  <c r="L56" i="26" s="1"/>
  <c r="AQ55" i="23"/>
  <c r="B56" i="23"/>
  <c r="BL55" i="23"/>
  <c r="AH64" i="22" l="1"/>
  <c r="AA64" i="22"/>
  <c r="AB64" i="22" s="1"/>
  <c r="AC64" i="22" s="1"/>
  <c r="BL64" i="22"/>
  <c r="BA64" i="22"/>
  <c r="AJ64" i="22"/>
  <c r="AV64" i="22"/>
  <c r="BK64" i="22"/>
  <c r="AD64" i="22"/>
  <c r="AN64" i="22"/>
  <c r="AK64" i="22"/>
  <c r="AZ64" i="22"/>
  <c r="AM64" i="22"/>
  <c r="AY64" i="22"/>
  <c r="AW64" i="22"/>
  <c r="Z56" i="26"/>
  <c r="S56" i="23"/>
  <c r="I56" i="23"/>
  <c r="J56" i="23" s="1"/>
  <c r="K56" i="23" s="1"/>
  <c r="L56" i="23" s="1"/>
  <c r="AO64" i="22" l="1"/>
  <c r="AP64" i="22"/>
  <c r="BK56" i="26"/>
  <c r="AA56" i="26"/>
  <c r="AB56" i="26" s="1"/>
  <c r="AC56" i="26" s="1"/>
  <c r="BA56" i="26"/>
  <c r="AD56" i="26"/>
  <c r="AW56" i="26"/>
  <c r="AJ56" i="26"/>
  <c r="AK56" i="26"/>
  <c r="AV56" i="26"/>
  <c r="AM56" i="26"/>
  <c r="AZ56" i="26"/>
  <c r="AN56" i="26"/>
  <c r="AY56" i="26"/>
  <c r="AH56" i="26"/>
  <c r="AT56" i="26"/>
  <c r="Z56" i="23"/>
  <c r="AH56" i="23" s="1"/>
  <c r="AQ64" i="22" l="1"/>
  <c r="AT56" i="23"/>
  <c r="AO56" i="26"/>
  <c r="AP56" i="26"/>
  <c r="BF56" i="26"/>
  <c r="D57" i="26" s="1"/>
  <c r="BJ56" i="26"/>
  <c r="H57" i="26" s="1"/>
  <c r="Y57" i="26" s="1"/>
  <c r="BD56" i="26"/>
  <c r="BI56" i="26"/>
  <c r="G57" i="26" s="1"/>
  <c r="BG56" i="26"/>
  <c r="E57" i="26" s="1"/>
  <c r="BK56" i="23"/>
  <c r="BA56" i="23"/>
  <c r="AD56" i="23"/>
  <c r="AA56" i="23"/>
  <c r="AB56" i="23" s="1"/>
  <c r="AC56" i="23" s="1"/>
  <c r="AY56" i="23"/>
  <c r="AW56" i="23"/>
  <c r="AK56" i="23"/>
  <c r="AM56" i="23"/>
  <c r="AZ56" i="23"/>
  <c r="AV56" i="23"/>
  <c r="AN56" i="23"/>
  <c r="AJ56" i="23"/>
  <c r="B57" i="26" l="1"/>
  <c r="S57" i="26" s="1"/>
  <c r="BL56" i="26"/>
  <c r="AQ56" i="26"/>
  <c r="AO56" i="23"/>
  <c r="BJ56" i="23"/>
  <c r="H57" i="23" s="1"/>
  <c r="Y57" i="23" s="1"/>
  <c r="BG56" i="23"/>
  <c r="E57" i="23" s="1"/>
  <c r="V57" i="23" s="1"/>
  <c r="BI56" i="23"/>
  <c r="G57" i="23" s="1"/>
  <c r="X57" i="23" s="1"/>
  <c r="BD56" i="23"/>
  <c r="BF56" i="23"/>
  <c r="D57" i="23" s="1"/>
  <c r="U57" i="23" s="1"/>
  <c r="AP56" i="23"/>
  <c r="AQ56" i="23" l="1"/>
  <c r="I57" i="26"/>
  <c r="J57" i="26" s="1"/>
  <c r="K57" i="26" s="1"/>
  <c r="L57" i="26" s="1"/>
  <c r="B57" i="23"/>
  <c r="BL56" i="23"/>
  <c r="Z57" i="26" l="1"/>
  <c r="AT57" i="26" s="1"/>
  <c r="I57" i="23"/>
  <c r="J57" i="23" s="1"/>
  <c r="K57" i="23" s="1"/>
  <c r="L57" i="23" s="1"/>
  <c r="S57" i="23"/>
  <c r="AH57" i="26" l="1"/>
  <c r="BA57" i="26"/>
  <c r="AD57" i="26"/>
  <c r="BK57" i="26"/>
  <c r="AA57" i="26"/>
  <c r="AB57" i="26" s="1"/>
  <c r="AC57" i="26" s="1"/>
  <c r="AZ57" i="26"/>
  <c r="AY57" i="26"/>
  <c r="AM57" i="26"/>
  <c r="AV57" i="26"/>
  <c r="AW57" i="26"/>
  <c r="AN57" i="26"/>
  <c r="AK57" i="26"/>
  <c r="AJ57" i="26"/>
  <c r="Z65" i="22"/>
  <c r="I66" i="22" s="1"/>
  <c r="B22" i="8" s="1"/>
  <c r="I65" i="22"/>
  <c r="Z57" i="23"/>
  <c r="AH57" i="23" s="1"/>
  <c r="I76" i="22" l="1"/>
  <c r="B21" i="8"/>
  <c r="I77" i="22"/>
  <c r="B29" i="8" s="1"/>
  <c r="BG57" i="26"/>
  <c r="E58" i="26" s="1"/>
  <c r="BF57" i="26"/>
  <c r="D58" i="26" s="1"/>
  <c r="BJ57" i="26"/>
  <c r="H58" i="26" s="1"/>
  <c r="Y58" i="26" s="1"/>
  <c r="BD57" i="26"/>
  <c r="BI57" i="26"/>
  <c r="G58" i="26" s="1"/>
  <c r="AP57" i="26"/>
  <c r="AO57" i="26"/>
  <c r="I72" i="22"/>
  <c r="BA57" i="23"/>
  <c r="AD57" i="23"/>
  <c r="BK57" i="23"/>
  <c r="AA57" i="23"/>
  <c r="AB57" i="23" s="1"/>
  <c r="AC57" i="23" s="1"/>
  <c r="AM57" i="23"/>
  <c r="AZ57" i="23"/>
  <c r="AN57" i="23"/>
  <c r="AY57" i="23"/>
  <c r="AJ57" i="23"/>
  <c r="AW57" i="23"/>
  <c r="AV57" i="23"/>
  <c r="AK57" i="23"/>
  <c r="AT57" i="23"/>
  <c r="I78" i="22" l="1"/>
  <c r="B28" i="8"/>
  <c r="B58" i="26"/>
  <c r="S58" i="26" s="1"/>
  <c r="BL57" i="26"/>
  <c r="AQ57" i="26"/>
  <c r="AP57" i="23"/>
  <c r="AO57" i="23"/>
  <c r="BI57" i="23"/>
  <c r="G58" i="23" s="1"/>
  <c r="X58" i="23" s="1"/>
  <c r="BD57" i="23"/>
  <c r="BG57" i="23"/>
  <c r="E58" i="23" s="1"/>
  <c r="V58" i="23" s="1"/>
  <c r="BJ57" i="23"/>
  <c r="H58" i="23" s="1"/>
  <c r="Y58" i="23" s="1"/>
  <c r="BF57" i="23"/>
  <c r="D58" i="23" s="1"/>
  <c r="U58" i="23" s="1"/>
  <c r="AQ57" i="23" l="1"/>
  <c r="I58" i="26"/>
  <c r="J58" i="26" s="1"/>
  <c r="K58" i="26" s="1"/>
  <c r="L58" i="26" s="1"/>
  <c r="B58" i="23"/>
  <c r="BL57" i="23"/>
  <c r="I68" i="22" l="1"/>
  <c r="B24" i="8" s="1"/>
  <c r="Z58" i="26"/>
  <c r="I58" i="23"/>
  <c r="J58" i="23" s="1"/>
  <c r="K58" i="23" s="1"/>
  <c r="L58" i="23" s="1"/>
  <c r="S58" i="23"/>
  <c r="BK58" i="26" l="1"/>
  <c r="BA58" i="26"/>
  <c r="AD58" i="26"/>
  <c r="AA58" i="26"/>
  <c r="AB58" i="26" s="1"/>
  <c r="AC58" i="26" s="1"/>
  <c r="AJ58" i="26"/>
  <c r="AV58" i="26"/>
  <c r="AM58" i="26"/>
  <c r="AW58" i="26"/>
  <c r="AZ58" i="26"/>
  <c r="AK58" i="26"/>
  <c r="AN58" i="26"/>
  <c r="AY58" i="26"/>
  <c r="AT58" i="26"/>
  <c r="AH58" i="26"/>
  <c r="Z58" i="23"/>
  <c r="AH58" i="23" s="1"/>
  <c r="C41" i="19"/>
  <c r="H41" i="19"/>
  <c r="F41" i="19"/>
  <c r="AT40" i="19"/>
  <c r="AU40" i="19" s="1"/>
  <c r="B41" i="19"/>
  <c r="I67" i="22" l="1"/>
  <c r="B23" i="8" s="1"/>
  <c r="I73" i="22"/>
  <c r="AT58" i="23"/>
  <c r="AO58" i="26"/>
  <c r="AP58" i="26"/>
  <c r="BF58" i="26"/>
  <c r="D59" i="26" s="1"/>
  <c r="BJ58" i="26"/>
  <c r="H59" i="26" s="1"/>
  <c r="Y59" i="26" s="1"/>
  <c r="BI58" i="26"/>
  <c r="G59" i="26" s="1"/>
  <c r="BG58" i="26"/>
  <c r="E59" i="26" s="1"/>
  <c r="BD58" i="26"/>
  <c r="BA58" i="23"/>
  <c r="AD58" i="23"/>
  <c r="BK58" i="23"/>
  <c r="AA58" i="23"/>
  <c r="AB58" i="23" s="1"/>
  <c r="AC58" i="23" s="1"/>
  <c r="AN58" i="23"/>
  <c r="AW58" i="23"/>
  <c r="AZ58" i="23"/>
  <c r="AK58" i="23"/>
  <c r="AJ58" i="23"/>
  <c r="AY58" i="23"/>
  <c r="AM58" i="23"/>
  <c r="AV58" i="23"/>
  <c r="I41" i="19"/>
  <c r="AQ58" i="26" l="1"/>
  <c r="B59" i="26"/>
  <c r="S59" i="26" s="1"/>
  <c r="BL58" i="26"/>
  <c r="AP58" i="23"/>
  <c r="BJ58" i="23"/>
  <c r="H59" i="23" s="1"/>
  <c r="Y59" i="23" s="1"/>
  <c r="BI58" i="23"/>
  <c r="G59" i="23" s="1"/>
  <c r="X59" i="23" s="1"/>
  <c r="BG58" i="23"/>
  <c r="E59" i="23" s="1"/>
  <c r="V59" i="23" s="1"/>
  <c r="BD58" i="23"/>
  <c r="BF58" i="23"/>
  <c r="D59" i="23" s="1"/>
  <c r="U59" i="23" s="1"/>
  <c r="AO58" i="23"/>
  <c r="T41" i="19"/>
  <c r="AS41" i="19"/>
  <c r="AQ41" i="19"/>
  <c r="AM41" i="19"/>
  <c r="AN41" i="19"/>
  <c r="AD41" i="19"/>
  <c r="P41" i="19"/>
  <c r="AC41" i="19"/>
  <c r="AG41" i="19"/>
  <c r="AT41" i="19"/>
  <c r="AU41" i="19" s="1"/>
  <c r="AJ41" i="19"/>
  <c r="V41" i="19"/>
  <c r="J41" i="19"/>
  <c r="AI41" i="19"/>
  <c r="Q41" i="19"/>
  <c r="AQ58" i="23" l="1"/>
  <c r="I59" i="26"/>
  <c r="J59" i="26" s="1"/>
  <c r="K59" i="26" s="1"/>
  <c r="L59" i="26" s="1"/>
  <c r="B59" i="23"/>
  <c r="BL58" i="23"/>
  <c r="B42" i="19"/>
  <c r="H42" i="19"/>
  <c r="C42" i="19"/>
  <c r="F42" i="19"/>
  <c r="X41" i="19"/>
  <c r="K41" i="19"/>
  <c r="L41" i="19" s="1"/>
  <c r="W41" i="19"/>
  <c r="Z59" i="26" l="1"/>
  <c r="AH59" i="26" s="1"/>
  <c r="S59" i="23"/>
  <c r="I59" i="23"/>
  <c r="J59" i="23" s="1"/>
  <c r="K59" i="23" s="1"/>
  <c r="L59" i="23" s="1"/>
  <c r="O24" i="8"/>
  <c r="H24" i="8"/>
  <c r="F24" i="8"/>
  <c r="B30" i="8"/>
  <c r="H22" i="8"/>
  <c r="F22" i="8"/>
  <c r="I42" i="19"/>
  <c r="Y41" i="19"/>
  <c r="BA59" i="26" l="1"/>
  <c r="AD59" i="26"/>
  <c r="BK59" i="26"/>
  <c r="AA59" i="26"/>
  <c r="AB59" i="26" s="1"/>
  <c r="AC59" i="26" s="1"/>
  <c r="AW59" i="26"/>
  <c r="AM59" i="26"/>
  <c r="AN59" i="26"/>
  <c r="AV59" i="26"/>
  <c r="AK59" i="26"/>
  <c r="AZ59" i="26"/>
  <c r="AY59" i="26"/>
  <c r="AJ59" i="26"/>
  <c r="AT59" i="26"/>
  <c r="Z59" i="23"/>
  <c r="AT59" i="23" s="1"/>
  <c r="H23" i="8"/>
  <c r="O23" i="8"/>
  <c r="F23" i="8"/>
  <c r="F21" i="8"/>
  <c r="H21" i="8"/>
  <c r="J21" i="8"/>
  <c r="P42" i="19"/>
  <c r="AC42" i="19"/>
  <c r="AD42" i="19"/>
  <c r="AN42" i="19"/>
  <c r="AM42" i="19"/>
  <c r="AQ42" i="19"/>
  <c r="AS42" i="19"/>
  <c r="AJ42" i="19"/>
  <c r="AT42" i="19"/>
  <c r="AU42" i="19" s="1"/>
  <c r="J42" i="19"/>
  <c r="K42" i="19" s="1"/>
  <c r="L42" i="19" s="1"/>
  <c r="V42" i="19"/>
  <c r="T42" i="19"/>
  <c r="AI42" i="19"/>
  <c r="Q42" i="19"/>
  <c r="AG42" i="19"/>
  <c r="W42" i="19" l="1"/>
  <c r="AP59" i="26"/>
  <c r="BG59" i="26"/>
  <c r="E60" i="26" s="1"/>
  <c r="BJ59" i="26"/>
  <c r="H60" i="26" s="1"/>
  <c r="Y60" i="26" s="1"/>
  <c r="BD59" i="26"/>
  <c r="BF59" i="26"/>
  <c r="D60" i="26" s="1"/>
  <c r="BI59" i="26"/>
  <c r="G60" i="26" s="1"/>
  <c r="AO59" i="26"/>
  <c r="BK59" i="23"/>
  <c r="AD59" i="23"/>
  <c r="AA59" i="23"/>
  <c r="AB59" i="23" s="1"/>
  <c r="AC59" i="23" s="1"/>
  <c r="BA59" i="23"/>
  <c r="AZ59" i="23"/>
  <c r="AN59" i="23"/>
  <c r="AM59" i="23"/>
  <c r="AK59" i="23"/>
  <c r="AW59" i="23"/>
  <c r="AY59" i="23"/>
  <c r="AV59" i="23"/>
  <c r="AJ59" i="23"/>
  <c r="AH59" i="23"/>
  <c r="H43" i="19"/>
  <c r="F43" i="19"/>
  <c r="X42" i="19"/>
  <c r="Y42" i="19" s="1"/>
  <c r="C43" i="19"/>
  <c r="B43" i="19"/>
  <c r="AQ59" i="26" l="1"/>
  <c r="B60" i="26"/>
  <c r="S60" i="26" s="1"/>
  <c r="BL59" i="26"/>
  <c r="AO59" i="23"/>
  <c r="AP59" i="23"/>
  <c r="BD59" i="23"/>
  <c r="BG59" i="23"/>
  <c r="E60" i="23" s="1"/>
  <c r="V60" i="23" s="1"/>
  <c r="BF59" i="23"/>
  <c r="D60" i="23" s="1"/>
  <c r="U60" i="23" s="1"/>
  <c r="BJ59" i="23"/>
  <c r="H60" i="23" s="1"/>
  <c r="Y60" i="23" s="1"/>
  <c r="BI59" i="23"/>
  <c r="G60" i="23" s="1"/>
  <c r="X60" i="23" s="1"/>
  <c r="I43" i="19"/>
  <c r="P43" i="19" s="1"/>
  <c r="I60" i="26" l="1"/>
  <c r="J60" i="26" s="1"/>
  <c r="B60" i="23"/>
  <c r="BL59" i="23"/>
  <c r="AQ59" i="23"/>
  <c r="V43" i="19"/>
  <c r="AS43" i="19"/>
  <c r="AQ43" i="19"/>
  <c r="AM43" i="19"/>
  <c r="AN43" i="19"/>
  <c r="AT43" i="19"/>
  <c r="AU43" i="19" s="1"/>
  <c r="AJ43" i="19"/>
  <c r="J43" i="19"/>
  <c r="K43" i="19" s="1"/>
  <c r="L43" i="19" s="1"/>
  <c r="Q43" i="19"/>
  <c r="AI43" i="19"/>
  <c r="AG43" i="19"/>
  <c r="T43" i="19"/>
  <c r="AC43" i="19"/>
  <c r="AD43" i="19"/>
  <c r="Z60" i="26" l="1"/>
  <c r="AT60" i="26" s="1"/>
  <c r="I69" i="26"/>
  <c r="K60" i="26"/>
  <c r="I60" i="23"/>
  <c r="J60" i="23" s="1"/>
  <c r="S60" i="23"/>
  <c r="X43" i="19"/>
  <c r="C44" i="19"/>
  <c r="B44" i="19"/>
  <c r="W43" i="19"/>
  <c r="H44" i="19"/>
  <c r="F44" i="19"/>
  <c r="I70" i="26" l="1"/>
  <c r="L60" i="26"/>
  <c r="AA60" i="26"/>
  <c r="AB60" i="26" s="1"/>
  <c r="AC60" i="26" s="1"/>
  <c r="BA60" i="26"/>
  <c r="AD60" i="26"/>
  <c r="BK60" i="26"/>
  <c r="AJ60" i="26"/>
  <c r="AW60" i="26"/>
  <c r="AZ60" i="26"/>
  <c r="AV60" i="26"/>
  <c r="AM60" i="26"/>
  <c r="AK60" i="26"/>
  <c r="AN60" i="26"/>
  <c r="AY60" i="26"/>
  <c r="AH60" i="26"/>
  <c r="Z60" i="23"/>
  <c r="K60" i="23"/>
  <c r="I69" i="23"/>
  <c r="I25" i="8" s="1"/>
  <c r="Y43" i="19"/>
  <c r="I44" i="19"/>
  <c r="P44" i="19" s="1"/>
  <c r="AP60" i="26" l="1"/>
  <c r="AO60" i="26"/>
  <c r="BI60" i="26"/>
  <c r="G61" i="26" s="1"/>
  <c r="BG60" i="26"/>
  <c r="E61" i="26" s="1"/>
  <c r="BF60" i="26"/>
  <c r="D61" i="26" s="1"/>
  <c r="BD60" i="26"/>
  <c r="BJ60" i="26"/>
  <c r="H61" i="26" s="1"/>
  <c r="Y61" i="26" s="1"/>
  <c r="L60" i="23"/>
  <c r="I70" i="23"/>
  <c r="I26" i="8" s="1"/>
  <c r="BA60" i="23"/>
  <c r="AD60" i="23"/>
  <c r="AA60" i="23"/>
  <c r="AB60" i="23" s="1"/>
  <c r="AC60" i="23" s="1"/>
  <c r="BK60" i="23"/>
  <c r="AM60" i="23"/>
  <c r="AJ60" i="23"/>
  <c r="AY60" i="23"/>
  <c r="AV60" i="23"/>
  <c r="AN60" i="23"/>
  <c r="AK60" i="23"/>
  <c r="AW60" i="23"/>
  <c r="AZ60" i="23"/>
  <c r="AH60" i="23"/>
  <c r="AT60" i="23"/>
  <c r="AG44" i="19"/>
  <c r="AI44" i="19"/>
  <c r="V44" i="19"/>
  <c r="Q44" i="19"/>
  <c r="AD44" i="19"/>
  <c r="AC44" i="19"/>
  <c r="AN44" i="19"/>
  <c r="AM44" i="19"/>
  <c r="AS44" i="19"/>
  <c r="AQ44" i="19"/>
  <c r="AT44" i="19"/>
  <c r="AJ44" i="19"/>
  <c r="J44" i="19"/>
  <c r="K44" i="19" s="1"/>
  <c r="L44" i="19" s="1"/>
  <c r="T44" i="19"/>
  <c r="AQ60" i="26" l="1"/>
  <c r="B61" i="26"/>
  <c r="S61" i="26" s="1"/>
  <c r="BL60" i="26"/>
  <c r="BF60" i="23"/>
  <c r="D61" i="23" s="1"/>
  <c r="U61" i="23" s="1"/>
  <c r="BD60" i="23"/>
  <c r="BJ60" i="23"/>
  <c r="H61" i="23" s="1"/>
  <c r="Y61" i="23" s="1"/>
  <c r="BG60" i="23"/>
  <c r="E61" i="23" s="1"/>
  <c r="V61" i="23" s="1"/>
  <c r="BI60" i="23"/>
  <c r="G61" i="23" s="1"/>
  <c r="X61" i="23" s="1"/>
  <c r="AP60" i="23"/>
  <c r="AO60" i="23"/>
  <c r="W44" i="19"/>
  <c r="H45" i="19"/>
  <c r="AU44" i="19"/>
  <c r="F45" i="19"/>
  <c r="B45" i="19"/>
  <c r="X44" i="19"/>
  <c r="C45" i="19"/>
  <c r="AQ60" i="23" l="1"/>
  <c r="I61" i="26"/>
  <c r="J61" i="26" s="1"/>
  <c r="K61" i="26" s="1"/>
  <c r="L61" i="26" s="1"/>
  <c r="B61" i="23"/>
  <c r="BL60" i="23"/>
  <c r="Y44" i="19"/>
  <c r="I45" i="19"/>
  <c r="AC45" i="19" s="1"/>
  <c r="Z61" i="26" l="1"/>
  <c r="I61" i="23"/>
  <c r="J61" i="23" s="1"/>
  <c r="K61" i="23" s="1"/>
  <c r="L61" i="23" s="1"/>
  <c r="S61" i="23"/>
  <c r="Q45" i="19"/>
  <c r="V45" i="19"/>
  <c r="AD45" i="19"/>
  <c r="P45" i="19"/>
  <c r="AS45" i="19"/>
  <c r="AQ45" i="19"/>
  <c r="AM45" i="19"/>
  <c r="AN45" i="19"/>
  <c r="AJ45" i="19"/>
  <c r="AT45" i="19"/>
  <c r="AU45" i="19" s="1"/>
  <c r="J45" i="19"/>
  <c r="K45" i="19" s="1"/>
  <c r="L45" i="19" s="1"/>
  <c r="T45" i="19"/>
  <c r="AG45" i="19"/>
  <c r="AI45" i="19"/>
  <c r="AA61" i="26" l="1"/>
  <c r="AB61" i="26" s="1"/>
  <c r="AC61" i="26" s="1"/>
  <c r="BA61" i="26"/>
  <c r="AD61" i="26"/>
  <c r="BK61" i="26"/>
  <c r="AW61" i="26"/>
  <c r="AK61" i="26"/>
  <c r="AZ61" i="26"/>
  <c r="AY61" i="26"/>
  <c r="AN61" i="26"/>
  <c r="AJ61" i="26"/>
  <c r="AM61" i="26"/>
  <c r="AV61" i="26"/>
  <c r="AH61" i="26"/>
  <c r="AT61" i="26"/>
  <c r="Z61" i="23"/>
  <c r="AH61" i="23" s="1"/>
  <c r="B46" i="19"/>
  <c r="H46" i="19"/>
  <c r="C46" i="19"/>
  <c r="F46" i="19"/>
  <c r="W45" i="19"/>
  <c r="X45" i="19"/>
  <c r="AT61" i="23" l="1"/>
  <c r="AP61" i="26"/>
  <c r="AO61" i="26"/>
  <c r="BJ61" i="26"/>
  <c r="H62" i="26" s="1"/>
  <c r="Y62" i="26" s="1"/>
  <c r="BD61" i="26"/>
  <c r="BI61" i="26"/>
  <c r="G62" i="26" s="1"/>
  <c r="BG61" i="26"/>
  <c r="E62" i="26" s="1"/>
  <c r="BF61" i="26"/>
  <c r="D62" i="26" s="1"/>
  <c r="AA61" i="23"/>
  <c r="AB61" i="23" s="1"/>
  <c r="AC61" i="23" s="1"/>
  <c r="BK61" i="23"/>
  <c r="AD61" i="23"/>
  <c r="BA61" i="23"/>
  <c r="AN61" i="23"/>
  <c r="AV61" i="23"/>
  <c r="AJ61" i="23"/>
  <c r="AK61" i="23"/>
  <c r="AY61" i="23"/>
  <c r="AM61" i="23"/>
  <c r="AZ61" i="23"/>
  <c r="AW61" i="23"/>
  <c r="I46" i="19"/>
  <c r="T46" i="19" s="1"/>
  <c r="Y45" i="19"/>
  <c r="P46" i="19" l="1"/>
  <c r="AQ61" i="26"/>
  <c r="B62" i="26"/>
  <c r="S62" i="26" s="1"/>
  <c r="BL61" i="26"/>
  <c r="AP61" i="23"/>
  <c r="BG61" i="23"/>
  <c r="E62" i="23" s="1"/>
  <c r="V62" i="23" s="1"/>
  <c r="BF61" i="23"/>
  <c r="D62" i="23" s="1"/>
  <c r="U62" i="23" s="1"/>
  <c r="BJ61" i="23"/>
  <c r="H62" i="23" s="1"/>
  <c r="Y62" i="23" s="1"/>
  <c r="BI61" i="23"/>
  <c r="G62" i="23" s="1"/>
  <c r="X62" i="23" s="1"/>
  <c r="BD61" i="23"/>
  <c r="AO61" i="23"/>
  <c r="AC46" i="19"/>
  <c r="AD46" i="19"/>
  <c r="AI46" i="19"/>
  <c r="AN46" i="19"/>
  <c r="AM46" i="19"/>
  <c r="AS46" i="19"/>
  <c r="AQ46" i="19"/>
  <c r="AT46" i="19"/>
  <c r="AU46" i="19" s="1"/>
  <c r="AJ46" i="19"/>
  <c r="J46" i="19"/>
  <c r="K46" i="19" s="1"/>
  <c r="L46" i="19" s="1"/>
  <c r="Q46" i="19"/>
  <c r="X46" i="19" s="1"/>
  <c r="V46" i="19"/>
  <c r="AG46" i="19"/>
  <c r="I62" i="26" l="1"/>
  <c r="J62" i="26" s="1"/>
  <c r="K62" i="26" s="1"/>
  <c r="L62" i="26" s="1"/>
  <c r="AQ61" i="23"/>
  <c r="B62" i="23"/>
  <c r="BL61" i="23"/>
  <c r="B47" i="19"/>
  <c r="W46" i="19"/>
  <c r="Y46" i="19" s="1"/>
  <c r="F47" i="19"/>
  <c r="H47" i="19"/>
  <c r="C47" i="19"/>
  <c r="Z62" i="26" l="1"/>
  <c r="AT62" i="26" s="1"/>
  <c r="S62" i="23"/>
  <c r="I62" i="23"/>
  <c r="J62" i="23" s="1"/>
  <c r="K62" i="23" s="1"/>
  <c r="L62" i="23" s="1"/>
  <c r="I47" i="19"/>
  <c r="V47" i="19" s="1"/>
  <c r="Q47" i="19" l="1"/>
  <c r="P47" i="19"/>
  <c r="AD47" i="19"/>
  <c r="AH62" i="26"/>
  <c r="BK62" i="26"/>
  <c r="AA62" i="26"/>
  <c r="AB62" i="26" s="1"/>
  <c r="AC62" i="26" s="1"/>
  <c r="BA62" i="26"/>
  <c r="AD62" i="26"/>
  <c r="AW62" i="26"/>
  <c r="AZ62" i="26"/>
  <c r="AV62" i="26"/>
  <c r="AK62" i="26"/>
  <c r="AN62" i="26"/>
  <c r="AY62" i="26"/>
  <c r="AJ62" i="26"/>
  <c r="AM62" i="26"/>
  <c r="Z62" i="23"/>
  <c r="AH62" i="23" s="1"/>
  <c r="AC47" i="19"/>
  <c r="AI47" i="19"/>
  <c r="AG47" i="19"/>
  <c r="AS47" i="19"/>
  <c r="AM47" i="19"/>
  <c r="AQ47" i="19"/>
  <c r="G48" i="19" s="1"/>
  <c r="AN47" i="19"/>
  <c r="AT47" i="19"/>
  <c r="AU47" i="19" s="1"/>
  <c r="AJ47" i="19"/>
  <c r="J47" i="19"/>
  <c r="K47" i="19" s="1"/>
  <c r="L47" i="19" s="1"/>
  <c r="T47" i="19"/>
  <c r="X47" i="19" s="1"/>
  <c r="AT62" i="23" l="1"/>
  <c r="AO62" i="26"/>
  <c r="BF62" i="26"/>
  <c r="D63" i="26" s="1"/>
  <c r="BJ62" i="26"/>
  <c r="H63" i="26" s="1"/>
  <c r="Y63" i="26" s="1"/>
  <c r="BD62" i="26"/>
  <c r="BI62" i="26"/>
  <c r="G63" i="26" s="1"/>
  <c r="BG62" i="26"/>
  <c r="E63" i="26" s="1"/>
  <c r="AP62" i="26"/>
  <c r="AA62" i="23"/>
  <c r="AB62" i="23" s="1"/>
  <c r="AC62" i="23" s="1"/>
  <c r="AD62" i="23"/>
  <c r="BK62" i="23"/>
  <c r="BA62" i="23"/>
  <c r="AW62" i="23"/>
  <c r="AK62" i="23"/>
  <c r="AN62" i="23"/>
  <c r="AM62" i="23"/>
  <c r="AY62" i="23"/>
  <c r="AV62" i="23"/>
  <c r="AJ62" i="23"/>
  <c r="AZ62" i="23"/>
  <c r="H48" i="19"/>
  <c r="C48" i="19"/>
  <c r="B48" i="19"/>
  <c r="W47" i="19"/>
  <c r="Y47" i="19" s="1"/>
  <c r="AQ62" i="26" l="1"/>
  <c r="B63" i="26"/>
  <c r="S63" i="26" s="1"/>
  <c r="BL62" i="26"/>
  <c r="AP62" i="23"/>
  <c r="AO62" i="23"/>
  <c r="BI62" i="23"/>
  <c r="G63" i="23" s="1"/>
  <c r="X63" i="23" s="1"/>
  <c r="BG62" i="23"/>
  <c r="E63" i="23" s="1"/>
  <c r="V63" i="23" s="1"/>
  <c r="BD62" i="23"/>
  <c r="BF62" i="23"/>
  <c r="D63" i="23" s="1"/>
  <c r="U63" i="23" s="1"/>
  <c r="BJ62" i="23"/>
  <c r="H63" i="23" s="1"/>
  <c r="Y63" i="23" s="1"/>
  <c r="I48" i="19"/>
  <c r="AI48" i="19" l="1"/>
  <c r="AR48" i="19"/>
  <c r="G49" i="19" s="1"/>
  <c r="AQ62" i="23"/>
  <c r="I63" i="26"/>
  <c r="J63" i="26" s="1"/>
  <c r="K63" i="26" s="1"/>
  <c r="L63" i="26" s="1"/>
  <c r="B63" i="23"/>
  <c r="BL62" i="23"/>
  <c r="AC48" i="19"/>
  <c r="AG48" i="19"/>
  <c r="AN48" i="19"/>
  <c r="AM48" i="19"/>
  <c r="AS48" i="19"/>
  <c r="AT48" i="19"/>
  <c r="AU48" i="19" s="1"/>
  <c r="AJ48" i="19"/>
  <c r="J48" i="19"/>
  <c r="K48" i="19" s="1"/>
  <c r="L48" i="19" s="1"/>
  <c r="V48" i="19"/>
  <c r="AD48" i="19"/>
  <c r="P48" i="19"/>
  <c r="T48" i="19"/>
  <c r="Q48" i="19"/>
  <c r="Z63" i="26" l="1"/>
  <c r="S63" i="23"/>
  <c r="I63" i="23"/>
  <c r="J63" i="23" s="1"/>
  <c r="K63" i="23" s="1"/>
  <c r="L63" i="23" s="1"/>
  <c r="W48" i="19"/>
  <c r="X48" i="19"/>
  <c r="B49" i="19"/>
  <c r="C49" i="19"/>
  <c r="H49" i="19"/>
  <c r="AA63" i="26" l="1"/>
  <c r="AB63" i="26" s="1"/>
  <c r="AC63" i="26" s="1"/>
  <c r="BA63" i="26"/>
  <c r="AD63" i="26"/>
  <c r="BK63" i="26"/>
  <c r="AZ63" i="26"/>
  <c r="AM63" i="26"/>
  <c r="AV63" i="26"/>
  <c r="AK63" i="26"/>
  <c r="AN63" i="26"/>
  <c r="AW63" i="26"/>
  <c r="AY63" i="26"/>
  <c r="AJ63" i="26"/>
  <c r="AH63" i="26"/>
  <c r="AT63" i="26"/>
  <c r="Z63" i="23"/>
  <c r="Y48" i="19"/>
  <c r="I49" i="19"/>
  <c r="Q49" i="19" l="1"/>
  <c r="AR49" i="19"/>
  <c r="G50" i="19" s="1"/>
  <c r="BI63" i="26"/>
  <c r="G64" i="26" s="1"/>
  <c r="BG63" i="26"/>
  <c r="E64" i="26" s="1"/>
  <c r="BD63" i="26"/>
  <c r="BJ63" i="26"/>
  <c r="H64" i="26" s="1"/>
  <c r="Y64" i="26" s="1"/>
  <c r="BF63" i="26"/>
  <c r="D64" i="26" s="1"/>
  <c r="AP63" i="26"/>
  <c r="AO63" i="26"/>
  <c r="AA63" i="23"/>
  <c r="AB63" i="23" s="1"/>
  <c r="AC63" i="23" s="1"/>
  <c r="BK63" i="23"/>
  <c r="BA63" i="23"/>
  <c r="AD63" i="23"/>
  <c r="AJ63" i="23"/>
  <c r="AN63" i="23"/>
  <c r="AK63" i="23"/>
  <c r="AM63" i="23"/>
  <c r="AV63" i="23"/>
  <c r="AZ63" i="23"/>
  <c r="AW63" i="23"/>
  <c r="AY63" i="23"/>
  <c r="AH63" i="23"/>
  <c r="AT63" i="23"/>
  <c r="U49" i="19"/>
  <c r="V49" i="19"/>
  <c r="AI49" i="19"/>
  <c r="AC49" i="19"/>
  <c r="P49" i="19"/>
  <c r="AS49" i="19"/>
  <c r="AM49" i="19"/>
  <c r="AN49" i="19"/>
  <c r="J49" i="19"/>
  <c r="K49" i="19" s="1"/>
  <c r="L49" i="19" s="1"/>
  <c r="AT49" i="19"/>
  <c r="AU49" i="19" s="1"/>
  <c r="AJ49" i="19"/>
  <c r="AH49" i="19"/>
  <c r="AD49" i="19"/>
  <c r="E50" i="19" l="1"/>
  <c r="D50" i="19"/>
  <c r="X65" i="26"/>
  <c r="U65" i="26"/>
  <c r="V65" i="26"/>
  <c r="AQ63" i="26"/>
  <c r="B64" i="26"/>
  <c r="S64" i="26" s="1"/>
  <c r="BL63" i="26"/>
  <c r="AP63" i="23"/>
  <c r="AO63" i="23"/>
  <c r="BJ63" i="23"/>
  <c r="H64" i="23" s="1"/>
  <c r="Y64" i="23" s="1"/>
  <c r="Y65" i="23" s="1"/>
  <c r="BI63" i="23"/>
  <c r="G64" i="23" s="1"/>
  <c r="X64" i="23" s="1"/>
  <c r="X65" i="23" s="1"/>
  <c r="BF63" i="23"/>
  <c r="D64" i="23" s="1"/>
  <c r="U64" i="23" s="1"/>
  <c r="U65" i="23" s="1"/>
  <c r="BG63" i="23"/>
  <c r="E64" i="23" s="1"/>
  <c r="V64" i="23" s="1"/>
  <c r="V65" i="23" s="1"/>
  <c r="BD63" i="23"/>
  <c r="H50" i="19"/>
  <c r="B50" i="19"/>
  <c r="X49" i="19"/>
  <c r="W49" i="19"/>
  <c r="S65" i="26" l="1"/>
  <c r="Y65" i="26"/>
  <c r="AQ63" i="23"/>
  <c r="I64" i="26"/>
  <c r="J64" i="26" s="1"/>
  <c r="K64" i="26" s="1"/>
  <c r="L64" i="26" s="1"/>
  <c r="B64" i="23"/>
  <c r="BL63" i="23"/>
  <c r="Y49" i="19"/>
  <c r="I50" i="19"/>
  <c r="AR50" i="19" s="1"/>
  <c r="P50" i="19" l="1"/>
  <c r="AP50" i="19"/>
  <c r="E51" i="19" s="1"/>
  <c r="AO50" i="19"/>
  <c r="D51" i="19" s="1"/>
  <c r="Z64" i="26"/>
  <c r="S64" i="23"/>
  <c r="S65" i="23" s="1"/>
  <c r="I64" i="23"/>
  <c r="J64" i="23" s="1"/>
  <c r="K64" i="23" s="1"/>
  <c r="L64" i="23" s="1"/>
  <c r="AD50" i="19"/>
  <c r="Q50" i="19"/>
  <c r="V50" i="19"/>
  <c r="AC50" i="19"/>
  <c r="AI50" i="19"/>
  <c r="AM50" i="19"/>
  <c r="AS50" i="19"/>
  <c r="G51" i="19"/>
  <c r="U50" i="19"/>
  <c r="AH50" i="19"/>
  <c r="AJ50" i="19"/>
  <c r="AT50" i="19"/>
  <c r="AU50" i="19" s="1"/>
  <c r="J50" i="19"/>
  <c r="K50" i="19" s="1"/>
  <c r="L50" i="19" s="1"/>
  <c r="X50" i="19" l="1"/>
  <c r="AT64" i="26"/>
  <c r="Z65" i="26"/>
  <c r="AH64" i="26"/>
  <c r="BK64" i="26"/>
  <c r="AA64" i="26"/>
  <c r="AB64" i="26" s="1"/>
  <c r="AC64" i="26" s="1"/>
  <c r="BA64" i="26"/>
  <c r="AD64" i="26"/>
  <c r="AV64" i="26"/>
  <c r="AZ64" i="26"/>
  <c r="AK64" i="26"/>
  <c r="AY64" i="26"/>
  <c r="AW64" i="26"/>
  <c r="AN64" i="26"/>
  <c r="AJ64" i="26"/>
  <c r="AM64" i="26"/>
  <c r="Z64" i="23"/>
  <c r="AT64" i="23" s="1"/>
  <c r="H51" i="19"/>
  <c r="B51" i="19"/>
  <c r="W50" i="19"/>
  <c r="Y50" i="19" s="1"/>
  <c r="AH64" i="23" l="1"/>
  <c r="AO64" i="26"/>
  <c r="BF64" i="26"/>
  <c r="BJ64" i="26"/>
  <c r="BD64" i="26"/>
  <c r="B65" i="26" s="1"/>
  <c r="BI64" i="26"/>
  <c r="BG64" i="26"/>
  <c r="AP64" i="26"/>
  <c r="BK64" i="23"/>
  <c r="BA64" i="23"/>
  <c r="AD64" i="23"/>
  <c r="AA64" i="23"/>
  <c r="AB64" i="23" s="1"/>
  <c r="AC64" i="23" s="1"/>
  <c r="AV64" i="23"/>
  <c r="AY64" i="23"/>
  <c r="AM64" i="23"/>
  <c r="AZ64" i="23"/>
  <c r="AJ64" i="23"/>
  <c r="AK64" i="23"/>
  <c r="AN64" i="23"/>
  <c r="AW64" i="23"/>
  <c r="I51" i="19"/>
  <c r="AR51" i="19" s="1"/>
  <c r="AE51" i="19" l="1"/>
  <c r="AP51" i="19"/>
  <c r="AO51" i="19"/>
  <c r="AQ64" i="26"/>
  <c r="D65" i="26"/>
  <c r="H65" i="26"/>
  <c r="G65" i="26"/>
  <c r="E65" i="26"/>
  <c r="BL64" i="26"/>
  <c r="AO64" i="23"/>
  <c r="BJ64" i="23"/>
  <c r="H65" i="23" s="1"/>
  <c r="BG64" i="23"/>
  <c r="E65" i="23" s="1"/>
  <c r="BI64" i="23"/>
  <c r="G65" i="23" s="1"/>
  <c r="BF64" i="23"/>
  <c r="D65" i="23" s="1"/>
  <c r="BD64" i="23"/>
  <c r="B65" i="23" s="1"/>
  <c r="AP64" i="23"/>
  <c r="P51" i="19"/>
  <c r="AC51" i="19"/>
  <c r="V51" i="19"/>
  <c r="R51" i="19"/>
  <c r="AI51" i="19"/>
  <c r="AF51" i="19"/>
  <c r="AS51" i="19"/>
  <c r="G52" i="19"/>
  <c r="AM51" i="19"/>
  <c r="E52" i="19"/>
  <c r="D52" i="19"/>
  <c r="AT51" i="19"/>
  <c r="AU51" i="19" s="1"/>
  <c r="J51" i="19"/>
  <c r="K51" i="19" s="1"/>
  <c r="L51" i="19" s="1"/>
  <c r="AJ51" i="19"/>
  <c r="AH51" i="19"/>
  <c r="U51" i="19"/>
  <c r="S51" i="19"/>
  <c r="AQ64" i="23" l="1"/>
  <c r="BL64" i="23"/>
  <c r="X51" i="19"/>
  <c r="H52" i="19"/>
  <c r="W51" i="19"/>
  <c r="B52" i="19"/>
  <c r="Y51" i="19" l="1"/>
  <c r="I52" i="19"/>
  <c r="V52" i="19" s="1"/>
  <c r="AE52" i="19" l="1"/>
  <c r="AM52" i="19"/>
  <c r="B53" i="19" s="1"/>
  <c r="AP52" i="19"/>
  <c r="E53" i="19" s="1"/>
  <c r="AS52" i="19"/>
  <c r="H53" i="19" s="1"/>
  <c r="AR52" i="19"/>
  <c r="G53" i="19" s="1"/>
  <c r="AO52" i="19"/>
  <c r="D53" i="19" s="1"/>
  <c r="J52" i="19"/>
  <c r="K52" i="19" s="1"/>
  <c r="L52" i="19" s="1"/>
  <c r="AT52" i="19"/>
  <c r="AU52" i="19" s="1"/>
  <c r="AJ52" i="19"/>
  <c r="U52" i="19"/>
  <c r="AH52" i="19"/>
  <c r="AC52" i="19"/>
  <c r="AF52" i="19"/>
  <c r="R52" i="19"/>
  <c r="AI52" i="19"/>
  <c r="P52" i="19"/>
  <c r="S52" i="19"/>
  <c r="I53" i="19" l="1"/>
  <c r="AC53" i="19" s="1"/>
  <c r="W52" i="19"/>
  <c r="X52" i="19"/>
  <c r="U53" i="19" l="1"/>
  <c r="R53" i="19"/>
  <c r="AH53" i="19"/>
  <c r="AE53" i="19"/>
  <c r="S53" i="19"/>
  <c r="P53" i="19"/>
  <c r="AJ53" i="19"/>
  <c r="AR53" i="19"/>
  <c r="G54" i="19" s="1"/>
  <c r="J53" i="19"/>
  <c r="K53" i="19" s="1"/>
  <c r="L53" i="19" s="1"/>
  <c r="AS53" i="19"/>
  <c r="H54" i="19" s="1"/>
  <c r="AP53" i="19"/>
  <c r="E54" i="19" s="1"/>
  <c r="AM53" i="19"/>
  <c r="B54" i="19" s="1"/>
  <c r="AO53" i="19"/>
  <c r="D54" i="19" s="1"/>
  <c r="AT53" i="19"/>
  <c r="AU53" i="19" s="1"/>
  <c r="Y52" i="19"/>
  <c r="V53" i="19"/>
  <c r="AF53" i="19"/>
  <c r="AI53" i="19"/>
  <c r="X53" i="19" l="1"/>
  <c r="W53" i="19"/>
  <c r="I54" i="19"/>
  <c r="AC54" i="19" s="1"/>
  <c r="AH54" i="19" l="1"/>
  <c r="Y53" i="19"/>
  <c r="U54" i="19"/>
  <c r="S54" i="19"/>
  <c r="AF54" i="19"/>
  <c r="R54" i="19"/>
  <c r="AE54" i="19"/>
  <c r="AI54" i="19"/>
  <c r="P54" i="19"/>
  <c r="V54" i="19"/>
  <c r="AO54" i="19"/>
  <c r="D55" i="19" s="1"/>
  <c r="AJ54" i="19"/>
  <c r="AP54" i="19"/>
  <c r="E55" i="19" s="1"/>
  <c r="AS54" i="19"/>
  <c r="H55" i="19" s="1"/>
  <c r="J54" i="19"/>
  <c r="K54" i="19" s="1"/>
  <c r="L54" i="19" s="1"/>
  <c r="AM54" i="19"/>
  <c r="B55" i="19" s="1"/>
  <c r="AT54" i="19"/>
  <c r="AU54" i="19" s="1"/>
  <c r="AR54" i="19"/>
  <c r="G55" i="19" s="1"/>
  <c r="X54" i="19" l="1"/>
  <c r="W54" i="19"/>
  <c r="I55" i="19"/>
  <c r="AI55" i="19" s="1"/>
  <c r="Y54" i="19" l="1"/>
  <c r="S55" i="19"/>
  <c r="P55" i="19"/>
  <c r="AC55" i="19"/>
  <c r="AO55" i="19"/>
  <c r="D56" i="19" s="1"/>
  <c r="AS55" i="19"/>
  <c r="H56" i="19" s="1"/>
  <c r="AM55" i="19"/>
  <c r="B56" i="19" s="1"/>
  <c r="AJ55" i="19"/>
  <c r="AP55" i="19"/>
  <c r="E56" i="19" s="1"/>
  <c r="AR55" i="19"/>
  <c r="G56" i="19" s="1"/>
  <c r="AT55" i="19"/>
  <c r="AU55" i="19" s="1"/>
  <c r="J55" i="19"/>
  <c r="K55" i="19" s="1"/>
  <c r="L55" i="19" s="1"/>
  <c r="AE55" i="19"/>
  <c r="V55" i="19"/>
  <c r="R55" i="19"/>
  <c r="U55" i="19"/>
  <c r="AF55" i="19"/>
  <c r="AH55" i="19"/>
  <c r="W55" i="19" l="1"/>
  <c r="I56" i="19"/>
  <c r="R56" i="19" s="1"/>
  <c r="X55" i="19"/>
  <c r="AI56" i="19" l="1"/>
  <c r="U56" i="19"/>
  <c r="Y55" i="19"/>
  <c r="AC56" i="19"/>
  <c r="P56" i="19"/>
  <c r="AE56" i="19"/>
  <c r="V56" i="19"/>
  <c r="AJ56" i="19"/>
  <c r="AT56" i="19"/>
  <c r="AU56" i="19" s="1"/>
  <c r="AM56" i="19"/>
  <c r="B57" i="19" s="1"/>
  <c r="AR56" i="19"/>
  <c r="G57" i="19" s="1"/>
  <c r="AP56" i="19"/>
  <c r="E57" i="19" s="1"/>
  <c r="J56" i="19"/>
  <c r="K56" i="19" s="1"/>
  <c r="L56" i="19" s="1"/>
  <c r="AO56" i="19"/>
  <c r="D57" i="19" s="1"/>
  <c r="AS56" i="19"/>
  <c r="H57" i="19" s="1"/>
  <c r="S56" i="19"/>
  <c r="AF56" i="19"/>
  <c r="AH56" i="19"/>
  <c r="I57" i="19" l="1"/>
  <c r="R57" i="19" s="1"/>
  <c r="X56" i="19"/>
  <c r="W56" i="19"/>
  <c r="AC57" i="19" l="1"/>
  <c r="S57" i="19"/>
  <c r="AF57" i="19"/>
  <c r="U57" i="19"/>
  <c r="AH57" i="19"/>
  <c r="Y56" i="19"/>
  <c r="AI57" i="19"/>
  <c r="V57" i="19"/>
  <c r="P57" i="19"/>
  <c r="AE57" i="19"/>
  <c r="AP57" i="19"/>
  <c r="E58" i="19" s="1"/>
  <c r="AS57" i="19"/>
  <c r="H58" i="19" s="1"/>
  <c r="AR57" i="19"/>
  <c r="G58" i="19" s="1"/>
  <c r="AT57" i="19"/>
  <c r="AU57" i="19" s="1"/>
  <c r="J57" i="19"/>
  <c r="K57" i="19" s="1"/>
  <c r="L57" i="19" s="1"/>
  <c r="AJ57" i="19"/>
  <c r="AO57" i="19"/>
  <c r="D58" i="19" s="1"/>
  <c r="AM57" i="19"/>
  <c r="B58" i="19" s="1"/>
  <c r="X57" i="19" l="1"/>
  <c r="W57" i="19"/>
  <c r="I58" i="19"/>
  <c r="AC58" i="19" s="1"/>
  <c r="Y57" i="19" l="1"/>
  <c r="AI58" i="19"/>
  <c r="U58" i="19"/>
  <c r="S58" i="19"/>
  <c r="R58" i="19"/>
  <c r="AH58" i="19"/>
  <c r="AF58" i="19"/>
  <c r="V58" i="19"/>
  <c r="AE58" i="19"/>
  <c r="AP58" i="19"/>
  <c r="E59" i="19" s="1"/>
  <c r="AT58" i="19"/>
  <c r="AU58" i="19" s="1"/>
  <c r="AM58" i="19"/>
  <c r="B59" i="19" s="1"/>
  <c r="AJ58" i="19"/>
  <c r="AS58" i="19"/>
  <c r="H59" i="19" s="1"/>
  <c r="AO58" i="19"/>
  <c r="D59" i="19" s="1"/>
  <c r="AR58" i="19"/>
  <c r="G59" i="19" s="1"/>
  <c r="J58" i="19"/>
  <c r="K58" i="19" s="1"/>
  <c r="L58" i="19" s="1"/>
  <c r="P58" i="19"/>
  <c r="X58" i="19" l="1"/>
  <c r="W58" i="19"/>
  <c r="I59" i="19"/>
  <c r="AC59" i="19" s="1"/>
  <c r="P59" i="19" l="1"/>
  <c r="R59" i="19"/>
  <c r="Y58" i="19"/>
  <c r="AT59" i="19"/>
  <c r="AU59" i="19" s="1"/>
  <c r="J59" i="19"/>
  <c r="AM59" i="19"/>
  <c r="B60" i="19" s="1"/>
  <c r="AO59" i="19"/>
  <c r="D60" i="19" s="1"/>
  <c r="AJ59" i="19"/>
  <c r="AP59" i="19"/>
  <c r="E60" i="19" s="1"/>
  <c r="AS59" i="19"/>
  <c r="H60" i="19" s="1"/>
  <c r="AR59" i="19"/>
  <c r="G60" i="19" s="1"/>
  <c r="AI59" i="19"/>
  <c r="S59" i="19"/>
  <c r="V59" i="19"/>
  <c r="U59" i="19"/>
  <c r="AF59" i="19"/>
  <c r="AH59" i="19"/>
  <c r="AE59" i="19"/>
  <c r="AA59" i="19" l="1"/>
  <c r="W59" i="19"/>
  <c r="K59" i="19"/>
  <c r="L59" i="19" s="1"/>
  <c r="I60" i="19"/>
  <c r="AH60" i="19" s="1"/>
  <c r="X59" i="19"/>
  <c r="U60" i="19" l="1"/>
  <c r="AC60" i="19"/>
  <c r="AF60" i="19"/>
  <c r="R60" i="19"/>
  <c r="S60" i="19"/>
  <c r="AE60" i="19"/>
  <c r="AI60" i="19"/>
  <c r="Y59" i="19"/>
  <c r="V60" i="19"/>
  <c r="AR60" i="19"/>
  <c r="G61" i="19" s="1"/>
  <c r="AJ60" i="19"/>
  <c r="AO60" i="19"/>
  <c r="D61" i="19" s="1"/>
  <c r="AM60" i="19"/>
  <c r="B61" i="19" s="1"/>
  <c r="AS60" i="19"/>
  <c r="H61" i="19" s="1"/>
  <c r="AP60" i="19"/>
  <c r="E61" i="19" s="1"/>
  <c r="AT60" i="19"/>
  <c r="AU60" i="19" s="1"/>
  <c r="J60" i="19"/>
  <c r="P60" i="19"/>
  <c r="W60" i="19" l="1"/>
  <c r="X60" i="19"/>
  <c r="K60" i="19"/>
  <c r="I69" i="19"/>
  <c r="I10" i="8" s="1"/>
  <c r="I61" i="19"/>
  <c r="AE61" i="19" s="1"/>
  <c r="Y60" i="19" l="1"/>
  <c r="P61" i="19"/>
  <c r="V61" i="19"/>
  <c r="AP61" i="19"/>
  <c r="E62" i="19" s="1"/>
  <c r="AT61" i="19"/>
  <c r="AU61" i="19" s="1"/>
  <c r="AO61" i="19"/>
  <c r="D62" i="19" s="1"/>
  <c r="AJ61" i="19"/>
  <c r="AS61" i="19"/>
  <c r="H62" i="19" s="1"/>
  <c r="AM61" i="19"/>
  <c r="B62" i="19" s="1"/>
  <c r="AR61" i="19"/>
  <c r="G62" i="19" s="1"/>
  <c r="J61" i="19"/>
  <c r="AF61" i="19"/>
  <c r="S61" i="19"/>
  <c r="R61" i="19"/>
  <c r="U61" i="19"/>
  <c r="AC61" i="19"/>
  <c r="AI61" i="19"/>
  <c r="I70" i="19"/>
  <c r="I11" i="8" s="1"/>
  <c r="L60" i="19"/>
  <c r="AH61" i="19"/>
  <c r="I66" i="26" l="1"/>
  <c r="I75" i="26"/>
  <c r="W61" i="19"/>
  <c r="I62" i="19"/>
  <c r="X61" i="19"/>
  <c r="K61" i="19"/>
  <c r="L61" i="19" s="1"/>
  <c r="Y61" i="19" l="1"/>
  <c r="S62" i="19"/>
  <c r="I74" i="19"/>
  <c r="I75" i="19"/>
  <c r="R62" i="19"/>
  <c r="AF62" i="19"/>
  <c r="I68" i="26"/>
  <c r="I67" i="26"/>
  <c r="I75" i="23"/>
  <c r="Z65" i="23"/>
  <c r="I66" i="23" s="1"/>
  <c r="I22" i="8" s="1"/>
  <c r="P62" i="19"/>
  <c r="AC62" i="19"/>
  <c r="AI62" i="19"/>
  <c r="V62" i="19"/>
  <c r="U62" i="19"/>
  <c r="X62" i="19" s="1"/>
  <c r="AH62" i="19"/>
  <c r="AE62" i="19"/>
  <c r="AS62" i="19"/>
  <c r="H63" i="19" s="1"/>
  <c r="AM62" i="19"/>
  <c r="B63" i="19" s="1"/>
  <c r="AR62" i="19"/>
  <c r="G63" i="19" s="1"/>
  <c r="AT62" i="19"/>
  <c r="AU62" i="19" s="1"/>
  <c r="J62" i="19"/>
  <c r="AJ62" i="19"/>
  <c r="AP62" i="19"/>
  <c r="E63" i="19" s="1"/>
  <c r="AO62" i="19"/>
  <c r="D63" i="19" s="1"/>
  <c r="I76" i="19" l="1"/>
  <c r="I68" i="23"/>
  <c r="I24" i="8" s="1"/>
  <c r="I67" i="23"/>
  <c r="I23" i="8" s="1"/>
  <c r="W62" i="19"/>
  <c r="Y62" i="19" s="1"/>
  <c r="K62" i="19"/>
  <c r="L62" i="19" s="1"/>
  <c r="I63" i="19"/>
  <c r="U63" i="19" s="1"/>
  <c r="I65" i="26" l="1"/>
  <c r="AC63" i="19"/>
  <c r="P63" i="19"/>
  <c r="V63" i="19"/>
  <c r="AI63" i="19"/>
  <c r="AH63" i="19"/>
  <c r="AP63" i="19"/>
  <c r="E64" i="19" s="1"/>
  <c r="E65" i="19" s="1"/>
  <c r="AS63" i="19"/>
  <c r="H64" i="19" s="1"/>
  <c r="H65" i="19" s="1"/>
  <c r="AO63" i="19"/>
  <c r="D64" i="19" s="1"/>
  <c r="D65" i="19" s="1"/>
  <c r="AR63" i="19"/>
  <c r="G64" i="19" s="1"/>
  <c r="G65" i="19" s="1"/>
  <c r="AM63" i="19"/>
  <c r="B64" i="19" s="1"/>
  <c r="B65" i="19" s="1"/>
  <c r="AT63" i="19"/>
  <c r="AU63" i="19" s="1"/>
  <c r="J63" i="19"/>
  <c r="K63" i="19" s="1"/>
  <c r="L63" i="19" s="1"/>
  <c r="AJ63" i="19"/>
  <c r="R63" i="19"/>
  <c r="AF63" i="19"/>
  <c r="S63" i="19"/>
  <c r="AE63" i="19"/>
  <c r="I76" i="26" l="1"/>
  <c r="I77" i="26"/>
  <c r="I73" i="26"/>
  <c r="I72" i="26"/>
  <c r="I65" i="23"/>
  <c r="W63" i="19"/>
  <c r="I64" i="19"/>
  <c r="X63" i="19"/>
  <c r="I21" i="8" l="1"/>
  <c r="I76" i="23"/>
  <c r="I77" i="23"/>
  <c r="I29" i="8" s="1"/>
  <c r="I78" i="26"/>
  <c r="S64" i="19"/>
  <c r="R64" i="19"/>
  <c r="AH64" i="19"/>
  <c r="U64" i="19"/>
  <c r="AE64" i="19"/>
  <c r="AC64" i="19"/>
  <c r="I73" i="23"/>
  <c r="I72" i="23"/>
  <c r="AI64" i="19"/>
  <c r="Y63" i="19"/>
  <c r="V64" i="19"/>
  <c r="P64" i="19"/>
  <c r="AP64" i="19"/>
  <c r="AT64" i="19"/>
  <c r="AU64" i="19" s="1"/>
  <c r="AO64" i="19"/>
  <c r="AJ64" i="19"/>
  <c r="AR64" i="19"/>
  <c r="AM64" i="19"/>
  <c r="J64" i="19"/>
  <c r="K64" i="19" s="1"/>
  <c r="L64" i="19" s="1"/>
  <c r="AS64" i="19"/>
  <c r="AF64" i="19"/>
  <c r="I78" i="23" l="1"/>
  <c r="I28" i="8"/>
  <c r="I30" i="8" s="1"/>
  <c r="X64" i="19"/>
  <c r="W64" i="19"/>
  <c r="Y64" i="19" s="1"/>
  <c r="I67" i="19" l="1"/>
  <c r="I8" i="8" s="1"/>
  <c r="I73" i="19"/>
  <c r="I14" i="8"/>
  <c r="I65" i="19" l="1"/>
  <c r="I71" i="19" s="1"/>
  <c r="I6" i="8" l="1"/>
  <c r="I72" i="19"/>
  <c r="I66" i="19"/>
  <c r="I7" i="8" l="1"/>
  <c r="I68" i="19"/>
  <c r="I9" i="8" s="1"/>
</calcChain>
</file>

<file path=xl/sharedStrings.xml><?xml version="1.0" encoding="utf-8"?>
<sst xmlns="http://schemas.openxmlformats.org/spreadsheetml/2006/main" count="677" uniqueCount="178">
  <si>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</si>
  <si>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</si>
  <si>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Adjust return and standard deviation calculations to reflect addition of new year</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</si>
  <si>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</si>
  <si>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4. Panic Grid</t>
  </si>
  <si>
    <t>Balance Check</t>
    <phoneticPr fontId="11" type="noConversion"/>
  </si>
  <si>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</si>
  <si>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6. Allocations Test - False Values Signal Rebalancing Needed</t>
  </si>
  <si>
    <t>Used for rebalancing the portfolio. Numbers pull from Table 4 unless rebalancing is necessary. If rebalancing is necessary, allocations are adjusted back to targets for all funds. Rebalanced cells are shaded in blue. Balance check should always equal $0.00</t>
  </si>
  <si>
    <t>6. Panic Grid</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</si>
  <si>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</si>
  <si>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</si>
  <si>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</si>
  <si>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</si>
  <si>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</si>
  <si>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</si>
  <si>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</si>
  <si>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</si>
  <si>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</si>
  <si>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</si>
  <si>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</si>
  <si>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</si>
  <si>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</si>
  <si>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1A</t>
  </si>
  <si>
    <t>CPI Data downloaded from Econostats. Most current data is preliminary; all other is end of year</t>
  </si>
  <si>
    <t>3. Withdrawal Amount</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</si>
  <si>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</si>
  <si>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</si>
  <si>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</si>
  <si>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</si>
  <si>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</si>
  <si>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When a new year of data is added, new rows must be added to all spreadsheets</t>
  </si>
  <si>
    <t>All items shaded in Orange are manually adjusted; all other are based on formulas</t>
  </si>
  <si>
    <t>Rebalancing is done manually; including blue shading of cells</t>
  </si>
  <si>
    <t>Portfolio Strategy</t>
  </si>
  <si>
    <t>Rebalance at 5% Thresholds</t>
  </si>
  <si>
    <t>Total Return</t>
  </si>
  <si>
    <t>Annualized Return</t>
  </si>
  <si>
    <t>Largest Annual Loss</t>
  </si>
  <si>
    <t>Non-Rebalanced Portfolio</t>
  </si>
  <si>
    <t>Final</t>
  </si>
  <si>
    <t>CPI</t>
  </si>
  <si>
    <t>Total Withdrawals</t>
  </si>
  <si>
    <t>Return data from Morningstar; available in truncated form in AAII's Mutual Fund Guide</t>
  </si>
  <si>
    <t>CPI  (CPI-U - US city average all urban consumers ) seas adj data used</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</si>
  <si>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</si>
  <si>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</si>
  <si>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</si>
  <si>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Year</t>
  </si>
  <si>
    <t>1. Return Data from Morningstar</t>
  </si>
  <si>
    <t>LC Stocks</t>
  </si>
  <si>
    <t>Ext Mkt</t>
  </si>
  <si>
    <t>Mcap Stk</t>
  </si>
  <si>
    <t>Small Cap</t>
  </si>
  <si>
    <t>VFINX</t>
  </si>
  <si>
    <t>VEXMX</t>
  </si>
  <si>
    <t>VIMSX</t>
  </si>
  <si>
    <t>NAESX</t>
  </si>
  <si>
    <t>Small Cap (NAESX) data available from 1988, but not Mid Cap (VIMSX)</t>
  </si>
  <si>
    <t>Extended Market (VEXMX) has both mid &amp; small-cap stocks; rotated out of it when VIMSX available</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</si>
  <si>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</si>
  <si>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</si>
  <si>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</si>
  <si>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</si>
  <si>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</si>
  <si>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</si>
  <si>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</si>
  <si>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</si>
  <si>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</si>
  <si>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</si>
  <si>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</si>
  <si>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</si>
  <si>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</si>
  <si>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</si>
  <si>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</si>
  <si>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</si>
  <si>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</si>
  <si>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</si>
  <si>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</si>
  <si>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</si>
  <si>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</si>
  <si>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</si>
  <si>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</si>
  <si>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</si>
  <si>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</si>
  <si>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</si>
  <si>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</si>
  <si>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</si>
  <si>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</si>
  <si>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</si>
  <si>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</si>
  <si>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</si>
  <si>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</si>
  <si>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</si>
  <si>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</si>
  <si>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1988 first calendar year with full-year data for VEXMX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</si>
  <si>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</si>
  <si>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</si>
  <si>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</si>
  <si>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</si>
  <si>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</si>
  <si>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</si>
  <si>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</si>
  <si>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</si>
  <si>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</si>
  <si>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Ending Equity Allocation</t>
  </si>
  <si>
    <t>Ending Fixed-Income Allocation</t>
  </si>
  <si>
    <t>Allocation Check</t>
  </si>
  <si>
    <t>Rebalance vs Panic</t>
  </si>
  <si>
    <t>No Change vs Panic</t>
  </si>
  <si>
    <t>Rebalance vs Not Rebalancing</t>
  </si>
  <si>
    <t>Equity</t>
  </si>
  <si>
    <t>Allocation</t>
  </si>
  <si>
    <t>Starting</t>
  </si>
  <si>
    <t>Panic and Sell When S&amp;P 500 Falls &gt; 20%</t>
  </si>
  <si>
    <t>Table 1. Performance of the Three Strategies</t>
  </si>
  <si>
    <t>2. Rebalanced Strategy (5% Triggers) - End of Year Balance</t>
  </si>
  <si>
    <t>4. Rebalanced Strategy - Withdrawal Equal Amounts from All Funds</t>
  </si>
  <si>
    <t>5. Rebalanced Strategy - Annual Allocations</t>
  </si>
  <si>
    <t>7. Rebalanced Strategy (5% Triggers) - Rebalance Grid</t>
  </si>
  <si>
    <t>2. Panic Strategy - End of Year Balance</t>
  </si>
  <si>
    <t>4. Panic Strategy - Withdrawal Equal Amounts from All Funds</t>
  </si>
  <si>
    <t>5. Panic Strategy - Annual Allocations</t>
  </si>
  <si>
    <t>2. Non-Rebalanced Strategy - End of Year Balance</t>
  </si>
  <si>
    <t>4. Non-Rebalanced Strategy - Withdrawal Equal Amounts from All Funds</t>
  </si>
  <si>
    <t>3. Panic Strategy - Annual Allocations</t>
  </si>
  <si>
    <t>3. Allocations prior to Rebalancing</t>
  </si>
  <si>
    <t>No Rebalancing</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</si>
  <si>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</si>
  <si>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Portfolio allocations - per fund dollar amount divided by portfolio's total balance</t>
  </si>
  <si>
    <t>3. Non-Rebalanced Strategy Annual Allocations</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</si>
  <si>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</si>
  <si>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</si>
  <si>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</si>
  <si>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</si>
  <si>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(table 4) times fund return for current year (table 1). 1988 end of year balance based solely on annual fund performance. Manually adjust standard deviation for number of periods</t>
  </si>
  <si>
    <t>Post-withdrawal portfolio allocations - per fund dollar amount divided by portfolio's total balance from Table 4.</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</si>
  <si>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</si>
  <si>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5. Non-Rebalanced Strategy - Annual Allocations</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</si>
  <si>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</si>
  <si>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</si>
  <si>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https://research.stlouisfed.org/fred2/series/CPIAUCSL</t>
  </si>
  <si>
    <t>Panic and Selll When S&amp;P 500 Falls +20%</t>
  </si>
  <si>
    <t>CPI Data from Econostats thru 2013, data from FRED for 2014 forward used</t>
  </si>
  <si>
    <t>1A. CPI Data</t>
  </si>
  <si>
    <t>Reduction in Volatility:</t>
  </si>
  <si>
    <t>Difference in Returns:</t>
  </si>
  <si>
    <t>Withdrawal Check</t>
  </si>
  <si>
    <t>Gain/Loss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</si>
  <si>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</si>
  <si>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</si>
  <si>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</si>
  <si>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Periods</t>
  </si>
  <si>
    <t>Rebalance vs No Rebalancing</t>
  </si>
  <si>
    <t>Rebalancing Annually</t>
  </si>
  <si>
    <t>7. Annual Rebalance - Rebalance Grid</t>
  </si>
  <si>
    <t>2. Annual Rebalance (5% Triggers) - End of Year Balance</t>
  </si>
  <si>
    <t>4. Annual Rebalance - Withdrawal Equal Amounts from All Funds</t>
  </si>
  <si>
    <t>5. Annual Rebalance - Annual Allocations</t>
  </si>
  <si>
    <t>Number of Years</t>
  </si>
  <si>
    <t>Times Rebalanced</t>
  </si>
  <si>
    <t>Total Years</t>
  </si>
  <si>
    <t>Average Years between Rebalancing</t>
  </si>
  <si>
    <t>4. Non-Rebalanced Strategy - Withdrawal Annually</t>
  </si>
  <si>
    <t>4.5% &amp; 4% Withdrawals-No Rebalancing</t>
  </si>
  <si>
    <t>4.5% and 4% Withdrawals-Rebalancing</t>
  </si>
  <si>
    <t>Withdrawal amount starts at 4.5% (4%) of year-end 1988 balance. Initial amount is adjusted upwards annually based on change in CPI using data in Table 1A</t>
  </si>
  <si>
    <t>Withdrawal amount starts at 4.5% (4%) of year-end 1988 balance. Initial amount is adjusted upwards annually based on change in CPI using data in Table 1A.</t>
  </si>
  <si>
    <t>4.5% and 4% Withdrawals-Panic</t>
  </si>
  <si>
    <t>CPI Data pulled from 4.5% Withdrawals - No Rebalancing tab.</t>
  </si>
  <si>
    <t>4.5% Withdrawals-60-40 Portfolio</t>
  </si>
  <si>
    <t xml:space="preserve">Annual balances calculated using end of year post-withdrawal data for previous years times fund returns for current year (Table 4), since all data beyond 1988 factors in withdrawals. 1988 returns are pre-withdrawals. Returns calculated before annual rebalancing back to a 60/40 allocation for each year. Starting values for 1989 and beyond are from Table 6, and reflect any adjustments for panicking. Largest drawdown and worse return calculated before withdrawals to show impact of market on the portfolio. </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</si>
  <si>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</si>
  <si>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</si>
  <si>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</si>
  <si>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4. Annual Rebalance - Withdrawal Proportionately from both Funds</t>
  </si>
  <si>
    <t>Non-Withdrawal Portfolio Results (1989 - 2013)</t>
  </si>
  <si>
    <t>Withdrawal Portfolio Results (1989 - 2013)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</si>
</sst>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84">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0" borderId="0" xfId="0" applyNumberFormat="1" applyFill="1"/>
    <xf numFmtId="164" fontId="0" fillId="9"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2"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0" fillId="0" borderId="0" xfId="0" applyFill="1" applyAlignment="1">
      <alignment horizontal="center"/>
    </xf>
    <xf numFmtId="0" fontId="0" fillId="8" borderId="0" xfId="0" applyFill="1" applyAlignment="1">
      <alignment horizontal="right" wrapText="1"/>
    </xf>
    <xf numFmtId="8" fontId="0" fillId="0" borderId="0" xfId="0" applyNumberFormat="1"/>
    <xf numFmtId="0" fontId="0" fillId="0" borderId="1" xfId="0" applyBorder="1"/>
    <xf numFmtId="1" fontId="0" fillId="2" borderId="0" xfId="0" applyNumberFormat="1" applyFill="1"/>
    <xf numFmtId="0" fontId="0" fillId="0" borderId="0" xfId="0" applyFill="1" applyAlignment="1">
      <alignment horizontal="right" wrapText="1"/>
    </xf>
    <xf numFmtId="0" fontId="0" fillId="0" borderId="0" xfId="0" applyFont="1"/>
    <xf numFmtId="164" fontId="0" fillId="0" borderId="0" xfId="0" applyNumberFormat="1" applyFont="1"/>
    <xf numFmtId="0" fontId="13" fillId="0" borderId="0" xfId="0" applyFont="1"/>
    <xf numFmtId="0" fontId="0" fillId="0" borderId="0" xfId="1" applyNumberFormat="1" applyFont="1"/>
    <xf numFmtId="10" fontId="5" fillId="0" borderId="0" xfId="0" applyNumberFormat="1" applyFont="1"/>
    <xf numFmtId="0" fontId="0" fillId="0" borderId="1" xfId="0" applyFill="1" applyBorder="1" applyAlignment="1">
      <alignment horizontal="right"/>
    </xf>
    <xf numFmtId="9" fontId="0" fillId="0" borderId="0" xfId="1" applyFon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6.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Staying</a:t>
            </a:r>
            <a:r>
              <a:rPr lang="en-US" baseline="0"/>
              <a:t> Invested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marker>
            <c:symbol val="none"/>
          </c:marker>
          <c:cat>
            <c:strRef>
              <c:f>'Chart Data'!$A$2:$A$31</c:f>
              <c:strCache>
                <c:ptCount val="26"/>
                <c:pt idx="0">
                  <c:v>Starting</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strCache>
            </c:strRef>
          </c:cat>
          <c:val>
            <c:numRef>
              <c:f>'Chart Data'!$B$2:$B$31</c:f>
              <c:numCache>
                <c:formatCode>"$"#,##0_);[Red]\("$"#,##0\)</c:formatCode>
                <c:ptCount val="30"/>
                <c:pt idx="0">
                  <c:v>100000</c:v>
                </c:pt>
                <c:pt idx="1">
                  <c:v>122787</c:v>
                </c:pt>
                <c:pt idx="2">
                  <c:v>116546.13372</c:v>
                </c:pt>
                <c:pt idx="3">
                  <c:v>145463.50921828483</c:v>
                </c:pt>
                <c:pt idx="4">
                  <c:v>154504.58746941286</c:v>
                </c:pt>
                <c:pt idx="5">
                  <c:v>178186.74162754952</c:v>
                </c:pt>
                <c:pt idx="6">
                  <c:v>178418.04250391418</c:v>
                </c:pt>
                <c:pt idx="7">
                  <c:v>221994.48808903457</c:v>
                </c:pt>
                <c:pt idx="8">
                  <c:v>251957.6383803061</c:v>
                </c:pt>
                <c:pt idx="9">
                  <c:v>295599.47288179735</c:v>
                </c:pt>
                <c:pt idx="10">
                  <c:v>336783.86944105383</c:v>
                </c:pt>
                <c:pt idx="11">
                  <c:v>389723.97554802371</c:v>
                </c:pt>
                <c:pt idx="12">
                  <c:v>396876.57967125659</c:v>
                </c:pt>
                <c:pt idx="13">
                  <c:v>386796.25243829348</c:v>
                </c:pt>
                <c:pt idx="14">
                  <c:v>348532.81996208779</c:v>
                </c:pt>
                <c:pt idx="15">
                  <c:v>440371.9150877379</c:v>
                </c:pt>
                <c:pt idx="16">
                  <c:v>500472.55294316716</c:v>
                </c:pt>
                <c:pt idx="17">
                  <c:v>543656.17311463179</c:v>
                </c:pt>
                <c:pt idx="18">
                  <c:v>623718.12761750375</c:v>
                </c:pt>
                <c:pt idx="19">
                  <c:v>670984.73476461344</c:v>
                </c:pt>
                <c:pt idx="20">
                  <c:v>490794.74714169558</c:v>
                </c:pt>
                <c:pt idx="21">
                  <c:v>618783.21971181268</c:v>
                </c:pt>
                <c:pt idx="22">
                  <c:v>715793.92341834994</c:v>
                </c:pt>
                <c:pt idx="23">
                  <c:v>708979.56526740734</c:v>
                </c:pt>
                <c:pt idx="24">
                  <c:v>798308.92900460109</c:v>
                </c:pt>
                <c:pt idx="25">
                  <c:v>956712.40579277393</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marker>
            <c:symbol val="none"/>
          </c:marker>
          <c:cat>
            <c:strRef>
              <c:f>'Chart Data'!$A$2:$A$31</c:f>
              <c:strCache>
                <c:ptCount val="26"/>
                <c:pt idx="0">
                  <c:v>Starting</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strCache>
            </c:strRef>
          </c:cat>
          <c:val>
            <c:numRef>
              <c:f>'Chart Data'!$C$2:$C$31</c:f>
              <c:numCache>
                <c:formatCode>"$"#,##0_);[Red]\("$"#,##0\)</c:formatCode>
                <c:ptCount val="30"/>
                <c:pt idx="0">
                  <c:v>100000</c:v>
                </c:pt>
                <c:pt idx="1">
                  <c:v>122787</c:v>
                </c:pt>
                <c:pt idx="2">
                  <c:v>116546.13372</c:v>
                </c:pt>
                <c:pt idx="3">
                  <c:v>145463.50921828483</c:v>
                </c:pt>
                <c:pt idx="4">
                  <c:v>154504.58746941286</c:v>
                </c:pt>
                <c:pt idx="5">
                  <c:v>176608.66724344523</c:v>
                </c:pt>
                <c:pt idx="6">
                  <c:v>176225.39734800762</c:v>
                </c:pt>
                <c:pt idx="7">
                  <c:v>222241.85209375882</c:v>
                </c:pt>
                <c:pt idx="8">
                  <c:v>253702.60507935967</c:v>
                </c:pt>
                <c:pt idx="9">
                  <c:v>305324.39689888142</c:v>
                </c:pt>
                <c:pt idx="10">
                  <c:v>351672.25701131404</c:v>
                </c:pt>
                <c:pt idx="11">
                  <c:v>410066.25200145633</c:v>
                </c:pt>
                <c:pt idx="12">
                  <c:v>412988.52260292647</c:v>
                </c:pt>
                <c:pt idx="13">
                  <c:v>396098.8592864963</c:v>
                </c:pt>
                <c:pt idx="14">
                  <c:v>346438.36853564344</c:v>
                </c:pt>
                <c:pt idx="15">
                  <c:v>438638.66526498587</c:v>
                </c:pt>
                <c:pt idx="16">
                  <c:v>501767.63815479178</c:v>
                </c:pt>
                <c:pt idx="17">
                  <c:v>545143.57363147254</c:v>
                </c:pt>
                <c:pt idx="18">
                  <c:v>621939.45364231581</c:v>
                </c:pt>
                <c:pt idx="19">
                  <c:v>662544.53735884395</c:v>
                </c:pt>
                <c:pt idx="20">
                  <c:v>449478.09158818517</c:v>
                </c:pt>
                <c:pt idx="21">
                  <c:v>571545.187679208</c:v>
                </c:pt>
                <c:pt idx="22">
                  <c:v>671609.00939374988</c:v>
                </c:pt>
                <c:pt idx="23">
                  <c:v>666148.08930437255</c:v>
                </c:pt>
                <c:pt idx="24">
                  <c:v>758036.97221331566</c:v>
                </c:pt>
                <c:pt idx="25">
                  <c:v>949817.42316627817</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marker>
            <c:symbol val="none"/>
          </c:marker>
          <c:cat>
            <c:strRef>
              <c:f>'Chart Data'!$A$2:$A$31</c:f>
              <c:strCache>
                <c:ptCount val="26"/>
                <c:pt idx="0">
                  <c:v>Starting</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strCache>
            </c:strRef>
          </c:cat>
          <c:val>
            <c:numRef>
              <c:f>'Chart Data'!$D$2:$D$31</c:f>
              <c:numCache>
                <c:formatCode>"$"#,##0_);[Red]\("$"#,##0\)</c:formatCode>
                <c:ptCount val="30"/>
                <c:pt idx="0">
                  <c:v>100000</c:v>
                </c:pt>
                <c:pt idx="1">
                  <c:v>122787</c:v>
                </c:pt>
                <c:pt idx="2">
                  <c:v>116546.13372</c:v>
                </c:pt>
                <c:pt idx="3">
                  <c:v>145463.50921828483</c:v>
                </c:pt>
                <c:pt idx="4">
                  <c:v>154504.58746941286</c:v>
                </c:pt>
                <c:pt idx="5">
                  <c:v>176608.66724344523</c:v>
                </c:pt>
                <c:pt idx="6">
                  <c:v>176225.39734800762</c:v>
                </c:pt>
                <c:pt idx="7">
                  <c:v>222241.85209375882</c:v>
                </c:pt>
                <c:pt idx="8">
                  <c:v>253702.60507935967</c:v>
                </c:pt>
                <c:pt idx="9">
                  <c:v>301936.39544827887</c:v>
                </c:pt>
                <c:pt idx="10">
                  <c:v>347755.62569437403</c:v>
                </c:pt>
                <c:pt idx="11">
                  <c:v>393702.04432097776</c:v>
                </c:pt>
                <c:pt idx="12">
                  <c:v>396185.03745670873</c:v>
                </c:pt>
                <c:pt idx="13">
                  <c:v>380087.0158797864</c:v>
                </c:pt>
                <c:pt idx="14">
                  <c:v>332992.96320673812</c:v>
                </c:pt>
                <c:pt idx="15">
                  <c:v>346212.78384604567</c:v>
                </c:pt>
                <c:pt idx="16">
                  <c:v>393462.86594700249</c:v>
                </c:pt>
                <c:pt idx="17">
                  <c:v>427413.08130788518</c:v>
                </c:pt>
                <c:pt idx="18">
                  <c:v>490356.40534586838</c:v>
                </c:pt>
                <c:pt idx="19">
                  <c:v>529460.81774374098</c:v>
                </c:pt>
                <c:pt idx="20">
                  <c:v>370437.69557478395</c:v>
                </c:pt>
                <c:pt idx="21">
                  <c:v>392404.65092236863</c:v>
                </c:pt>
                <c:pt idx="22">
                  <c:v>451249.65237468708</c:v>
                </c:pt>
                <c:pt idx="23">
                  <c:v>446319.00710048946</c:v>
                </c:pt>
                <c:pt idx="24">
                  <c:v>503857.40615481196</c:v>
                </c:pt>
                <c:pt idx="25">
                  <c:v>608899.08913829445</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crossAx val="182273624"/>
        <c:crosses val="autoZero"/>
        <c:crossBetween val="between"/>
        <c:majorUnit val="100000"/>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956712.40579277393</c:v>
                </c:pt>
                <c:pt idx="1">
                  <c:v>608899.08913829445</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219"/>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60592"/>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zoomScale="60"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61400" cy="6286500"/>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opLeftCell="A71" workbookViewId="0">
      <selection activeCell="A80" sqref="A80"/>
    </sheetView>
  </sheetViews>
  <sheetFormatPr baseColWidth="10" defaultColWidth="8.83203125" defaultRowHeight="15" x14ac:dyDescent="0.2"/>
  <cols>
    <col min="2" max="2" width="84.1640625" style="8" customWidth="1"/>
    <col min="4" max="4" width="60.5" customWidth="1"/>
  </cols>
  <sheetData>
    <row r="1" spans="1:4" x14ac:dyDescent="0.2">
      <c r="A1" s="20" t="s">
        <v>91</v>
      </c>
    </row>
    <row r="3" spans="1:4" x14ac:dyDescent="0.2">
      <c r="A3" s="53" t="s">
        <v>30</v>
      </c>
    </row>
    <row r="4" spans="1:4" x14ac:dyDescent="0.2">
      <c r="A4" t="s">
        <v>31</v>
      </c>
    </row>
    <row r="5" spans="1:4" x14ac:dyDescent="0.2">
      <c r="A5" t="s">
        <v>2</v>
      </c>
    </row>
    <row r="6" spans="1:4" x14ac:dyDescent="0.2">
      <c r="A6" t="s">
        <v>32</v>
      </c>
    </row>
    <row r="7" spans="1:4" x14ac:dyDescent="0.2">
      <c r="A7" t="s">
        <v>33</v>
      </c>
    </row>
    <row r="8" spans="1:4" x14ac:dyDescent="0.2">
      <c r="A8" t="s">
        <v>46</v>
      </c>
    </row>
    <row r="9" spans="1:4" x14ac:dyDescent="0.2">
      <c r="A9" t="s">
        <v>47</v>
      </c>
    </row>
    <row r="10" spans="1:4" x14ac:dyDescent="0.2">
      <c r="A10" t="s">
        <v>15</v>
      </c>
    </row>
    <row r="11" spans="1:4" x14ac:dyDescent="0.2">
      <c r="A11" t="s">
        <v>16</v>
      </c>
    </row>
    <row r="14" spans="1:4" x14ac:dyDescent="0.2">
      <c r="A14" s="54" t="s">
        <v>39</v>
      </c>
    </row>
    <row r="15" spans="1:4" x14ac:dyDescent="0.2">
      <c r="A15" s="34" t="s">
        <v>89</v>
      </c>
    </row>
    <row r="16" spans="1:4" ht="30" x14ac:dyDescent="0.2">
      <c r="A16" s="34">
        <v>1</v>
      </c>
      <c r="B16" s="8" t="s">
        <v>92</v>
      </c>
      <c r="C16" s="34"/>
      <c r="D16" s="8"/>
    </row>
    <row r="17" spans="1:4" ht="30" x14ac:dyDescent="0.2">
      <c r="A17" s="34">
        <v>2</v>
      </c>
      <c r="B17" s="8" t="s">
        <v>14</v>
      </c>
      <c r="C17" s="34"/>
      <c r="D17" s="8"/>
    </row>
    <row r="18" spans="1:4" x14ac:dyDescent="0.2">
      <c r="A18" s="34">
        <v>3</v>
      </c>
      <c r="B18" s="8" t="s">
        <v>129</v>
      </c>
      <c r="C18" s="34"/>
      <c r="D18" s="8"/>
    </row>
    <row r="19" spans="1:4" x14ac:dyDescent="0.2">
      <c r="A19" s="34"/>
    </row>
    <row r="20" spans="1:4" x14ac:dyDescent="0.2">
      <c r="A20" s="34"/>
    </row>
    <row r="21" spans="1:4" x14ac:dyDescent="0.2">
      <c r="A21" s="55" t="s">
        <v>17</v>
      </c>
    </row>
    <row r="22" spans="1:4" x14ac:dyDescent="0.2">
      <c r="A22" s="34" t="s">
        <v>89</v>
      </c>
    </row>
    <row r="23" spans="1:4" x14ac:dyDescent="0.2">
      <c r="A23" s="34">
        <v>1</v>
      </c>
      <c r="B23" s="8" t="s">
        <v>131</v>
      </c>
      <c r="C23" s="34"/>
      <c r="D23" s="8"/>
    </row>
    <row r="24" spans="1:4" ht="45" x14ac:dyDescent="0.2">
      <c r="A24" s="34">
        <v>2</v>
      </c>
      <c r="B24" s="8" t="s">
        <v>132</v>
      </c>
      <c r="C24" s="34"/>
      <c r="D24" s="8"/>
    </row>
    <row r="25" spans="1:4" ht="45" x14ac:dyDescent="0.2">
      <c r="A25" s="34">
        <v>3</v>
      </c>
      <c r="B25" s="8" t="s">
        <v>128</v>
      </c>
      <c r="C25" s="34"/>
      <c r="D25" s="8"/>
    </row>
    <row r="26" spans="1:4" ht="30" x14ac:dyDescent="0.2">
      <c r="A26" s="34">
        <v>4</v>
      </c>
      <c r="B26" s="8" t="s">
        <v>19</v>
      </c>
      <c r="C26" s="34"/>
      <c r="D26" s="8"/>
    </row>
    <row r="27" spans="1:4" ht="45" x14ac:dyDescent="0.2">
      <c r="A27" s="34">
        <v>5</v>
      </c>
      <c r="B27" s="8" t="s">
        <v>20</v>
      </c>
      <c r="C27" s="34"/>
      <c r="D27" s="8"/>
    </row>
    <row r="28" spans="1:4" x14ac:dyDescent="0.2">
      <c r="A28" s="34"/>
    </row>
    <row r="29" spans="1:4" x14ac:dyDescent="0.2">
      <c r="A29" s="34"/>
    </row>
    <row r="30" spans="1:4" x14ac:dyDescent="0.2">
      <c r="A30" s="34"/>
    </row>
    <row r="31" spans="1:4" x14ac:dyDescent="0.2">
      <c r="A31" s="55" t="s">
        <v>22</v>
      </c>
    </row>
    <row r="32" spans="1:4" x14ac:dyDescent="0.2">
      <c r="A32" s="34" t="s">
        <v>89</v>
      </c>
    </row>
    <row r="33" spans="1:4" x14ac:dyDescent="0.2">
      <c r="A33" s="34">
        <v>1</v>
      </c>
      <c r="B33" s="8" t="s">
        <v>131</v>
      </c>
      <c r="C33" s="34"/>
      <c r="D33" s="8"/>
    </row>
    <row r="34" spans="1:4" ht="45" x14ac:dyDescent="0.2">
      <c r="A34" s="34">
        <v>2</v>
      </c>
      <c r="B34" s="8" t="s">
        <v>135</v>
      </c>
      <c r="C34" s="34"/>
      <c r="D34" s="8"/>
    </row>
    <row r="35" spans="1:4" ht="45" x14ac:dyDescent="0.2">
      <c r="A35" s="34">
        <v>3</v>
      </c>
      <c r="B35" s="8" t="s">
        <v>133</v>
      </c>
      <c r="C35" s="34"/>
      <c r="D35" s="8"/>
    </row>
    <row r="36" spans="1:4" ht="45" x14ac:dyDescent="0.2">
      <c r="A36" s="34">
        <v>4</v>
      </c>
      <c r="B36" s="8" t="s">
        <v>134</v>
      </c>
      <c r="C36" s="34"/>
      <c r="D36" s="8"/>
    </row>
    <row r="37" spans="1:4" x14ac:dyDescent="0.2">
      <c r="A37" s="34"/>
    </row>
    <row r="38" spans="1:4" x14ac:dyDescent="0.2">
      <c r="A38" s="34"/>
    </row>
    <row r="39" spans="1:4" x14ac:dyDescent="0.2">
      <c r="A39" s="55" t="s">
        <v>164</v>
      </c>
    </row>
    <row r="40" spans="1:4" x14ac:dyDescent="0.2">
      <c r="A40" s="34" t="s">
        <v>89</v>
      </c>
    </row>
    <row r="41" spans="1:4" x14ac:dyDescent="0.2">
      <c r="A41" s="34">
        <v>1</v>
      </c>
      <c r="B41" s="8" t="s">
        <v>131</v>
      </c>
      <c r="C41" s="34"/>
      <c r="D41" s="8"/>
    </row>
    <row r="42" spans="1:4" x14ac:dyDescent="0.2">
      <c r="A42" s="34" t="s">
        <v>23</v>
      </c>
      <c r="B42" s="8" t="s">
        <v>24</v>
      </c>
      <c r="C42" s="34"/>
      <c r="D42" s="8"/>
    </row>
    <row r="43" spans="1:4" ht="75" x14ac:dyDescent="0.2">
      <c r="A43" s="34">
        <v>2</v>
      </c>
      <c r="B43" s="8" t="s">
        <v>137</v>
      </c>
      <c r="C43" s="34"/>
      <c r="D43" s="8"/>
    </row>
    <row r="44" spans="1:4" ht="30" x14ac:dyDescent="0.2">
      <c r="A44" s="34">
        <v>3</v>
      </c>
      <c r="B44" s="8" t="s">
        <v>166</v>
      </c>
      <c r="C44" s="34"/>
      <c r="D44" s="8"/>
    </row>
    <row r="45" spans="1:4" ht="45" x14ac:dyDescent="0.2">
      <c r="A45" s="34">
        <v>4</v>
      </c>
      <c r="B45" s="8" t="s">
        <v>3</v>
      </c>
      <c r="C45" s="34"/>
      <c r="D45" s="8"/>
    </row>
    <row r="46" spans="1:4" ht="30" x14ac:dyDescent="0.2">
      <c r="A46" s="34">
        <v>5</v>
      </c>
      <c r="B46" s="8" t="s">
        <v>136</v>
      </c>
      <c r="C46" s="34"/>
      <c r="D46" s="8"/>
    </row>
    <row r="47" spans="1:4" x14ac:dyDescent="0.2">
      <c r="A47" s="34"/>
    </row>
    <row r="48" spans="1:4" x14ac:dyDescent="0.2">
      <c r="A48" s="34"/>
    </row>
    <row r="49" spans="1:4" x14ac:dyDescent="0.2">
      <c r="A49" s="55" t="s">
        <v>165</v>
      </c>
    </row>
    <row r="50" spans="1:4" x14ac:dyDescent="0.2">
      <c r="A50" s="34" t="s">
        <v>89</v>
      </c>
    </row>
    <row r="51" spans="1:4" x14ac:dyDescent="0.2">
      <c r="A51" s="34">
        <v>1</v>
      </c>
      <c r="B51" s="8" t="s">
        <v>131</v>
      </c>
      <c r="C51" s="34"/>
      <c r="D51" s="8"/>
    </row>
    <row r="52" spans="1:4" x14ac:dyDescent="0.2">
      <c r="A52" s="34" t="s">
        <v>23</v>
      </c>
      <c r="B52" s="8" t="s">
        <v>169</v>
      </c>
      <c r="C52" s="34"/>
      <c r="D52" s="8"/>
    </row>
    <row r="53" spans="1:4" ht="75" x14ac:dyDescent="0.2">
      <c r="A53" s="34">
        <v>2</v>
      </c>
      <c r="B53" s="8" t="s">
        <v>139</v>
      </c>
      <c r="C53" s="34"/>
      <c r="D53" s="8"/>
    </row>
    <row r="54" spans="1:4" ht="30" x14ac:dyDescent="0.2">
      <c r="A54" s="34">
        <v>3</v>
      </c>
      <c r="B54" s="8" t="s">
        <v>167</v>
      </c>
      <c r="C54" s="34"/>
      <c r="D54" s="8"/>
    </row>
    <row r="55" spans="1:4" ht="45" x14ac:dyDescent="0.2">
      <c r="A55" s="34">
        <v>4</v>
      </c>
      <c r="B55" s="8" t="s">
        <v>3</v>
      </c>
      <c r="C55" s="34"/>
      <c r="D55" s="8"/>
    </row>
    <row r="56" spans="1:4" ht="45" x14ac:dyDescent="0.2">
      <c r="A56" s="34">
        <v>5</v>
      </c>
      <c r="B56" s="8" t="s">
        <v>6</v>
      </c>
      <c r="C56" s="34"/>
      <c r="D56" s="8"/>
    </row>
    <row r="57" spans="1:4" ht="30" x14ac:dyDescent="0.2">
      <c r="A57" s="34">
        <v>6</v>
      </c>
      <c r="B57" s="8" t="s">
        <v>19</v>
      </c>
      <c r="C57" s="34"/>
      <c r="D57" s="8"/>
    </row>
    <row r="58" spans="1:4" ht="45" x14ac:dyDescent="0.2">
      <c r="A58" s="34">
        <v>7</v>
      </c>
      <c r="B58" s="8" t="s">
        <v>8</v>
      </c>
      <c r="C58" s="34"/>
      <c r="D58" s="8"/>
    </row>
    <row r="61" spans="1:4" x14ac:dyDescent="0.2">
      <c r="A61" s="37" t="s">
        <v>168</v>
      </c>
    </row>
    <row r="62" spans="1:4" x14ac:dyDescent="0.2">
      <c r="A62" s="34" t="s">
        <v>89</v>
      </c>
    </row>
    <row r="63" spans="1:4" x14ac:dyDescent="0.2">
      <c r="A63" s="34">
        <v>1</v>
      </c>
      <c r="B63" s="8" t="s">
        <v>131</v>
      </c>
      <c r="C63" s="34"/>
      <c r="D63" s="8"/>
    </row>
    <row r="64" spans="1:4" x14ac:dyDescent="0.2">
      <c r="A64" s="34" t="s">
        <v>23</v>
      </c>
      <c r="B64" s="8" t="s">
        <v>169</v>
      </c>
      <c r="C64" s="34"/>
      <c r="D64" s="8"/>
    </row>
    <row r="65" spans="1:4" ht="75" x14ac:dyDescent="0.2">
      <c r="A65" s="34">
        <v>2</v>
      </c>
      <c r="B65" s="8" t="s">
        <v>140</v>
      </c>
      <c r="C65" s="34"/>
      <c r="D65" s="8"/>
    </row>
    <row r="66" spans="1:4" ht="30" x14ac:dyDescent="0.2">
      <c r="A66" s="34">
        <v>3</v>
      </c>
      <c r="B66" s="8" t="s">
        <v>167</v>
      </c>
      <c r="C66" s="34"/>
      <c r="D66" s="8"/>
    </row>
    <row r="67" spans="1:4" ht="60" x14ac:dyDescent="0.2">
      <c r="A67" s="34">
        <v>4</v>
      </c>
      <c r="B67" s="8" t="s">
        <v>0</v>
      </c>
      <c r="C67" s="34"/>
      <c r="D67" s="8"/>
    </row>
    <row r="68" spans="1:4" x14ac:dyDescent="0.2">
      <c r="A68" s="34">
        <v>5</v>
      </c>
      <c r="B68" s="8" t="s">
        <v>1</v>
      </c>
      <c r="C68" s="34"/>
      <c r="D68" s="8"/>
    </row>
    <row r="69" spans="1:4" ht="45" x14ac:dyDescent="0.2">
      <c r="A69" s="34">
        <v>6</v>
      </c>
      <c r="B69" s="8" t="s">
        <v>10</v>
      </c>
      <c r="C69" s="34"/>
      <c r="D69" s="8"/>
    </row>
    <row r="70" spans="1:4" x14ac:dyDescent="0.2">
      <c r="C70" s="34"/>
      <c r="D70" s="8"/>
    </row>
    <row r="72" spans="1:4" x14ac:dyDescent="0.2">
      <c r="A72" s="37" t="s">
        <v>170</v>
      </c>
    </row>
    <row r="73" spans="1:4" x14ac:dyDescent="0.2">
      <c r="A73" s="34" t="s">
        <v>89</v>
      </c>
    </row>
    <row r="74" spans="1:4" x14ac:dyDescent="0.2">
      <c r="A74" s="34">
        <v>1</v>
      </c>
      <c r="B74" s="8" t="s">
        <v>131</v>
      </c>
    </row>
    <row r="75" spans="1:4" x14ac:dyDescent="0.2">
      <c r="A75" s="34" t="s">
        <v>23</v>
      </c>
      <c r="B75" s="8" t="s">
        <v>169</v>
      </c>
    </row>
    <row r="76" spans="1:4" ht="75" x14ac:dyDescent="0.2">
      <c r="A76" s="34">
        <v>2</v>
      </c>
      <c r="B76" s="8" t="s">
        <v>171</v>
      </c>
    </row>
    <row r="77" spans="1:4" ht="30" x14ac:dyDescent="0.2">
      <c r="A77" s="34">
        <v>3</v>
      </c>
      <c r="B77" s="8" t="s">
        <v>172</v>
      </c>
    </row>
    <row r="78" spans="1:4" ht="30" x14ac:dyDescent="0.2">
      <c r="A78" s="34">
        <v>4</v>
      </c>
      <c r="B78" s="8" t="s">
        <v>173</v>
      </c>
    </row>
    <row r="79" spans="1:4" x14ac:dyDescent="0.2">
      <c r="A79" s="34">
        <v>5</v>
      </c>
      <c r="B79" s="8" t="s">
        <v>1</v>
      </c>
    </row>
    <row r="80" spans="1:4" x14ac:dyDescent="0.2">
      <c r="A80" s="34">
        <v>6</v>
      </c>
      <c r="B80" s="8" t="s">
        <v>174</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69AE-11F4-4903-A8C0-2E489A28186E}">
  <dimension ref="A1:AP79"/>
  <sheetViews>
    <sheetView topLeftCell="A35" zoomScaleNormal="100" workbookViewId="0">
      <selection activeCell="O40" sqref="O40"/>
    </sheetView>
  </sheetViews>
  <sheetFormatPr baseColWidth="10" defaultColWidth="8.83203125" defaultRowHeight="15" x14ac:dyDescent="0.2"/>
  <cols>
    <col min="1" max="1" width="25.5" customWidth="1"/>
    <col min="2" max="4" width="9.33203125" bestFit="1" customWidth="1"/>
    <col min="5" max="5" width="9.5"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2" max="22" width="10.1640625" customWidth="1"/>
    <col min="24" max="24" width="10.83203125" bestFit="1" customWidth="1"/>
    <col min="26" max="26" width="10.83203125" bestFit="1" customWidth="1"/>
    <col min="27" max="30" width="10.83203125"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5" t="s">
        <v>48</v>
      </c>
      <c r="O3" s="45" t="s">
        <v>41</v>
      </c>
      <c r="P3" s="44"/>
    </row>
    <row r="4" spans="1:16" x14ac:dyDescent="0.2">
      <c r="A4" s="17">
        <f>'Non-Rebalanced Portfolio'!A4</f>
        <v>1989</v>
      </c>
      <c r="B4" s="17">
        <f>'Non-Rebalanced Portfolio'!B4</f>
        <v>31.36</v>
      </c>
      <c r="C4" s="17">
        <f>'Non-Rebalanced Portfolio'!C4</f>
        <v>24.096</v>
      </c>
      <c r="D4" s="17"/>
      <c r="E4" s="17"/>
      <c r="F4" s="17">
        <f>'Non-Rebalanced Portfolio'!F4</f>
        <v>25.971</v>
      </c>
      <c r="G4" s="17"/>
      <c r="H4" s="17">
        <f>'Non-Rebalanced Portfolio'!H4</f>
        <v>13.64</v>
      </c>
      <c r="N4" s="45">
        <v>1989</v>
      </c>
      <c r="O4" s="46">
        <v>4.5999999999999999E-2</v>
      </c>
      <c r="P4" s="44"/>
    </row>
    <row r="5" spans="1:16" x14ac:dyDescent="0.2">
      <c r="A5" s="17">
        <f>'Non-Rebalanced Portfolio'!A5</f>
        <v>1990</v>
      </c>
      <c r="B5" s="17">
        <f>'Non-Rebalanced Portfolio'!B5</f>
        <v>-3.32</v>
      </c>
      <c r="C5" s="17">
        <f>'Non-Rebalanced Portfolio'!C5</f>
        <v>-14.045</v>
      </c>
      <c r="D5" s="17"/>
      <c r="E5" s="17"/>
      <c r="F5" s="17">
        <f>'Non-Rebalanced Portfolio'!F5</f>
        <v>-12.26</v>
      </c>
      <c r="G5" s="17"/>
      <c r="H5" s="17">
        <f>'Non-Rebalanced Portfolio'!H5</f>
        <v>8.65</v>
      </c>
      <c r="N5" s="45">
        <v>1990</v>
      </c>
      <c r="O5" s="46">
        <v>6.3E-2</v>
      </c>
      <c r="P5" s="44"/>
    </row>
    <row r="6" spans="1:16" x14ac:dyDescent="0.2">
      <c r="A6" s="17">
        <f>'Non-Rebalanced Portfolio'!A6</f>
        <v>1991</v>
      </c>
      <c r="B6" s="17">
        <f>'Non-Rebalanced Portfolio'!B6</f>
        <v>30.22</v>
      </c>
      <c r="C6" s="17">
        <f>'Non-Rebalanced Portfolio'!C6</f>
        <v>41.85</v>
      </c>
      <c r="D6" s="17"/>
      <c r="E6" s="17"/>
      <c r="F6" s="17">
        <f>'Non-Rebalanced Portfolio'!F6</f>
        <v>9.9559999999999995</v>
      </c>
      <c r="G6" s="17"/>
      <c r="H6" s="17">
        <f>'Non-Rebalanced Portfolio'!H6</f>
        <v>15.25</v>
      </c>
      <c r="N6" s="45">
        <v>1991</v>
      </c>
      <c r="O6" s="46">
        <v>0.03</v>
      </c>
      <c r="P6" s="44"/>
    </row>
    <row r="7" spans="1:16" x14ac:dyDescent="0.2">
      <c r="A7" s="17">
        <f>'Non-Rebalanced Portfolio'!A7</f>
        <v>1992</v>
      </c>
      <c r="B7" s="17">
        <f>'Non-Rebalanced Portfolio'!B7</f>
        <v>7.42</v>
      </c>
      <c r="C7" s="17">
        <f>'Non-Rebalanced Portfolio'!C7</f>
        <v>12.465999999999999</v>
      </c>
      <c r="D7" s="17"/>
      <c r="E7" s="17"/>
      <c r="F7" s="17">
        <f>'Non-Rebalanced Portfolio'!F7</f>
        <v>-8.7210000000000001</v>
      </c>
      <c r="G7" s="17"/>
      <c r="H7" s="17">
        <f>'Non-Rebalanced Portfolio'!H7</f>
        <v>7.14</v>
      </c>
      <c r="N7" s="45">
        <v>1992</v>
      </c>
      <c r="O7" s="46">
        <v>0.03</v>
      </c>
      <c r="P7" s="44"/>
    </row>
    <row r="8" spans="1:16" x14ac:dyDescent="0.2">
      <c r="A8" s="17">
        <f>'Non-Rebalanced Portfolio'!A8</f>
        <v>1993</v>
      </c>
      <c r="B8" s="17">
        <f>'Non-Rebalanced Portfolio'!B8</f>
        <v>9.89</v>
      </c>
      <c r="C8" s="17">
        <f>'Non-Rebalanced Portfolio'!C8</f>
        <v>14.49</v>
      </c>
      <c r="D8" s="17"/>
      <c r="E8" s="17"/>
      <c r="F8" s="17">
        <f>'Non-Rebalanced Portfolio'!F8</f>
        <v>30.494</v>
      </c>
      <c r="G8" s="17"/>
      <c r="H8" s="17">
        <f>'Non-Rebalanced Portfolio'!H8</f>
        <v>9.68</v>
      </c>
      <c r="N8" s="45">
        <v>1993</v>
      </c>
      <c r="O8" s="46">
        <v>2.8000000000000001E-2</v>
      </c>
      <c r="P8" s="44"/>
    </row>
    <row r="9" spans="1:16" x14ac:dyDescent="0.2">
      <c r="A9" s="17">
        <f>'Non-Rebalanced Portfolio'!A9</f>
        <v>1994</v>
      </c>
      <c r="B9" s="17">
        <f>'Non-Rebalanced Portfolio'!B9</f>
        <v>1.18</v>
      </c>
      <c r="C9" s="17">
        <f>'Non-Rebalanced Portfolio'!C9</f>
        <v>-1.764</v>
      </c>
      <c r="D9" s="17"/>
      <c r="E9" s="17"/>
      <c r="F9" s="17">
        <f>'Non-Rebalanced Portfolio'!F9</f>
        <v>5.2549999999999999</v>
      </c>
      <c r="G9" s="17"/>
      <c r="H9" s="17">
        <f>'Non-Rebalanced Portfolio'!H9</f>
        <v>-2.66</v>
      </c>
      <c r="N9" s="45">
        <v>1994</v>
      </c>
      <c r="O9" s="46">
        <v>2.5999999999999999E-2</v>
      </c>
      <c r="P9" s="44"/>
    </row>
    <row r="10" spans="1:16" x14ac:dyDescent="0.2">
      <c r="A10" s="17">
        <f>'Non-Rebalanced Portfolio'!A10</f>
        <v>1995</v>
      </c>
      <c r="B10" s="17">
        <f>'Non-Rebalanced Portfolio'!B10</f>
        <v>37.450000000000003</v>
      </c>
      <c r="C10" s="17">
        <f>'Non-Rebalanced Portfolio'!C10</f>
        <v>33.796999999999997</v>
      </c>
      <c r="D10" s="17"/>
      <c r="E10" s="17"/>
      <c r="F10" s="17">
        <f>'Non-Rebalanced Portfolio'!F10</f>
        <v>9.6460000000000008</v>
      </c>
      <c r="G10" s="17"/>
      <c r="H10" s="17">
        <f>'Non-Rebalanced Portfolio'!H10</f>
        <v>18.18</v>
      </c>
      <c r="N10" s="45">
        <v>1995</v>
      </c>
      <c r="O10" s="46">
        <v>2.5000000000000001E-2</v>
      </c>
      <c r="P10" s="44"/>
    </row>
    <row r="11" spans="1:16" x14ac:dyDescent="0.2">
      <c r="A11" s="17">
        <f>'Non-Rebalanced Portfolio'!A11</f>
        <v>1996</v>
      </c>
      <c r="B11" s="17">
        <f>'Non-Rebalanced Portfolio'!B11</f>
        <v>22.88</v>
      </c>
      <c r="C11" s="17">
        <f>'Non-Rebalanced Portfolio'!C11</f>
        <v>17.646999999999998</v>
      </c>
      <c r="D11" s="17"/>
      <c r="E11" s="17"/>
      <c r="F11" s="17">
        <f>'Non-Rebalanced Portfolio'!F11</f>
        <v>10.218999999999999</v>
      </c>
      <c r="G11" s="17"/>
      <c r="H11" s="17">
        <f>'Non-Rebalanced Portfolio'!H11</f>
        <v>3.58</v>
      </c>
      <c r="N11" s="45">
        <v>1996</v>
      </c>
      <c r="O11" s="46">
        <v>3.4000000000000002E-2</v>
      </c>
      <c r="P11" s="44"/>
    </row>
    <row r="12" spans="1:16" x14ac:dyDescent="0.2">
      <c r="A12" s="17">
        <f>'Non-Rebalanced Portfolio'!A12</f>
        <v>1997</v>
      </c>
      <c r="B12" s="17">
        <f>'Non-Rebalanced Portfolio'!B12</f>
        <v>33.19</v>
      </c>
      <c r="C12" s="17">
        <f>'Non-Rebalanced Portfolio'!C12</f>
        <v>26.687000000000001</v>
      </c>
      <c r="D12" s="17"/>
      <c r="E12" s="17"/>
      <c r="F12" s="17">
        <f>'Non-Rebalanced Portfolio'!F12</f>
        <v>0</v>
      </c>
      <c r="G12" s="18">
        <f>'Non-Rebalanced Portfolio'!G12</f>
        <v>-0.77500000000000002</v>
      </c>
      <c r="H12" s="17">
        <f>'Non-Rebalanced Portfolio'!H12</f>
        <v>9.44</v>
      </c>
      <c r="N12" s="45">
        <v>1997</v>
      </c>
      <c r="O12" s="46">
        <v>1.7000000000000001E-2</v>
      </c>
      <c r="P12" s="44"/>
    </row>
    <row r="13" spans="1:16" x14ac:dyDescent="0.2">
      <c r="A13" s="17">
        <f>'Non-Rebalanced Portfolio'!A13</f>
        <v>1998</v>
      </c>
      <c r="B13" s="17">
        <f>'Non-Rebalanced Portfolio'!B13</f>
        <v>28.66</v>
      </c>
      <c r="C13" s="17">
        <f>'Non-Rebalanced Portfolio'!C13</f>
        <v>8.3529999999999998</v>
      </c>
      <c r="D13" s="17"/>
      <c r="E13" s="17"/>
      <c r="F13" s="17"/>
      <c r="G13" s="18">
        <f>'Non-Rebalanced Portfolio'!G13</f>
        <v>15.603</v>
      </c>
      <c r="H13" s="17">
        <f>'Non-Rebalanced Portfolio'!H13</f>
        <v>8.58</v>
      </c>
      <c r="N13" s="45">
        <v>1998</v>
      </c>
      <c r="O13" s="46">
        <v>1.6E-2</v>
      </c>
      <c r="P13" s="44"/>
    </row>
    <row r="14" spans="1:16" x14ac:dyDescent="0.2">
      <c r="A14" s="17">
        <f>'Non-Rebalanced Portfolio'!A14</f>
        <v>1999</v>
      </c>
      <c r="B14" s="17">
        <f>'Non-Rebalanced Portfolio'!B14</f>
        <v>21.07</v>
      </c>
      <c r="C14" s="17">
        <f>'Non-Rebalanced Portfolio'!C14</f>
        <v>0</v>
      </c>
      <c r="D14" s="18">
        <f>'Non-Rebalanced Portfolio'!D14</f>
        <v>15.319000000000001</v>
      </c>
      <c r="E14" s="18">
        <f>'Non-Rebalanced Portfolio'!E14</f>
        <v>23.132999999999999</v>
      </c>
      <c r="F14" s="17"/>
      <c r="G14" s="17">
        <f>'Non-Rebalanced Portfolio'!G14</f>
        <v>29.919</v>
      </c>
      <c r="H14" s="17">
        <f>'Non-Rebalanced Portfolio'!H14</f>
        <v>-0.76</v>
      </c>
      <c r="N14" s="45">
        <v>1999</v>
      </c>
      <c r="O14" s="46">
        <v>2.7E-2</v>
      </c>
      <c r="P14" s="44"/>
    </row>
    <row r="15" spans="1:16" x14ac:dyDescent="0.2">
      <c r="A15" s="17">
        <f>'Non-Rebalanced Portfolio'!A15</f>
        <v>2000</v>
      </c>
      <c r="B15" s="17">
        <f>'Non-Rebalanced Portfolio'!B15</f>
        <v>-9.06</v>
      </c>
      <c r="C15" s="17"/>
      <c r="D15" s="18">
        <f>'Non-Rebalanced Portfolio'!D15</f>
        <v>18.097999999999999</v>
      </c>
      <c r="E15" s="18">
        <f>'Non-Rebalanced Portfolio'!E15</f>
        <v>-2.665</v>
      </c>
      <c r="F15" s="17"/>
      <c r="G15" s="17">
        <f>'Non-Rebalanced Portfolio'!G15</f>
        <v>-15.614000000000001</v>
      </c>
      <c r="H15" s="17">
        <f>'Non-Rebalanced Portfolio'!H15</f>
        <v>11.39</v>
      </c>
      <c r="N15" s="45">
        <v>2000</v>
      </c>
      <c r="O15" s="46">
        <v>3.4000000000000002E-2</v>
      </c>
      <c r="P15" s="44"/>
    </row>
    <row r="16" spans="1:16"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c r="N16" s="45">
        <v>2001</v>
      </c>
      <c r="O16" s="46">
        <v>1.6E-2</v>
      </c>
      <c r="P16" s="44"/>
    </row>
    <row r="17" spans="1:16"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c r="N17" s="45">
        <v>2002</v>
      </c>
      <c r="O17" s="46">
        <v>2.5000000000000001E-2</v>
      </c>
      <c r="P17" s="44"/>
    </row>
    <row r="18" spans="1:16"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c r="N18" s="45">
        <v>2003</v>
      </c>
      <c r="O18" s="46">
        <v>0.02</v>
      </c>
      <c r="P18" s="44"/>
    </row>
    <row r="19" spans="1:16"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c r="N19" s="45">
        <v>2004</v>
      </c>
      <c r="O19" s="46">
        <v>3.3000000000000002E-2</v>
      </c>
      <c r="P19" s="44"/>
    </row>
    <row r="20" spans="1:16"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c r="N20" s="45">
        <v>2005</v>
      </c>
      <c r="O20" s="46">
        <v>3.3000000000000002E-2</v>
      </c>
      <c r="P20" s="44"/>
    </row>
    <row r="21" spans="1:16"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c r="N21" s="45">
        <v>2006</v>
      </c>
      <c r="O21" s="46">
        <v>2.5000000000000001E-2</v>
      </c>
      <c r="P21" s="44"/>
    </row>
    <row r="22" spans="1:16"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c r="N22" s="45">
        <v>2007</v>
      </c>
      <c r="O22" s="46">
        <v>4.1000000000000002E-2</v>
      </c>
      <c r="P22" s="44"/>
    </row>
    <row r="23" spans="1:16"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c r="N23" s="45">
        <v>2008</v>
      </c>
      <c r="O23" s="46">
        <v>0</v>
      </c>
      <c r="P23" s="44"/>
    </row>
    <row r="24" spans="1:16"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c r="N24" s="45">
        <v>2009</v>
      </c>
      <c r="O24" s="46">
        <v>2.8000000000000001E-2</v>
      </c>
      <c r="P24" s="44"/>
    </row>
    <row r="25" spans="1:16"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c r="N25" s="45">
        <v>2010</v>
      </c>
      <c r="O25" s="46">
        <v>1.4E-2</v>
      </c>
      <c r="P25" s="44"/>
    </row>
    <row r="26" spans="1:16"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c r="N26" s="45">
        <v>2011</v>
      </c>
      <c r="O26" s="46">
        <v>0.03</v>
      </c>
      <c r="P26" s="44"/>
    </row>
    <row r="27" spans="1:16"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c r="N27" s="45">
        <v>2012</v>
      </c>
      <c r="O27" s="46">
        <v>1.7999999999999999E-2</v>
      </c>
    </row>
    <row r="28" spans="1:16" x14ac:dyDescent="0.2">
      <c r="A28" s="17">
        <f>'Non-Rebalanced Portfolio'!A28</f>
        <v>2013</v>
      </c>
      <c r="B28" s="17">
        <f>'Non-Rebalanced Portfolio'!B28</f>
        <v>32.18</v>
      </c>
      <c r="C28" s="19"/>
      <c r="D28" s="17">
        <f>'Non-Rebalanced Portfolio'!D28</f>
        <v>35</v>
      </c>
      <c r="E28" s="17">
        <f>'Non-Rebalanced Portfolio'!E28</f>
        <v>37.619999999999997</v>
      </c>
      <c r="F28" s="19"/>
      <c r="G28" s="17">
        <f>'Non-Rebalanced Portfolio'!G28</f>
        <v>15.04</v>
      </c>
      <c r="H28" s="17">
        <f>'Non-Rebalanced Portfolio'!H28</f>
        <v>-2.2599999999999998</v>
      </c>
      <c r="N28" s="45">
        <v>2013</v>
      </c>
      <c r="O28" s="46">
        <v>1.15559170535223E-2</v>
      </c>
    </row>
    <row r="29" spans="1:16"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5">
        <v>2014</v>
      </c>
      <c r="O29" s="46">
        <v>1.29E-2</v>
      </c>
    </row>
    <row r="30" spans="1:16"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5">
        <v>2015</v>
      </c>
      <c r="O30" s="46">
        <v>4.4000000000000003E-3</v>
      </c>
    </row>
    <row r="31" spans="1:16"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5">
        <v>2016</v>
      </c>
      <c r="O31" s="46">
        <v>1.7000000000000001E-2</v>
      </c>
    </row>
    <row r="32" spans="1:16"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5">
        <v>2017</v>
      </c>
      <c r="O32" s="46">
        <v>2.23E-2</v>
      </c>
    </row>
    <row r="33" spans="1:42"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5">
        <v>2017</v>
      </c>
      <c r="O33" s="46">
        <v>2.23E-2</v>
      </c>
    </row>
    <row r="36" spans="1:42" x14ac:dyDescent="0.2">
      <c r="A36" s="20" t="s">
        <v>123</v>
      </c>
      <c r="N36" s="20" t="s">
        <v>25</v>
      </c>
      <c r="R36" s="20" t="s">
        <v>124</v>
      </c>
      <c r="AF36" s="20" t="s">
        <v>138</v>
      </c>
    </row>
    <row r="37" spans="1:42"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111</v>
      </c>
      <c r="AP37" s="5" t="s">
        <v>112</v>
      </c>
    </row>
    <row r="38" spans="1:42"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F38" t="s">
        <v>72</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70</v>
      </c>
      <c r="AO38" s="5" t="s">
        <v>112</v>
      </c>
      <c r="AP38" s="5" t="s">
        <v>87</v>
      </c>
    </row>
    <row r="39" spans="1:42" x14ac:dyDescent="0.2">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F39" s="21" t="s">
        <v>86</v>
      </c>
      <c r="AG39" s="6">
        <f t="shared" ref="AG39:AH54" si="3">S39/$Z39</f>
        <v>0.2</v>
      </c>
      <c r="AH39" s="6">
        <f t="shared" si="3"/>
        <v>0.3</v>
      </c>
      <c r="AI39" s="23">
        <v>0.2</v>
      </c>
      <c r="AJ39" s="23">
        <v>0.1</v>
      </c>
      <c r="AK39" s="6">
        <f t="shared" ref="AK39:AK48" si="4">W39/$Z39</f>
        <v>0.2</v>
      </c>
      <c r="AL39" s="23">
        <v>0.2</v>
      </c>
      <c r="AM39" s="6">
        <f>Y39/$Z39</f>
        <v>0.3</v>
      </c>
      <c r="AN39" s="6">
        <f>Z39/$Z39</f>
        <v>1</v>
      </c>
      <c r="AO39" s="24"/>
    </row>
    <row r="40" spans="1:42" x14ac:dyDescent="0.2">
      <c r="A40">
        <f t="shared" ref="A40:A64" si="5">A4</f>
        <v>1989</v>
      </c>
      <c r="B40" s="2">
        <f>B39*(1+(B4/100))</f>
        <v>26272.000000000004</v>
      </c>
      <c r="C40" s="2">
        <f>C39*(1+(C4/100))</f>
        <v>37228.800000000003</v>
      </c>
      <c r="D40" s="2"/>
      <c r="E40" s="2"/>
      <c r="F40" s="2">
        <f>F39*(1+(F4/100))</f>
        <v>25194.2</v>
      </c>
      <c r="G40" s="2"/>
      <c r="H40" s="2">
        <f>H39*(1+(H4/100))</f>
        <v>34092</v>
      </c>
      <c r="I40" s="2">
        <f>SUM(B40:H40)</f>
        <v>122787</v>
      </c>
      <c r="J40" s="2">
        <f>I40-I39</f>
        <v>22787</v>
      </c>
      <c r="K40" s="6">
        <f>(J40/I39)</f>
        <v>0.22786999999999999</v>
      </c>
      <c r="L40" s="7">
        <f>K40+1</f>
        <v>1.22787</v>
      </c>
      <c r="N40">
        <f>A40</f>
        <v>1989</v>
      </c>
      <c r="O40" s="2">
        <f>I40*0.045</f>
        <v>5525.415</v>
      </c>
      <c r="P40" s="2"/>
      <c r="Q40" s="2"/>
      <c r="R40">
        <f>A40</f>
        <v>1989</v>
      </c>
      <c r="S40" s="2">
        <f>B40-($O40/4)</f>
        <v>24890.646250000005</v>
      </c>
      <c r="T40" s="2">
        <f>C40-($O40/4)</f>
        <v>35847.446250000001</v>
      </c>
      <c r="U40" s="2"/>
      <c r="V40" s="2"/>
      <c r="W40" s="2">
        <f t="shared" ref="W40:W47" si="6">F40-($O40/4)</f>
        <v>23812.846250000002</v>
      </c>
      <c r="X40" s="2"/>
      <c r="Y40" s="2">
        <f>H40-($O40/4)</f>
        <v>32710.646250000002</v>
      </c>
      <c r="Z40" s="2">
        <f>SUM(S40:Y40)</f>
        <v>117261.58500000001</v>
      </c>
      <c r="AA40" s="2">
        <f>Z40-Z39</f>
        <v>17261.585000000006</v>
      </c>
      <c r="AB40" s="6">
        <f>(AA40/Z39)</f>
        <v>0.17261585000000007</v>
      </c>
      <c r="AC40" s="7">
        <f>AB40+1</f>
        <v>1.1726158500000001</v>
      </c>
      <c r="AD40" s="2">
        <f>Z40-(I40-O40)</f>
        <v>0</v>
      </c>
      <c r="AF40">
        <f t="shared" ref="AF40:AF64" si="7">A40</f>
        <v>1989</v>
      </c>
      <c r="AG40" s="6">
        <f t="shared" si="3"/>
        <v>0.2122659884735483</v>
      </c>
      <c r="AH40" s="6">
        <f t="shared" si="3"/>
        <v>0.3057049437801817</v>
      </c>
      <c r="AI40" s="7"/>
      <c r="AJ40" s="7"/>
      <c r="AK40" s="6">
        <f t="shared" si="4"/>
        <v>0.20307457254649935</v>
      </c>
      <c r="AL40" s="7"/>
      <c r="AM40" s="6">
        <f t="shared" ref="AM40:AM64" si="8">Y40/$Z40</f>
        <v>0.27895449519977067</v>
      </c>
      <c r="AN40" s="6">
        <f>SUM(AG40:AM40)</f>
        <v>1</v>
      </c>
      <c r="AO40" s="7">
        <f>SUM(AG40:AL40)</f>
        <v>0.72104550480022933</v>
      </c>
      <c r="AP40" s="7">
        <f>AN40-(AO40+AM40)</f>
        <v>0</v>
      </c>
    </row>
    <row r="41" spans="1:42" x14ac:dyDescent="0.2">
      <c r="A41">
        <f t="shared" si="5"/>
        <v>1990</v>
      </c>
      <c r="B41" s="2">
        <f t="shared" ref="B41:B50" si="9">S40*(1+(B5/100))</f>
        <v>24064.276794500005</v>
      </c>
      <c r="C41" s="2">
        <f t="shared" ref="C41:C49" si="10">T40*(1+(C5/100))</f>
        <v>30812.672424187502</v>
      </c>
      <c r="D41" s="2"/>
      <c r="E41" s="2"/>
      <c r="F41" s="2">
        <f t="shared" ref="F41:F47" si="11">W40*(1+(F5/100))</f>
        <v>20893.391299750001</v>
      </c>
      <c r="G41" s="2"/>
      <c r="H41" s="2">
        <f t="shared" ref="H41:H64" si="12">Y40*(1+(H5/100))</f>
        <v>35540.117150625003</v>
      </c>
      <c r="I41" s="2">
        <f t="shared" ref="I41:I64" si="13">SUM(B41:H41)</f>
        <v>111310.45766906251</v>
      </c>
      <c r="J41" s="2">
        <f t="shared" ref="J41:J64" si="14">I41-I40</f>
        <v>-11476.542330937489</v>
      </c>
      <c r="K41" s="6">
        <f t="shared" ref="K41:K64" si="15">(J41/I40)</f>
        <v>-9.3467079828788796E-2</v>
      </c>
      <c r="L41" s="7">
        <f t="shared" ref="L41:L64" si="16">K41+1</f>
        <v>0.90653292017121123</v>
      </c>
      <c r="N41">
        <f t="shared" ref="N41:N64" si="17">A41</f>
        <v>1990</v>
      </c>
      <c r="O41" s="2">
        <f t="shared" ref="O41:O64" si="18">O40*(1+O5)</f>
        <v>5873.5161449999996</v>
      </c>
      <c r="P41" s="2"/>
      <c r="Q41" s="2"/>
      <c r="R41">
        <f t="shared" ref="R41:R64" si="19">A41</f>
        <v>1990</v>
      </c>
      <c r="S41" s="2">
        <f t="shared" ref="S41:T49" si="20">B41-($O41/4)</f>
        <v>22595.897758250005</v>
      </c>
      <c r="T41" s="2">
        <f t="shared" si="20"/>
        <v>29344.293387937501</v>
      </c>
      <c r="U41" s="2"/>
      <c r="V41" s="2"/>
      <c r="W41" s="2">
        <f t="shared" si="6"/>
        <v>19425.012263500001</v>
      </c>
      <c r="X41" s="2"/>
      <c r="Y41" s="2">
        <f t="shared" ref="Y41:Y49" si="21">H41-($O41/4)</f>
        <v>34071.738114375003</v>
      </c>
      <c r="Z41" s="2">
        <f t="shared" ref="Z41:Z64" si="22">SUM(S41:Y41)</f>
        <v>105436.94152406251</v>
      </c>
      <c r="AA41" s="2">
        <f t="shared" ref="AA41:AA55" si="23">Z41-Z40</f>
        <v>-11824.643475937497</v>
      </c>
      <c r="AB41" s="6">
        <f t="shared" ref="AB41:AB55" si="24">(AA41/Z40)</f>
        <v>-0.10083987416627105</v>
      </c>
      <c r="AC41" s="7">
        <f t="shared" ref="AC41:AC64" si="25">AB41+1</f>
        <v>0.89916012583372895</v>
      </c>
      <c r="AD41" s="2">
        <f t="shared" ref="AD41:AD64" si="26">Z41-(I41-O41)</f>
        <v>0</v>
      </c>
      <c r="AF41">
        <f t="shared" si="7"/>
        <v>1990</v>
      </c>
      <c r="AG41" s="6">
        <f t="shared" si="3"/>
        <v>0.21430721938281219</v>
      </c>
      <c r="AH41" s="6">
        <f t="shared" si="3"/>
        <v>0.27831131066373577</v>
      </c>
      <c r="AI41" s="7"/>
      <c r="AJ41" s="7"/>
      <c r="AK41" s="6">
        <f t="shared" si="4"/>
        <v>0.18423345729415797</v>
      </c>
      <c r="AL41" s="7"/>
      <c r="AM41" s="6">
        <f t="shared" si="8"/>
        <v>0.3231480126592941</v>
      </c>
      <c r="AN41" s="6">
        <f t="shared" ref="AN41:AN64" si="27">SUM(AG41:AM41)</f>
        <v>1</v>
      </c>
      <c r="AO41" s="7">
        <f t="shared" ref="AO41:AO64" si="28">SUM(AG41:AL41)</f>
        <v>0.67685198734070595</v>
      </c>
      <c r="AP41" s="7">
        <f t="shared" ref="AP41:AP64" si="29">AN41-(AO41+AM41)</f>
        <v>0</v>
      </c>
    </row>
    <row r="42" spans="1:42" x14ac:dyDescent="0.2">
      <c r="A42">
        <f t="shared" si="5"/>
        <v>1991</v>
      </c>
      <c r="B42" s="2">
        <f t="shared" si="9"/>
        <v>29424.378060793155</v>
      </c>
      <c r="C42" s="2">
        <f t="shared" si="10"/>
        <v>41624.880170789351</v>
      </c>
      <c r="D42" s="2"/>
      <c r="E42" s="2"/>
      <c r="F42" s="2">
        <f t="shared" si="11"/>
        <v>21358.966484454064</v>
      </c>
      <c r="G42" s="2"/>
      <c r="H42" s="2">
        <f t="shared" si="12"/>
        <v>39267.678176817193</v>
      </c>
      <c r="I42" s="2">
        <f t="shared" ref="I42:I48" si="30">SUM(B42:H42)</f>
        <v>131675.90289285377</v>
      </c>
      <c r="J42" s="2">
        <f t="shared" si="14"/>
        <v>20365.445223791263</v>
      </c>
      <c r="K42" s="6">
        <f t="shared" si="15"/>
        <v>0.182960753645806</v>
      </c>
      <c r="L42" s="7">
        <f t="shared" si="16"/>
        <v>1.182960753645806</v>
      </c>
      <c r="N42">
        <f t="shared" si="17"/>
        <v>1991</v>
      </c>
      <c r="O42" s="2">
        <f t="shared" si="18"/>
        <v>6049.7216293499996</v>
      </c>
      <c r="P42" s="2"/>
      <c r="Q42" s="2"/>
      <c r="R42">
        <f t="shared" si="19"/>
        <v>1991</v>
      </c>
      <c r="S42" s="2">
        <f t="shared" si="20"/>
        <v>27911.947653455656</v>
      </c>
      <c r="T42" s="2">
        <f t="shared" si="20"/>
        <v>40112.449763451848</v>
      </c>
      <c r="U42" s="2"/>
      <c r="V42" s="2"/>
      <c r="W42" s="2">
        <f t="shared" si="6"/>
        <v>19846.536077116565</v>
      </c>
      <c r="X42" s="2"/>
      <c r="Y42" s="2">
        <f t="shared" si="21"/>
        <v>37755.247769479691</v>
      </c>
      <c r="Z42" s="2">
        <f t="shared" si="22"/>
        <v>125626.18126350376</v>
      </c>
      <c r="AA42" s="2">
        <f t="shared" si="23"/>
        <v>20189.239739441255</v>
      </c>
      <c r="AB42" s="6">
        <f t="shared" si="24"/>
        <v>0.19148165194865527</v>
      </c>
      <c r="AC42" s="7">
        <f t="shared" si="25"/>
        <v>1.1914816519486553</v>
      </c>
      <c r="AD42" s="2">
        <f t="shared" si="26"/>
        <v>0</v>
      </c>
      <c r="AF42">
        <f t="shared" si="7"/>
        <v>1991</v>
      </c>
      <c r="AG42" s="6">
        <f t="shared" si="3"/>
        <v>0.22218256873469483</v>
      </c>
      <c r="AH42" s="6">
        <f t="shared" si="3"/>
        <v>0.31930008028593238</v>
      </c>
      <c r="AI42" s="7"/>
      <c r="AJ42" s="7"/>
      <c r="AK42" s="6">
        <f t="shared" si="4"/>
        <v>0.15798089122432216</v>
      </c>
      <c r="AL42" s="7"/>
      <c r="AM42" s="6">
        <f t="shared" si="8"/>
        <v>0.30053645975505061</v>
      </c>
      <c r="AN42" s="6">
        <f t="shared" si="27"/>
        <v>1</v>
      </c>
      <c r="AO42" s="7">
        <f t="shared" si="28"/>
        <v>0.69946354024494939</v>
      </c>
      <c r="AP42" s="7">
        <f t="shared" si="29"/>
        <v>0</v>
      </c>
    </row>
    <row r="43" spans="1:42" x14ac:dyDescent="0.2">
      <c r="A43">
        <f t="shared" si="5"/>
        <v>1992</v>
      </c>
      <c r="B43" s="2">
        <f t="shared" si="9"/>
        <v>29983.014169342066</v>
      </c>
      <c r="C43" s="2">
        <f t="shared" si="10"/>
        <v>45112.867750963756</v>
      </c>
      <c r="D43" s="2"/>
      <c r="E43" s="2"/>
      <c r="F43" s="2">
        <f t="shared" si="11"/>
        <v>18115.719665831228</v>
      </c>
      <c r="G43" s="2"/>
      <c r="H43" s="2">
        <f t="shared" si="12"/>
        <v>40450.972460220539</v>
      </c>
      <c r="I43" s="2">
        <f t="shared" si="30"/>
        <v>133662.57404635759</v>
      </c>
      <c r="J43" s="2">
        <f t="shared" si="14"/>
        <v>1986.6711535038194</v>
      </c>
      <c r="K43" s="6">
        <f t="shared" si="15"/>
        <v>1.5087583300039316E-2</v>
      </c>
      <c r="L43" s="7">
        <f t="shared" si="16"/>
        <v>1.0150875833000392</v>
      </c>
      <c r="N43">
        <f t="shared" si="17"/>
        <v>1992</v>
      </c>
      <c r="O43" s="2">
        <f t="shared" si="18"/>
        <v>6231.2132782304998</v>
      </c>
      <c r="P43" s="2"/>
      <c r="Q43" s="2"/>
      <c r="R43">
        <f t="shared" si="19"/>
        <v>1992</v>
      </c>
      <c r="S43" s="2">
        <f t="shared" si="20"/>
        <v>28425.210849784442</v>
      </c>
      <c r="T43" s="2">
        <f t="shared" si="20"/>
        <v>43555.064431406128</v>
      </c>
      <c r="U43" s="2"/>
      <c r="V43" s="2"/>
      <c r="W43" s="2">
        <f t="shared" si="6"/>
        <v>16557.916346273603</v>
      </c>
      <c r="X43" s="2"/>
      <c r="Y43" s="2">
        <f t="shared" si="21"/>
        <v>38893.169140662911</v>
      </c>
      <c r="Z43" s="2">
        <f t="shared" si="22"/>
        <v>127431.36076812708</v>
      </c>
      <c r="AA43" s="2">
        <f t="shared" si="23"/>
        <v>1805.1795046233165</v>
      </c>
      <c r="AB43" s="6">
        <f t="shared" si="24"/>
        <v>1.4369452979207506E-2</v>
      </c>
      <c r="AC43" s="7">
        <f t="shared" si="25"/>
        <v>1.0143694529792076</v>
      </c>
      <c r="AD43" s="2">
        <f t="shared" si="26"/>
        <v>0</v>
      </c>
      <c r="AF43">
        <f t="shared" si="7"/>
        <v>1992</v>
      </c>
      <c r="AG43" s="6">
        <f t="shared" si="3"/>
        <v>0.223062915427127</v>
      </c>
      <c r="AH43" s="6">
        <f t="shared" si="3"/>
        <v>0.34179235134009528</v>
      </c>
      <c r="AI43" s="7"/>
      <c r="AJ43" s="7"/>
      <c r="AK43" s="6">
        <f t="shared" si="4"/>
        <v>0.12993596118307357</v>
      </c>
      <c r="AL43" s="7"/>
      <c r="AM43" s="6">
        <f t="shared" si="8"/>
        <v>0.30520877204970415</v>
      </c>
      <c r="AN43" s="6">
        <f t="shared" si="27"/>
        <v>1</v>
      </c>
      <c r="AO43" s="7">
        <f t="shared" si="28"/>
        <v>0.69479122795029591</v>
      </c>
      <c r="AP43" s="7">
        <f t="shared" si="29"/>
        <v>0</v>
      </c>
    </row>
    <row r="44" spans="1:42" x14ac:dyDescent="0.2">
      <c r="A44">
        <f t="shared" si="5"/>
        <v>1993</v>
      </c>
      <c r="B44" s="2">
        <f t="shared" si="9"/>
        <v>31236.464202828123</v>
      </c>
      <c r="C44" s="2">
        <f t="shared" si="10"/>
        <v>49866.193267516879</v>
      </c>
      <c r="D44" s="2"/>
      <c r="E44" s="2"/>
      <c r="F44" s="2">
        <f t="shared" si="11"/>
        <v>21607.087356906275</v>
      </c>
      <c r="G44" s="2"/>
      <c r="H44" s="2">
        <f t="shared" si="12"/>
        <v>42658.027913479084</v>
      </c>
      <c r="I44" s="2">
        <f t="shared" si="30"/>
        <v>145367.77274073035</v>
      </c>
      <c r="J44" s="2">
        <f t="shared" si="14"/>
        <v>11705.198694372753</v>
      </c>
      <c r="K44" s="6">
        <f t="shared" si="15"/>
        <v>8.7572746356905345E-2</v>
      </c>
      <c r="L44" s="7">
        <f t="shared" si="16"/>
        <v>1.0875727463569054</v>
      </c>
      <c r="N44">
        <f t="shared" si="17"/>
        <v>1993</v>
      </c>
      <c r="O44" s="2">
        <f t="shared" si="18"/>
        <v>6405.6872500209538</v>
      </c>
      <c r="P44" s="2"/>
      <c r="Q44" s="2"/>
      <c r="R44">
        <f t="shared" si="19"/>
        <v>1993</v>
      </c>
      <c r="S44" s="2">
        <f t="shared" si="20"/>
        <v>29635.042390322884</v>
      </c>
      <c r="T44" s="2">
        <f t="shared" si="20"/>
        <v>48264.771455011643</v>
      </c>
      <c r="U44" s="2"/>
      <c r="V44" s="2"/>
      <c r="W44" s="2">
        <f t="shared" si="6"/>
        <v>20005.665544401036</v>
      </c>
      <c r="X44" s="2"/>
      <c r="Y44" s="2">
        <f t="shared" si="21"/>
        <v>41056.606100973848</v>
      </c>
      <c r="Z44" s="2">
        <f t="shared" si="22"/>
        <v>138962.0854907094</v>
      </c>
      <c r="AA44" s="2">
        <f t="shared" si="23"/>
        <v>11530.724722582323</v>
      </c>
      <c r="AB44" s="6">
        <f t="shared" si="24"/>
        <v>9.0485769382652376E-2</v>
      </c>
      <c r="AC44" s="7">
        <f t="shared" si="25"/>
        <v>1.0904857693826524</v>
      </c>
      <c r="AD44" s="2">
        <f t="shared" si="26"/>
        <v>0</v>
      </c>
      <c r="AF44">
        <f t="shared" si="7"/>
        <v>1993</v>
      </c>
      <c r="AG44" s="6">
        <f t="shared" si="3"/>
        <v>0.21325991392309807</v>
      </c>
      <c r="AH44" s="6">
        <f t="shared" si="3"/>
        <v>0.3473233096968632</v>
      </c>
      <c r="AI44" s="7"/>
      <c r="AJ44" s="7"/>
      <c r="AK44" s="6">
        <f t="shared" si="4"/>
        <v>0.14396492017053497</v>
      </c>
      <c r="AL44" s="7"/>
      <c r="AM44" s="6">
        <f t="shared" si="8"/>
        <v>0.29545185620950382</v>
      </c>
      <c r="AN44" s="6">
        <f t="shared" si="27"/>
        <v>1</v>
      </c>
      <c r="AO44" s="7">
        <f t="shared" si="28"/>
        <v>0.70454814379049624</v>
      </c>
      <c r="AP44" s="7">
        <f t="shared" si="29"/>
        <v>0</v>
      </c>
    </row>
    <row r="45" spans="1:42" x14ac:dyDescent="0.2">
      <c r="A45">
        <f t="shared" si="5"/>
        <v>1994</v>
      </c>
      <c r="B45" s="2">
        <f t="shared" si="9"/>
        <v>29984.735890528696</v>
      </c>
      <c r="C45" s="2">
        <f t="shared" si="10"/>
        <v>47413.380886545237</v>
      </c>
      <c r="D45" s="2"/>
      <c r="E45" s="2"/>
      <c r="F45" s="2">
        <f t="shared" si="11"/>
        <v>21056.963268759311</v>
      </c>
      <c r="G45" s="2"/>
      <c r="H45" s="2">
        <f t="shared" si="12"/>
        <v>39964.500378687946</v>
      </c>
      <c r="I45" s="2">
        <f t="shared" si="30"/>
        <v>138419.58042452121</v>
      </c>
      <c r="J45" s="2">
        <f t="shared" si="14"/>
        <v>-6948.1923162091407</v>
      </c>
      <c r="K45" s="6">
        <f t="shared" si="15"/>
        <v>-4.7797336267932915E-2</v>
      </c>
      <c r="L45" s="7">
        <f t="shared" si="16"/>
        <v>0.95220266373206708</v>
      </c>
      <c r="N45">
        <f t="shared" si="17"/>
        <v>1994</v>
      </c>
      <c r="O45" s="2">
        <f t="shared" si="18"/>
        <v>6572.2351185214984</v>
      </c>
      <c r="P45" s="2"/>
      <c r="Q45" s="2"/>
      <c r="R45">
        <f t="shared" si="19"/>
        <v>1994</v>
      </c>
      <c r="S45" s="2">
        <f t="shared" si="20"/>
        <v>28341.677110898323</v>
      </c>
      <c r="T45" s="2">
        <f t="shared" si="20"/>
        <v>45770.322106914864</v>
      </c>
      <c r="U45" s="2"/>
      <c r="V45" s="2"/>
      <c r="W45" s="2">
        <f t="shared" si="6"/>
        <v>19413.904489128938</v>
      </c>
      <c r="X45" s="2"/>
      <c r="Y45" s="2">
        <f t="shared" si="21"/>
        <v>38321.441599057573</v>
      </c>
      <c r="Z45" s="2">
        <f t="shared" si="22"/>
        <v>131847.34530599971</v>
      </c>
      <c r="AA45" s="2">
        <f t="shared" si="23"/>
        <v>-7114.7401847096917</v>
      </c>
      <c r="AB45" s="6">
        <f t="shared" si="24"/>
        <v>-5.1199146584377957E-2</v>
      </c>
      <c r="AC45" s="7">
        <f t="shared" si="25"/>
        <v>0.94880085341562204</v>
      </c>
      <c r="AD45" s="2">
        <f t="shared" si="26"/>
        <v>0</v>
      </c>
      <c r="AF45">
        <f t="shared" si="7"/>
        <v>1994</v>
      </c>
      <c r="AG45" s="6">
        <f t="shared" si="3"/>
        <v>0.21495826893686146</v>
      </c>
      <c r="AH45" s="6">
        <f t="shared" si="3"/>
        <v>0.34714633048309151</v>
      </c>
      <c r="AI45" s="7"/>
      <c r="AJ45" s="7"/>
      <c r="AK45" s="6">
        <f t="shared" si="4"/>
        <v>0.14724531953276657</v>
      </c>
      <c r="AL45" s="7"/>
      <c r="AM45" s="6">
        <f t="shared" si="8"/>
        <v>0.29065008104728035</v>
      </c>
      <c r="AN45" s="6">
        <f t="shared" si="27"/>
        <v>0.99999999999999978</v>
      </c>
      <c r="AO45" s="7">
        <f t="shared" si="28"/>
        <v>0.70934991895271948</v>
      </c>
      <c r="AP45" s="7">
        <f t="shared" si="29"/>
        <v>0</v>
      </c>
    </row>
    <row r="46" spans="1:42" x14ac:dyDescent="0.2">
      <c r="A46">
        <f t="shared" si="5"/>
        <v>1995</v>
      </c>
      <c r="B46" s="2">
        <f t="shared" si="9"/>
        <v>38955.635188929744</v>
      </c>
      <c r="C46" s="2">
        <f t="shared" si="10"/>
        <v>61239.317869388877</v>
      </c>
      <c r="D46" s="2"/>
      <c r="E46" s="2"/>
      <c r="F46" s="2">
        <f t="shared" si="11"/>
        <v>21286.569716150316</v>
      </c>
      <c r="G46" s="2"/>
      <c r="H46" s="2">
        <f t="shared" si="12"/>
        <v>45288.279681766238</v>
      </c>
      <c r="I46" s="2">
        <f t="shared" si="30"/>
        <v>166769.80245623516</v>
      </c>
      <c r="J46" s="2">
        <f t="shared" si="14"/>
        <v>28350.222031713958</v>
      </c>
      <c r="K46" s="6">
        <f t="shared" si="15"/>
        <v>0.20481366830304074</v>
      </c>
      <c r="L46" s="7">
        <f t="shared" si="16"/>
        <v>1.2048136683030408</v>
      </c>
      <c r="N46">
        <f t="shared" si="17"/>
        <v>1995</v>
      </c>
      <c r="O46" s="2">
        <f t="shared" si="18"/>
        <v>6736.5409964845348</v>
      </c>
      <c r="P46" s="2"/>
      <c r="Q46" s="2"/>
      <c r="R46">
        <f t="shared" si="19"/>
        <v>1995</v>
      </c>
      <c r="S46" s="2">
        <f t="shared" si="20"/>
        <v>37271.499939808607</v>
      </c>
      <c r="T46" s="2">
        <f t="shared" si="20"/>
        <v>59555.18262026774</v>
      </c>
      <c r="U46" s="2"/>
      <c r="V46" s="2"/>
      <c r="W46" s="2">
        <f t="shared" si="6"/>
        <v>19602.434467029183</v>
      </c>
      <c r="X46" s="2"/>
      <c r="Y46" s="2">
        <f t="shared" si="21"/>
        <v>43604.144432645102</v>
      </c>
      <c r="Z46" s="2">
        <f t="shared" si="22"/>
        <v>160033.26145975065</v>
      </c>
      <c r="AA46" s="2">
        <f t="shared" si="23"/>
        <v>28185.916153750935</v>
      </c>
      <c r="AB46" s="6">
        <f t="shared" si="24"/>
        <v>0.21377689545690334</v>
      </c>
      <c r="AC46" s="7">
        <f t="shared" si="25"/>
        <v>1.2137768954569033</v>
      </c>
      <c r="AD46" s="2">
        <f t="shared" si="26"/>
        <v>0</v>
      </c>
      <c r="AF46">
        <f t="shared" si="7"/>
        <v>1995</v>
      </c>
      <c r="AG46" s="6">
        <f t="shared" si="3"/>
        <v>0.23289845873185944</v>
      </c>
      <c r="AH46" s="6">
        <f t="shared" si="3"/>
        <v>0.37214252885326737</v>
      </c>
      <c r="AI46" s="7"/>
      <c r="AJ46" s="7"/>
      <c r="AK46" s="6">
        <f t="shared" si="4"/>
        <v>0.12248975174426047</v>
      </c>
      <c r="AL46" s="7"/>
      <c r="AM46" s="6">
        <f t="shared" si="8"/>
        <v>0.27246926067061261</v>
      </c>
      <c r="AN46" s="6">
        <f t="shared" si="27"/>
        <v>0.99999999999999989</v>
      </c>
      <c r="AO46" s="7">
        <f t="shared" si="28"/>
        <v>0.72753073932938728</v>
      </c>
      <c r="AP46" s="7">
        <f t="shared" si="29"/>
        <v>0</v>
      </c>
    </row>
    <row r="47" spans="1:42" x14ac:dyDescent="0.2">
      <c r="A47">
        <f t="shared" si="5"/>
        <v>1996</v>
      </c>
      <c r="B47" s="2">
        <f t="shared" si="9"/>
        <v>45799.21912603682</v>
      </c>
      <c r="C47" s="2">
        <f t="shared" si="10"/>
        <v>70064.885697266378</v>
      </c>
      <c r="D47" s="2"/>
      <c r="E47" s="2"/>
      <c r="F47" s="2">
        <f t="shared" si="11"/>
        <v>21605.607245214895</v>
      </c>
      <c r="G47" s="2"/>
      <c r="H47" s="2">
        <f t="shared" si="12"/>
        <v>45165.1728033338</v>
      </c>
      <c r="I47" s="2">
        <f t="shared" si="30"/>
        <v>182634.88487185189</v>
      </c>
      <c r="J47" s="2">
        <f t="shared" si="14"/>
        <v>15865.082415616722</v>
      </c>
      <c r="K47" s="6">
        <f t="shared" si="15"/>
        <v>9.5131625641759351E-2</v>
      </c>
      <c r="L47" s="7">
        <f t="shared" si="16"/>
        <v>1.0951316256417594</v>
      </c>
      <c r="N47">
        <f t="shared" si="17"/>
        <v>1996</v>
      </c>
      <c r="O47" s="2">
        <f t="shared" si="18"/>
        <v>6965.5833903650091</v>
      </c>
      <c r="P47" s="2"/>
      <c r="Q47" s="2"/>
      <c r="R47">
        <f t="shared" si="19"/>
        <v>1996</v>
      </c>
      <c r="S47" s="2">
        <f t="shared" si="20"/>
        <v>44057.823278445569</v>
      </c>
      <c r="T47" s="2">
        <f t="shared" si="20"/>
        <v>68323.489849675127</v>
      </c>
      <c r="U47" s="2"/>
      <c r="V47" s="2"/>
      <c r="W47" s="2">
        <f t="shared" si="6"/>
        <v>19864.211397623643</v>
      </c>
      <c r="X47" s="2"/>
      <c r="Y47" s="2">
        <f t="shared" si="21"/>
        <v>43423.776955742549</v>
      </c>
      <c r="Z47" s="2">
        <f t="shared" si="22"/>
        <v>175669.30148148688</v>
      </c>
      <c r="AA47" s="2">
        <f t="shared" si="23"/>
        <v>15636.040021736233</v>
      </c>
      <c r="AB47" s="6">
        <f t="shared" si="24"/>
        <v>9.7704938830286817E-2</v>
      </c>
      <c r="AC47" s="7">
        <f t="shared" si="25"/>
        <v>1.0977049388302869</v>
      </c>
      <c r="AD47" s="2">
        <f t="shared" si="26"/>
        <v>0</v>
      </c>
      <c r="AF47">
        <f t="shared" si="7"/>
        <v>1996</v>
      </c>
      <c r="AG47" s="6">
        <f t="shared" si="3"/>
        <v>0.25079978634222927</v>
      </c>
      <c r="AH47" s="6">
        <f t="shared" si="3"/>
        <v>0.38893243881245509</v>
      </c>
      <c r="AI47" s="7"/>
      <c r="AJ47" s="7"/>
      <c r="AK47" s="6">
        <f t="shared" si="4"/>
        <v>0.11307730622311979</v>
      </c>
      <c r="AL47" s="7"/>
      <c r="AM47" s="6">
        <f t="shared" si="8"/>
        <v>0.24719046862219587</v>
      </c>
      <c r="AN47" s="6">
        <f t="shared" si="27"/>
        <v>1.0000000000000002</v>
      </c>
      <c r="AO47" s="7">
        <f t="shared" si="28"/>
        <v>0.75280953137780426</v>
      </c>
      <c r="AP47" s="7">
        <f t="shared" si="29"/>
        <v>0</v>
      </c>
    </row>
    <row r="48" spans="1:42" x14ac:dyDescent="0.2">
      <c r="A48">
        <f t="shared" si="5"/>
        <v>1997</v>
      </c>
      <c r="B48" s="2">
        <f t="shared" si="9"/>
        <v>58680.614824561657</v>
      </c>
      <c r="C48" s="2">
        <f t="shared" si="10"/>
        <v>86556.979585857916</v>
      </c>
      <c r="D48" s="2"/>
      <c r="E48" s="2"/>
      <c r="F48" s="2"/>
      <c r="G48" s="2">
        <f>W47*(1+(G12/100))</f>
        <v>19710.263759292058</v>
      </c>
      <c r="H48" s="2">
        <f t="shared" si="12"/>
        <v>47522.981500364651</v>
      </c>
      <c r="I48" s="2">
        <f t="shared" si="30"/>
        <v>212470.83967007627</v>
      </c>
      <c r="J48" s="2">
        <f t="shared" si="14"/>
        <v>29835.954798224382</v>
      </c>
      <c r="K48" s="6">
        <f t="shared" si="15"/>
        <v>0.16336394232218648</v>
      </c>
      <c r="L48" s="7">
        <f t="shared" si="16"/>
        <v>1.1633639423221864</v>
      </c>
      <c r="N48">
        <f t="shared" si="17"/>
        <v>1997</v>
      </c>
      <c r="O48" s="2">
        <f t="shared" si="18"/>
        <v>7083.9983080012134</v>
      </c>
      <c r="P48" s="2"/>
      <c r="Q48" s="2"/>
      <c r="R48">
        <f t="shared" si="19"/>
        <v>1997</v>
      </c>
      <c r="S48" s="2">
        <f t="shared" si="20"/>
        <v>56909.615247561356</v>
      </c>
      <c r="T48" s="2">
        <f t="shared" si="20"/>
        <v>84785.980008857616</v>
      </c>
      <c r="U48" s="2"/>
      <c r="V48" s="2"/>
      <c r="W48" s="2"/>
      <c r="X48" s="2">
        <f>G48-(O48/4)</f>
        <v>17939.264182291754</v>
      </c>
      <c r="Y48" s="2">
        <f t="shared" si="21"/>
        <v>45751.98192336435</v>
      </c>
      <c r="Z48" s="2">
        <f t="shared" si="22"/>
        <v>205386.84136207507</v>
      </c>
      <c r="AA48" s="2">
        <f t="shared" si="23"/>
        <v>29717.539880588185</v>
      </c>
      <c r="AB48" s="6">
        <f t="shared" si="24"/>
        <v>0.16916751891177756</v>
      </c>
      <c r="AC48" s="7">
        <f t="shared" si="25"/>
        <v>1.1691675189117776</v>
      </c>
      <c r="AD48" s="2">
        <f t="shared" si="26"/>
        <v>0</v>
      </c>
      <c r="AF48">
        <f t="shared" si="7"/>
        <v>1997</v>
      </c>
      <c r="AG48" s="6">
        <f t="shared" si="3"/>
        <v>0.27708501124098689</v>
      </c>
      <c r="AH48" s="6">
        <f t="shared" si="3"/>
        <v>0.41281115891640296</v>
      </c>
      <c r="AI48" s="7"/>
      <c r="AJ48" s="7"/>
      <c r="AK48" s="6">
        <f t="shared" si="4"/>
        <v>0</v>
      </c>
      <c r="AL48" s="6"/>
      <c r="AM48" s="6">
        <f t="shared" si="8"/>
        <v>0.22276004450892983</v>
      </c>
      <c r="AN48" s="6">
        <f t="shared" si="27"/>
        <v>0.91265621466631963</v>
      </c>
      <c r="AO48" s="7">
        <f t="shared" si="28"/>
        <v>0.6898961701573898</v>
      </c>
      <c r="AP48" s="7">
        <f t="shared" si="29"/>
        <v>0</v>
      </c>
    </row>
    <row r="49" spans="1:42" x14ac:dyDescent="0.2">
      <c r="A49">
        <f t="shared" si="5"/>
        <v>1998</v>
      </c>
      <c r="B49" s="2">
        <f t="shared" si="9"/>
        <v>73219.910977512438</v>
      </c>
      <c r="C49" s="2">
        <f t="shared" si="10"/>
        <v>91868.152918997497</v>
      </c>
      <c r="D49" s="2"/>
      <c r="E49" s="2"/>
      <c r="F49" s="2"/>
      <c r="G49" s="2">
        <f t="shared" ref="G49:G64" si="31">X48*(1+(G13/100))</f>
        <v>20738.327572654733</v>
      </c>
      <c r="H49" s="2">
        <f t="shared" si="12"/>
        <v>49677.501972389015</v>
      </c>
      <c r="I49" s="2">
        <f t="shared" si="13"/>
        <v>235503.89344155369</v>
      </c>
      <c r="J49" s="2">
        <f>I49-I48</f>
        <v>23033.053771477425</v>
      </c>
      <c r="K49" s="6">
        <f>(J49/I48)</f>
        <v>0.10840571726098058</v>
      </c>
      <c r="L49" s="7">
        <f t="shared" si="16"/>
        <v>1.1084057172609807</v>
      </c>
      <c r="N49">
        <f t="shared" si="17"/>
        <v>1998</v>
      </c>
      <c r="O49" s="2">
        <f t="shared" si="18"/>
        <v>7197.3422809292333</v>
      </c>
      <c r="P49" s="2"/>
      <c r="Q49" s="2"/>
      <c r="R49">
        <f t="shared" si="19"/>
        <v>1998</v>
      </c>
      <c r="S49" s="2">
        <f t="shared" si="20"/>
        <v>71420.575407280136</v>
      </c>
      <c r="T49" s="2">
        <f t="shared" si="20"/>
        <v>90068.817348765195</v>
      </c>
      <c r="U49" s="2"/>
      <c r="V49" s="2"/>
      <c r="W49" s="2"/>
      <c r="X49" s="2">
        <f>G49-($O49/4)</f>
        <v>18938.992002422423</v>
      </c>
      <c r="Y49" s="2">
        <f t="shared" si="21"/>
        <v>47878.166402156705</v>
      </c>
      <c r="Z49" s="2">
        <f t="shared" si="22"/>
        <v>228306.55116062445</v>
      </c>
      <c r="AA49" s="2">
        <f>Z49-Z48</f>
        <v>22919.709798549389</v>
      </c>
      <c r="AB49" s="6">
        <f>(AA49/Z48)</f>
        <v>0.11159288319812265</v>
      </c>
      <c r="AC49" s="7">
        <f t="shared" si="25"/>
        <v>1.1115928831981225</v>
      </c>
      <c r="AD49" s="2">
        <f t="shared" si="26"/>
        <v>0</v>
      </c>
      <c r="AF49">
        <f t="shared" si="7"/>
        <v>1998</v>
      </c>
      <c r="AG49" s="6">
        <f t="shared" si="3"/>
        <v>0.31282753405105918</v>
      </c>
      <c r="AH49" s="6">
        <f t="shared" si="3"/>
        <v>0.39450824731436429</v>
      </c>
      <c r="AI49" s="7"/>
      <c r="AJ49" s="7"/>
      <c r="AK49" s="6"/>
      <c r="AL49" s="6">
        <f t="shared" ref="AL49:AL64" si="32">X49/$Z49</f>
        <v>8.2954220569421797E-2</v>
      </c>
      <c r="AM49" s="6">
        <f t="shared" si="8"/>
        <v>0.20970999806515472</v>
      </c>
      <c r="AN49" s="6">
        <f t="shared" si="27"/>
        <v>1</v>
      </c>
      <c r="AO49" s="7">
        <f t="shared" si="28"/>
        <v>0.79029000193484533</v>
      </c>
      <c r="AP49" s="7">
        <f t="shared" si="29"/>
        <v>0</v>
      </c>
    </row>
    <row r="50" spans="1:42" x14ac:dyDescent="0.2">
      <c r="A50">
        <f t="shared" si="5"/>
        <v>1999</v>
      </c>
      <c r="B50" s="2">
        <f t="shared" si="9"/>
        <v>86468.890645594074</v>
      </c>
      <c r="C50" s="2"/>
      <c r="D50" s="2">
        <f>($T49*0.67)*(1+(D14/100))</f>
        <v>69590.527850543105</v>
      </c>
      <c r="E50" s="2">
        <f>($T49*0.33)*(1+(E14/100))</f>
        <v>36598.46416579817</v>
      </c>
      <c r="F50" s="2"/>
      <c r="G50" s="2">
        <f t="shared" si="31"/>
        <v>24605.349019627189</v>
      </c>
      <c r="H50" s="2">
        <f t="shared" si="12"/>
        <v>47514.292337500308</v>
      </c>
      <c r="I50" s="2">
        <f t="shared" si="13"/>
        <v>264777.52401906287</v>
      </c>
      <c r="J50" s="2">
        <f>I50-I49</f>
        <v>29273.630577509175</v>
      </c>
      <c r="K50" s="6">
        <f>(J50/I49)</f>
        <v>0.12430210876651249</v>
      </c>
      <c r="L50" s="7">
        <f t="shared" si="16"/>
        <v>1.1243021087665124</v>
      </c>
      <c r="N50">
        <f t="shared" si="17"/>
        <v>1999</v>
      </c>
      <c r="O50" s="2">
        <f t="shared" si="18"/>
        <v>7391.6705225143223</v>
      </c>
      <c r="P50" s="2"/>
      <c r="Q50" s="2"/>
      <c r="R50">
        <f t="shared" si="19"/>
        <v>1999</v>
      </c>
      <c r="S50" s="2">
        <f>B50-($O50/5)</f>
        <v>84990.55654109121</v>
      </c>
      <c r="T50" s="2"/>
      <c r="U50" s="2">
        <f>D50-($O50/5)</f>
        <v>68112.193746040241</v>
      </c>
      <c r="V50" s="2">
        <f>E50-($O50/5)</f>
        <v>35120.130061295305</v>
      </c>
      <c r="W50" s="2"/>
      <c r="X50" s="2">
        <f>G50-($O50/5)</f>
        <v>23127.014915124324</v>
      </c>
      <c r="Y50" s="2">
        <f>H50-($O50/5)</f>
        <v>46035.958232997444</v>
      </c>
      <c r="Z50" s="2">
        <f t="shared" si="22"/>
        <v>257385.85349654855</v>
      </c>
      <c r="AA50" s="2">
        <f>Z50-Z49</f>
        <v>29079.302335924091</v>
      </c>
      <c r="AB50" s="6">
        <f>(AA50/Z49)</f>
        <v>0.12736954847811366</v>
      </c>
      <c r="AC50" s="7">
        <f t="shared" si="25"/>
        <v>1.1273695484781137</v>
      </c>
      <c r="AD50" s="2">
        <f t="shared" si="26"/>
        <v>0</v>
      </c>
      <c r="AF50">
        <f t="shared" si="7"/>
        <v>1999</v>
      </c>
      <c r="AG50" s="6">
        <f t="shared" si="3"/>
        <v>0.3302067902586997</v>
      </c>
      <c r="AH50" s="6">
        <f t="shared" si="3"/>
        <v>0</v>
      </c>
      <c r="AI50" s="7"/>
      <c r="AJ50" s="7"/>
      <c r="AK50" s="7"/>
      <c r="AL50" s="6">
        <f t="shared" si="32"/>
        <v>8.9853481071112754E-2</v>
      </c>
      <c r="AM50" s="6">
        <f t="shared" si="8"/>
        <v>0.17885970657518974</v>
      </c>
      <c r="AN50" s="6">
        <f t="shared" si="27"/>
        <v>0.59891997790500218</v>
      </c>
      <c r="AO50" s="7">
        <f t="shared" si="28"/>
        <v>0.42006027132981244</v>
      </c>
      <c r="AP50" s="7">
        <f t="shared" si="29"/>
        <v>0</v>
      </c>
    </row>
    <row r="51" spans="1:42" x14ac:dyDescent="0.2">
      <c r="A51">
        <f t="shared" si="5"/>
        <v>2000</v>
      </c>
      <c r="B51" s="2">
        <f t="shared" ref="B51:B64" si="33">S50*(1+(B15/100))</f>
        <v>77290.412118468346</v>
      </c>
      <c r="C51" s="2"/>
      <c r="D51" s="2">
        <f t="shared" ref="D51" si="34">U50*(1+(D15/100))</f>
        <v>80439.1385701986</v>
      </c>
      <c r="E51" s="2">
        <f t="shared" ref="E51" si="35">V50*(1+(E15/100))</f>
        <v>34184.178595161786</v>
      </c>
      <c r="F51" s="2"/>
      <c r="G51" s="2">
        <f t="shared" si="31"/>
        <v>19515.962806276813</v>
      </c>
      <c r="H51" s="2">
        <f t="shared" si="12"/>
        <v>51279.45387573586</v>
      </c>
      <c r="I51" s="2">
        <f t="shared" si="13"/>
        <v>262709.14596584137</v>
      </c>
      <c r="J51" s="2">
        <f t="shared" si="14"/>
        <v>-2068.3780532215023</v>
      </c>
      <c r="K51" s="6">
        <f t="shared" si="15"/>
        <v>-7.8117584220350512E-3</v>
      </c>
      <c r="L51" s="7">
        <f t="shared" si="16"/>
        <v>0.99218824157796492</v>
      </c>
      <c r="N51">
        <f t="shared" si="17"/>
        <v>2000</v>
      </c>
      <c r="O51" s="2">
        <f t="shared" si="18"/>
        <v>7642.9873202798099</v>
      </c>
      <c r="P51" s="2"/>
      <c r="Q51" s="2"/>
      <c r="R51">
        <f t="shared" si="19"/>
        <v>2000</v>
      </c>
      <c r="S51" s="2">
        <f>B51-($O51/5)</f>
        <v>75761.814654412388</v>
      </c>
      <c r="T51" s="2"/>
      <c r="U51" s="2">
        <f t="shared" ref="U51" si="36">D51-($O51/5)</f>
        <v>78910.541106142642</v>
      </c>
      <c r="V51" s="2">
        <f t="shared" ref="V51" si="37">E51-($O51/5)</f>
        <v>32655.581131105824</v>
      </c>
      <c r="W51" s="2"/>
      <c r="X51" s="2">
        <f>G51-($O51/5)</f>
        <v>17987.365342220852</v>
      </c>
      <c r="Y51" s="2">
        <f>H51-($O51/5)</f>
        <v>49750.856411679895</v>
      </c>
      <c r="Z51" s="2">
        <f t="shared" si="22"/>
        <v>255066.15864556161</v>
      </c>
      <c r="AA51" s="2">
        <f t="shared" si="23"/>
        <v>-2319.6948509869399</v>
      </c>
      <c r="AB51" s="6">
        <f t="shared" si="24"/>
        <v>-9.0125188291206772E-3</v>
      </c>
      <c r="AC51" s="7">
        <f t="shared" si="25"/>
        <v>0.99098748117087931</v>
      </c>
      <c r="AD51" s="2">
        <f t="shared" si="26"/>
        <v>0</v>
      </c>
      <c r="AF51">
        <f t="shared" si="7"/>
        <v>2000</v>
      </c>
      <c r="AG51" s="6">
        <f t="shared" si="3"/>
        <v>0.29702809285527582</v>
      </c>
      <c r="AH51" s="7"/>
      <c r="AI51" s="6">
        <f>U51/$Z51</f>
        <v>0.30937283693442158</v>
      </c>
      <c r="AJ51" s="6">
        <f>V51/$Z51</f>
        <v>0.1280278861943572</v>
      </c>
      <c r="AK51" s="7"/>
      <c r="AL51" s="6">
        <f t="shared" si="32"/>
        <v>7.0520391406435012E-2</v>
      </c>
      <c r="AM51" s="6">
        <f t="shared" si="8"/>
        <v>0.19505079260951033</v>
      </c>
      <c r="AN51" s="6">
        <f t="shared" si="27"/>
        <v>0.99999999999999989</v>
      </c>
      <c r="AO51" s="7">
        <f t="shared" si="28"/>
        <v>0.80494920739048959</v>
      </c>
      <c r="AP51" s="7">
        <f t="shared" si="29"/>
        <v>0</v>
      </c>
    </row>
    <row r="52" spans="1:42" x14ac:dyDescent="0.2">
      <c r="A52">
        <f t="shared" si="5"/>
        <v>2001</v>
      </c>
      <c r="B52" s="2">
        <f t="shared" si="33"/>
        <v>66655.244532952027</v>
      </c>
      <c r="C52" s="2"/>
      <c r="D52" s="2">
        <f t="shared" ref="D52:D64" si="38">U51*(1+(D16/100))</f>
        <v>78516.777506022991</v>
      </c>
      <c r="E52" s="2">
        <f t="shared" ref="E52:E64" si="39">V51*(1+(E16/100))</f>
        <v>33667.904146170105</v>
      </c>
      <c r="F52" s="2"/>
      <c r="G52" s="2">
        <f t="shared" si="31"/>
        <v>14362.371604803084</v>
      </c>
      <c r="H52" s="2">
        <f t="shared" si="12"/>
        <v>53944.853607184516</v>
      </c>
      <c r="I52" s="2">
        <f t="shared" si="13"/>
        <v>247147.15139713272</v>
      </c>
      <c r="J52" s="2">
        <f t="shared" si="14"/>
        <v>-15561.994568708644</v>
      </c>
      <c r="K52" s="6">
        <f t="shared" si="15"/>
        <v>-5.9236592283437611E-2</v>
      </c>
      <c r="L52" s="7">
        <f t="shared" si="16"/>
        <v>0.94076340771656242</v>
      </c>
      <c r="N52">
        <f t="shared" si="17"/>
        <v>2001</v>
      </c>
      <c r="O52" s="2">
        <f t="shared" si="18"/>
        <v>7765.2751174042869</v>
      </c>
      <c r="P52" s="2"/>
      <c r="Q52" s="2"/>
      <c r="R52">
        <f t="shared" si="19"/>
        <v>2001</v>
      </c>
      <c r="S52" s="2">
        <f t="shared" ref="S52:S64" si="40">B52-($O52/5)</f>
        <v>65102.189509471173</v>
      </c>
      <c r="T52" s="2"/>
      <c r="U52" s="2">
        <f t="shared" ref="U52:V64" si="41">D52-($O52/5)</f>
        <v>76963.722482542129</v>
      </c>
      <c r="V52" s="2">
        <f t="shared" si="41"/>
        <v>32114.849122689247</v>
      </c>
      <c r="W52" s="2"/>
      <c r="X52" s="2">
        <f t="shared" ref="X52:Y64" si="42">G52-($O52/5)</f>
        <v>12809.316581322226</v>
      </c>
      <c r="Y52" s="2">
        <f t="shared" si="42"/>
        <v>52391.798583703661</v>
      </c>
      <c r="Z52" s="2">
        <f t="shared" si="22"/>
        <v>239381.87627972846</v>
      </c>
      <c r="AA52" s="2">
        <f t="shared" si="23"/>
        <v>-15684.282365833147</v>
      </c>
      <c r="AB52" s="6">
        <f t="shared" si="24"/>
        <v>-6.1491036086946879E-2</v>
      </c>
      <c r="AC52" s="7">
        <f t="shared" si="25"/>
        <v>0.93850896391305316</v>
      </c>
      <c r="AD52" s="2">
        <f t="shared" si="26"/>
        <v>0</v>
      </c>
      <c r="AF52">
        <f t="shared" si="7"/>
        <v>2001</v>
      </c>
      <c r="AG52" s="6">
        <f t="shared" si="3"/>
        <v>0.27195955901605662</v>
      </c>
      <c r="AH52" s="7"/>
      <c r="AI52" s="6">
        <f t="shared" ref="AI52:AJ64" si="43">U52/$Z52</f>
        <v>0.32151023159583964</v>
      </c>
      <c r="AJ52" s="6">
        <f t="shared" si="43"/>
        <v>0.13415739579700514</v>
      </c>
      <c r="AK52" s="7"/>
      <c r="AL52" s="6">
        <f t="shared" si="32"/>
        <v>5.3509968174674863E-2</v>
      </c>
      <c r="AM52" s="6">
        <f t="shared" si="8"/>
        <v>0.21886284541642365</v>
      </c>
      <c r="AN52" s="6">
        <f t="shared" si="27"/>
        <v>0.99999999999999989</v>
      </c>
      <c r="AO52" s="7">
        <f t="shared" si="28"/>
        <v>0.78113715458357624</v>
      </c>
      <c r="AP52" s="7">
        <f t="shared" si="29"/>
        <v>0</v>
      </c>
    </row>
    <row r="53" spans="1:42" x14ac:dyDescent="0.2">
      <c r="A53">
        <f t="shared" si="5"/>
        <v>2002</v>
      </c>
      <c r="B53" s="2">
        <f t="shared" si="33"/>
        <v>50682.054533123308</v>
      </c>
      <c r="C53" s="2"/>
      <c r="D53" s="2">
        <f t="shared" si="38"/>
        <v>65720.861902292381</v>
      </c>
      <c r="E53" s="2">
        <f t="shared" si="39"/>
        <v>25684.814031344409</v>
      </c>
      <c r="F53" s="2"/>
      <c r="G53" s="2">
        <f t="shared" si="31"/>
        <v>10877.287361361394</v>
      </c>
      <c r="H53" s="2">
        <f t="shared" si="12"/>
        <v>56719.361146717587</v>
      </c>
      <c r="I53" s="2">
        <f t="shared" si="13"/>
        <v>209684.37897483908</v>
      </c>
      <c r="J53" s="2">
        <f t="shared" si="14"/>
        <v>-37462.772422293638</v>
      </c>
      <c r="K53" s="6">
        <f t="shared" si="15"/>
        <v>-0.15158083842162487</v>
      </c>
      <c r="L53" s="7">
        <f t="shared" si="16"/>
        <v>0.84841916157837516</v>
      </c>
      <c r="N53">
        <f t="shared" si="17"/>
        <v>2002</v>
      </c>
      <c r="O53" s="2">
        <f t="shared" si="18"/>
        <v>7959.4069953393937</v>
      </c>
      <c r="P53" s="2"/>
      <c r="Q53" s="2"/>
      <c r="R53">
        <f t="shared" si="19"/>
        <v>2002</v>
      </c>
      <c r="S53" s="2">
        <f t="shared" si="40"/>
        <v>49090.173134055432</v>
      </c>
      <c r="T53" s="2"/>
      <c r="U53" s="2">
        <f t="shared" si="41"/>
        <v>64128.980503224506</v>
      </c>
      <c r="V53" s="2">
        <f t="shared" si="41"/>
        <v>24092.93263227653</v>
      </c>
      <c r="W53" s="2"/>
      <c r="X53" s="2">
        <f t="shared" si="42"/>
        <v>9285.4059622935147</v>
      </c>
      <c r="Y53" s="2">
        <f t="shared" si="42"/>
        <v>55127.479747649711</v>
      </c>
      <c r="Z53" s="2">
        <f t="shared" si="22"/>
        <v>201724.97197949968</v>
      </c>
      <c r="AA53" s="2">
        <f t="shared" si="23"/>
        <v>-37656.90430022878</v>
      </c>
      <c r="AB53" s="6">
        <f t="shared" si="24"/>
        <v>-0.15730891947820227</v>
      </c>
      <c r="AC53" s="7">
        <f t="shared" si="25"/>
        <v>0.84269108052179775</v>
      </c>
      <c r="AD53" s="2">
        <f t="shared" si="26"/>
        <v>0</v>
      </c>
      <c r="AF53">
        <f t="shared" si="7"/>
        <v>2002</v>
      </c>
      <c r="AG53" s="6">
        <f t="shared" si="3"/>
        <v>0.2433519888605771</v>
      </c>
      <c r="AH53" s="7"/>
      <c r="AI53" s="6">
        <f t="shared" si="43"/>
        <v>0.31790303339212567</v>
      </c>
      <c r="AJ53" s="6">
        <f t="shared" si="43"/>
        <v>0.11943455684170315</v>
      </c>
      <c r="AK53" s="7"/>
      <c r="AL53" s="6">
        <f t="shared" si="32"/>
        <v>4.6030027275141445E-2</v>
      </c>
      <c r="AM53" s="6">
        <f t="shared" si="8"/>
        <v>0.2732803936304527</v>
      </c>
      <c r="AN53" s="6">
        <f t="shared" si="27"/>
        <v>1</v>
      </c>
      <c r="AO53" s="7">
        <f t="shared" si="28"/>
        <v>0.72671960636954736</v>
      </c>
      <c r="AP53" s="7">
        <f t="shared" si="29"/>
        <v>0</v>
      </c>
    </row>
    <row r="54" spans="1:42" x14ac:dyDescent="0.2">
      <c r="A54">
        <f t="shared" si="5"/>
        <v>2003</v>
      </c>
      <c r="B54" s="2">
        <f t="shared" si="33"/>
        <v>63080.872477261226</v>
      </c>
      <c r="C54" s="2"/>
      <c r="D54" s="2">
        <f t="shared" si="38"/>
        <v>86023.897026635415</v>
      </c>
      <c r="E54" s="2">
        <f t="shared" si="39"/>
        <v>35086.055933731666</v>
      </c>
      <c r="F54" s="2"/>
      <c r="G54" s="2">
        <f t="shared" si="31"/>
        <v>13031.138727482718</v>
      </c>
      <c r="H54" s="2">
        <f t="shared" si="12"/>
        <v>57316.04069363141</v>
      </c>
      <c r="I54" s="2">
        <f t="shared" si="13"/>
        <v>254538.00485874247</v>
      </c>
      <c r="J54" s="2">
        <f t="shared" si="14"/>
        <v>44853.625883903384</v>
      </c>
      <c r="K54" s="6">
        <f t="shared" si="15"/>
        <v>0.21391019256272573</v>
      </c>
      <c r="L54" s="7">
        <f t="shared" si="16"/>
        <v>1.2139101925627258</v>
      </c>
      <c r="N54">
        <f t="shared" si="17"/>
        <v>2003</v>
      </c>
      <c r="O54" s="2">
        <f t="shared" si="18"/>
        <v>8118.5951352461816</v>
      </c>
      <c r="P54" s="2"/>
      <c r="Q54" s="2"/>
      <c r="R54">
        <f t="shared" si="19"/>
        <v>2003</v>
      </c>
      <c r="S54" s="2">
        <f t="shared" si="40"/>
        <v>61457.15345021199</v>
      </c>
      <c r="T54" s="2"/>
      <c r="U54" s="2">
        <f t="shared" si="41"/>
        <v>84400.177999586173</v>
      </c>
      <c r="V54" s="2">
        <f t="shared" si="41"/>
        <v>33462.336906682431</v>
      </c>
      <c r="W54" s="2"/>
      <c r="X54" s="2">
        <f t="shared" si="42"/>
        <v>11407.419700433482</v>
      </c>
      <c r="Y54" s="2">
        <f t="shared" si="42"/>
        <v>55692.321666582175</v>
      </c>
      <c r="Z54" s="2">
        <f t="shared" si="22"/>
        <v>246419.40972349624</v>
      </c>
      <c r="AA54" s="2">
        <f t="shared" si="23"/>
        <v>44694.437743996561</v>
      </c>
      <c r="AB54" s="6">
        <f t="shared" si="24"/>
        <v>0.22156125394598464</v>
      </c>
      <c r="AC54" s="7">
        <f t="shared" si="25"/>
        <v>1.2215612539459846</v>
      </c>
      <c r="AD54" s="2">
        <f t="shared" si="26"/>
        <v>0</v>
      </c>
      <c r="AF54">
        <f t="shared" si="7"/>
        <v>2003</v>
      </c>
      <c r="AG54" s="6">
        <f t="shared" si="3"/>
        <v>0.24940061953387599</v>
      </c>
      <c r="AH54" s="7"/>
      <c r="AI54" s="6">
        <f t="shared" si="43"/>
        <v>0.34250620961348144</v>
      </c>
      <c r="AJ54" s="6">
        <f t="shared" si="43"/>
        <v>0.1357942417938183</v>
      </c>
      <c r="AK54" s="7"/>
      <c r="AL54" s="6">
        <f t="shared" si="32"/>
        <v>4.629269956142492E-2</v>
      </c>
      <c r="AM54" s="6">
        <f t="shared" si="8"/>
        <v>0.22600622949739937</v>
      </c>
      <c r="AN54" s="6">
        <f t="shared" si="27"/>
        <v>1</v>
      </c>
      <c r="AO54" s="7">
        <f t="shared" si="28"/>
        <v>0.77399377050260065</v>
      </c>
      <c r="AP54" s="7">
        <f t="shared" si="29"/>
        <v>0</v>
      </c>
    </row>
    <row r="55" spans="1:42" x14ac:dyDescent="0.2">
      <c r="A55">
        <f t="shared" si="5"/>
        <v>2004</v>
      </c>
      <c r="B55" s="2">
        <f t="shared" si="33"/>
        <v>68057.651730764759</v>
      </c>
      <c r="C55" s="2"/>
      <c r="D55" s="2">
        <f t="shared" si="38"/>
        <v>101578.14622784195</v>
      </c>
      <c r="E55" s="2">
        <f t="shared" si="39"/>
        <v>40120.338081005037</v>
      </c>
      <c r="F55" s="2"/>
      <c r="G55" s="2">
        <f t="shared" si="31"/>
        <v>13784.383743412805</v>
      </c>
      <c r="H55" s="2">
        <f t="shared" si="12"/>
        <v>58053.676105245257</v>
      </c>
      <c r="I55" s="2">
        <f t="shared" si="13"/>
        <v>281594.19588826981</v>
      </c>
      <c r="J55" s="2">
        <f t="shared" si="14"/>
        <v>27056.191029527341</v>
      </c>
      <c r="K55" s="6">
        <f t="shared" si="15"/>
        <v>0.1062952899491074</v>
      </c>
      <c r="L55" s="7">
        <f t="shared" si="16"/>
        <v>1.1062952899491074</v>
      </c>
      <c r="N55">
        <f t="shared" si="17"/>
        <v>2004</v>
      </c>
      <c r="O55" s="2">
        <f t="shared" si="18"/>
        <v>8386.5087747093057</v>
      </c>
      <c r="P55" s="2"/>
      <c r="Q55" s="2"/>
      <c r="R55">
        <f t="shared" si="19"/>
        <v>2004</v>
      </c>
      <c r="S55" s="2">
        <f t="shared" si="40"/>
        <v>66380.349975822901</v>
      </c>
      <c r="T55" s="2"/>
      <c r="U55" s="2">
        <f t="shared" si="41"/>
        <v>99900.844472900091</v>
      </c>
      <c r="V55" s="2">
        <f t="shared" si="41"/>
        <v>38443.036326063178</v>
      </c>
      <c r="W55" s="2"/>
      <c r="X55" s="2">
        <f t="shared" si="42"/>
        <v>12107.081988470944</v>
      </c>
      <c r="Y55" s="2">
        <f t="shared" si="42"/>
        <v>56376.374350303398</v>
      </c>
      <c r="Z55" s="2">
        <f t="shared" si="22"/>
        <v>273207.6871135605</v>
      </c>
      <c r="AA55" s="2">
        <f t="shared" si="23"/>
        <v>26788.277390064264</v>
      </c>
      <c r="AB55" s="6">
        <f t="shared" si="24"/>
        <v>0.10871009479376245</v>
      </c>
      <c r="AC55" s="7">
        <f t="shared" si="25"/>
        <v>1.1087100947937625</v>
      </c>
      <c r="AD55" s="2">
        <f t="shared" si="26"/>
        <v>0</v>
      </c>
      <c r="AF55">
        <f t="shared" si="7"/>
        <v>2004</v>
      </c>
      <c r="AG55" s="6">
        <f t="shared" ref="AG55:AG64" si="44">S55/$Z55</f>
        <v>0.24296662614852227</v>
      </c>
      <c r="AH55" s="7"/>
      <c r="AI55" s="6">
        <f t="shared" si="43"/>
        <v>0.36565898100581506</v>
      </c>
      <c r="AJ55" s="6">
        <f t="shared" si="43"/>
        <v>0.1407099365768727</v>
      </c>
      <c r="AK55" s="7"/>
      <c r="AL55" s="6">
        <f t="shared" si="32"/>
        <v>4.4314572976998846E-2</v>
      </c>
      <c r="AM55" s="6">
        <f t="shared" si="8"/>
        <v>0.20634988329179113</v>
      </c>
      <c r="AN55" s="6">
        <f t="shared" si="27"/>
        <v>1</v>
      </c>
      <c r="AO55" s="7">
        <f t="shared" si="28"/>
        <v>0.79365011670820884</v>
      </c>
      <c r="AP55" s="7">
        <f t="shared" si="29"/>
        <v>0</v>
      </c>
    </row>
    <row r="56" spans="1:42" x14ac:dyDescent="0.2">
      <c r="A56">
        <f t="shared" si="5"/>
        <v>2005</v>
      </c>
      <c r="B56" s="2">
        <f t="shared" si="33"/>
        <v>69546.692669669661</v>
      </c>
      <c r="C56" s="2"/>
      <c r="D56" s="2">
        <f t="shared" si="38"/>
        <v>113818.03111641981</v>
      </c>
      <c r="E56" s="2">
        <f t="shared" si="39"/>
        <v>41273.597090751216</v>
      </c>
      <c r="F56" s="2"/>
      <c r="G56" s="2">
        <f t="shared" si="31"/>
        <v>13992.275724895755</v>
      </c>
      <c r="H56" s="2">
        <f t="shared" si="12"/>
        <v>57729.407334710682</v>
      </c>
      <c r="I56" s="2">
        <f t="shared" si="13"/>
        <v>296360.00393644714</v>
      </c>
      <c r="J56" s="2">
        <f>I56-I55</f>
        <v>14765.808048177336</v>
      </c>
      <c r="K56" s="6">
        <f>(J56/I55)</f>
        <v>5.2436478676698553E-2</v>
      </c>
      <c r="L56" s="7">
        <f t="shared" si="16"/>
        <v>1.0524364786766987</v>
      </c>
      <c r="N56">
        <f t="shared" si="17"/>
        <v>2005</v>
      </c>
      <c r="O56" s="2">
        <f t="shared" si="18"/>
        <v>8663.2635642747118</v>
      </c>
      <c r="P56" s="2"/>
      <c r="Q56" s="2"/>
      <c r="R56">
        <f t="shared" si="19"/>
        <v>2005</v>
      </c>
      <c r="S56" s="2">
        <f t="shared" si="40"/>
        <v>67814.039956814726</v>
      </c>
      <c r="T56" s="2"/>
      <c r="U56" s="2">
        <f t="shared" si="41"/>
        <v>112085.37840356486</v>
      </c>
      <c r="V56" s="2">
        <f t="shared" si="41"/>
        <v>39540.944377896274</v>
      </c>
      <c r="W56" s="2"/>
      <c r="X56" s="2">
        <f t="shared" si="42"/>
        <v>12259.623012040813</v>
      </c>
      <c r="Y56" s="2">
        <f t="shared" si="42"/>
        <v>55996.75462185574</v>
      </c>
      <c r="Z56" s="2">
        <f t="shared" si="22"/>
        <v>287696.74037217238</v>
      </c>
      <c r="AA56" s="2">
        <f>Z56-Z55</f>
        <v>14489.053258611879</v>
      </c>
      <c r="AB56" s="6">
        <f>(AA56/Z55)</f>
        <v>5.3033109762352378E-2</v>
      </c>
      <c r="AC56" s="7">
        <f t="shared" si="25"/>
        <v>1.0530331097623524</v>
      </c>
      <c r="AD56" s="2">
        <f t="shared" si="26"/>
        <v>0</v>
      </c>
      <c r="AF56">
        <f t="shared" si="7"/>
        <v>2005</v>
      </c>
      <c r="AG56" s="6">
        <f t="shared" si="44"/>
        <v>0.23571361937951965</v>
      </c>
      <c r="AH56" s="7"/>
      <c r="AI56" s="6">
        <f t="shared" si="43"/>
        <v>0.38959557991017951</v>
      </c>
      <c r="AJ56" s="6">
        <f t="shared" si="43"/>
        <v>0.13743966764011656</v>
      </c>
      <c r="AK56" s="7"/>
      <c r="AL56" s="6">
        <f t="shared" si="32"/>
        <v>4.2613006307201912E-2</v>
      </c>
      <c r="AM56" s="6">
        <f t="shared" si="8"/>
        <v>0.19463812676298245</v>
      </c>
      <c r="AN56" s="6">
        <f t="shared" si="27"/>
        <v>1</v>
      </c>
      <c r="AO56" s="7">
        <f t="shared" si="28"/>
        <v>0.80536187323701758</v>
      </c>
      <c r="AP56" s="7">
        <f t="shared" si="29"/>
        <v>0</v>
      </c>
    </row>
    <row r="57" spans="1:42" x14ac:dyDescent="0.2">
      <c r="A57">
        <f t="shared" si="5"/>
        <v>2006</v>
      </c>
      <c r="B57" s="2">
        <f t="shared" si="33"/>
        <v>78420.15580606056</v>
      </c>
      <c r="C57" s="2"/>
      <c r="D57" s="2">
        <f t="shared" si="38"/>
        <v>127325.62730509756</v>
      </c>
      <c r="E57" s="2">
        <f t="shared" si="39"/>
        <v>45731.474629699718</v>
      </c>
      <c r="F57" s="2"/>
      <c r="G57" s="2">
        <f t="shared" si="31"/>
        <v>15525.218793758124</v>
      </c>
      <c r="H57" s="2">
        <f t="shared" si="12"/>
        <v>58387.816044208979</v>
      </c>
      <c r="I57" s="2">
        <f t="shared" si="13"/>
        <v>325390.29257882497</v>
      </c>
      <c r="J57" s="2">
        <f t="shared" si="14"/>
        <v>29030.288642377825</v>
      </c>
      <c r="K57" s="6">
        <f t="shared" si="15"/>
        <v>9.7956162291734955E-2</v>
      </c>
      <c r="L57" s="7">
        <f t="shared" si="16"/>
        <v>1.0979561622917349</v>
      </c>
      <c r="N57">
        <f t="shared" si="17"/>
        <v>2006</v>
      </c>
      <c r="O57" s="2">
        <f t="shared" si="18"/>
        <v>8879.8451533815787</v>
      </c>
      <c r="P57" s="2"/>
      <c r="Q57" s="2"/>
      <c r="R57">
        <f t="shared" si="19"/>
        <v>2006</v>
      </c>
      <c r="S57" s="2">
        <f t="shared" si="40"/>
        <v>76644.186775384238</v>
      </c>
      <c r="T57" s="2"/>
      <c r="U57" s="2">
        <f t="shared" si="41"/>
        <v>125549.65827442124</v>
      </c>
      <c r="V57" s="2">
        <f t="shared" si="41"/>
        <v>43955.505599023403</v>
      </c>
      <c r="W57" s="2"/>
      <c r="X57" s="2">
        <f t="shared" si="42"/>
        <v>13749.249763081809</v>
      </c>
      <c r="Y57" s="2">
        <f t="shared" si="42"/>
        <v>56611.847013532664</v>
      </c>
      <c r="Z57" s="2">
        <f t="shared" si="22"/>
        <v>316510.44742544333</v>
      </c>
      <c r="AA57" s="2">
        <f t="shared" ref="AA57:AA64" si="45">Z57-Z56</f>
        <v>28813.707053270948</v>
      </c>
      <c r="AB57" s="6">
        <f t="shared" ref="AB57:AB64" si="46">(AA57/Z56)</f>
        <v>0.10015305357994932</v>
      </c>
      <c r="AC57" s="7">
        <f t="shared" si="25"/>
        <v>1.1001530535799493</v>
      </c>
      <c r="AD57" s="2">
        <f t="shared" si="26"/>
        <v>0</v>
      </c>
      <c r="AF57">
        <f t="shared" si="7"/>
        <v>2006</v>
      </c>
      <c r="AG57" s="6">
        <f t="shared" si="44"/>
        <v>0.24215373425687128</v>
      </c>
      <c r="AH57" s="7"/>
      <c r="AI57" s="6">
        <f t="shared" si="43"/>
        <v>0.39666829103325413</v>
      </c>
      <c r="AJ57" s="6">
        <f t="shared" si="43"/>
        <v>0.13887537032842331</v>
      </c>
      <c r="AK57" s="7"/>
      <c r="AL57" s="6">
        <f t="shared" si="32"/>
        <v>4.3440113509430237E-2</v>
      </c>
      <c r="AM57" s="6">
        <f t="shared" si="8"/>
        <v>0.17886249087202108</v>
      </c>
      <c r="AN57" s="6">
        <f t="shared" si="27"/>
        <v>1</v>
      </c>
      <c r="AO57" s="7">
        <f t="shared" si="28"/>
        <v>0.821137509127979</v>
      </c>
      <c r="AP57" s="7">
        <f t="shared" si="29"/>
        <v>0</v>
      </c>
    </row>
    <row r="58" spans="1:42" x14ac:dyDescent="0.2">
      <c r="A58">
        <f t="shared" si="5"/>
        <v>2007</v>
      </c>
      <c r="B58" s="2">
        <f t="shared" si="33"/>
        <v>80775.308442577458</v>
      </c>
      <c r="C58" s="2"/>
      <c r="D58" s="2">
        <f t="shared" si="38"/>
        <v>133109.00319912416</v>
      </c>
      <c r="E58" s="2">
        <f t="shared" si="39"/>
        <v>44463.631243748117</v>
      </c>
      <c r="F58" s="2"/>
      <c r="G58" s="2">
        <f t="shared" si="31"/>
        <v>15883.408311307367</v>
      </c>
      <c r="H58" s="2">
        <f t="shared" si="12"/>
        <v>60529.386826869122</v>
      </c>
      <c r="I58" s="2">
        <f t="shared" si="13"/>
        <v>334760.73802362621</v>
      </c>
      <c r="J58" s="2">
        <f t="shared" si="14"/>
        <v>9370.4454448012402</v>
      </c>
      <c r="K58" s="6">
        <f t="shared" si="15"/>
        <v>2.8797556837167396E-2</v>
      </c>
      <c r="L58" s="7">
        <f t="shared" si="16"/>
        <v>1.0287975568371674</v>
      </c>
      <c r="N58">
        <f t="shared" si="17"/>
        <v>2007</v>
      </c>
      <c r="O58" s="2">
        <f t="shared" si="18"/>
        <v>9243.918804670222</v>
      </c>
      <c r="P58" s="2"/>
      <c r="Q58" s="2"/>
      <c r="R58">
        <f t="shared" si="19"/>
        <v>2007</v>
      </c>
      <c r="S58" s="2">
        <f t="shared" si="40"/>
        <v>78926.524681643408</v>
      </c>
      <c r="T58" s="2"/>
      <c r="U58" s="2">
        <f t="shared" si="41"/>
        <v>131260.21943819011</v>
      </c>
      <c r="V58" s="2">
        <f t="shared" si="41"/>
        <v>42614.847482814075</v>
      </c>
      <c r="W58" s="2"/>
      <c r="X58" s="2">
        <f t="shared" si="42"/>
        <v>14034.624550373323</v>
      </c>
      <c r="Y58" s="2">
        <f t="shared" si="42"/>
        <v>58680.60306593508</v>
      </c>
      <c r="Z58" s="2">
        <f t="shared" si="22"/>
        <v>325516.81921895599</v>
      </c>
      <c r="AA58" s="2">
        <f t="shared" si="45"/>
        <v>9006.3717935126624</v>
      </c>
      <c r="AB58" s="6">
        <f t="shared" si="46"/>
        <v>2.8455211721357756E-2</v>
      </c>
      <c r="AC58" s="7">
        <f t="shared" si="25"/>
        <v>1.0284552117213577</v>
      </c>
      <c r="AD58" s="2">
        <f t="shared" si="26"/>
        <v>0</v>
      </c>
      <c r="AF58">
        <f t="shared" si="7"/>
        <v>2007</v>
      </c>
      <c r="AG58" s="6">
        <f t="shared" si="44"/>
        <v>0.24246527374843321</v>
      </c>
      <c r="AH58" s="7"/>
      <c r="AI58" s="6">
        <f t="shared" si="43"/>
        <v>0.40323636656666606</v>
      </c>
      <c r="AJ58" s="6">
        <f t="shared" si="43"/>
        <v>0.13091442582003598</v>
      </c>
      <c r="AK58" s="7"/>
      <c r="AL58" s="6">
        <f t="shared" si="32"/>
        <v>4.311489828405167E-2</v>
      </c>
      <c r="AM58" s="6">
        <f t="shared" si="8"/>
        <v>0.18026903558081309</v>
      </c>
      <c r="AN58" s="6">
        <f t="shared" si="27"/>
        <v>1</v>
      </c>
      <c r="AO58" s="7">
        <f t="shared" si="28"/>
        <v>0.81973096441918691</v>
      </c>
      <c r="AP58" s="7">
        <f t="shared" si="29"/>
        <v>0</v>
      </c>
    </row>
    <row r="59" spans="1:42" x14ac:dyDescent="0.2">
      <c r="A59">
        <f t="shared" si="5"/>
        <v>2008</v>
      </c>
      <c r="B59" s="2">
        <f t="shared" si="33"/>
        <v>49707.925244499012</v>
      </c>
      <c r="C59" s="2"/>
      <c r="D59" s="2">
        <f t="shared" si="38"/>
        <v>76361.945260361477</v>
      </c>
      <c r="E59" s="2">
        <f t="shared" si="39"/>
        <v>27243.671995763038</v>
      </c>
      <c r="F59" s="2"/>
      <c r="G59" s="2">
        <f t="shared" si="31"/>
        <v>7845.2147774131836</v>
      </c>
      <c r="H59" s="2">
        <f t="shared" si="12"/>
        <v>61643.973520764797</v>
      </c>
      <c r="I59" s="2">
        <f t="shared" si="13"/>
        <v>222802.73079880149</v>
      </c>
      <c r="J59" s="2">
        <f t="shared" si="14"/>
        <v>-111958.00722482472</v>
      </c>
      <c r="K59" s="6">
        <f t="shared" si="15"/>
        <v>-0.3344418699928996</v>
      </c>
      <c r="L59" s="7">
        <f t="shared" si="16"/>
        <v>0.6655581300071004</v>
      </c>
      <c r="N59">
        <f t="shared" si="17"/>
        <v>2008</v>
      </c>
      <c r="O59" s="2">
        <f t="shared" si="18"/>
        <v>9243.918804670222</v>
      </c>
      <c r="P59" s="2"/>
      <c r="Q59" s="2"/>
      <c r="R59">
        <f t="shared" si="19"/>
        <v>2008</v>
      </c>
      <c r="S59" s="2">
        <f t="shared" si="40"/>
        <v>47859.14148356497</v>
      </c>
      <c r="T59" s="2"/>
      <c r="U59" s="2">
        <f t="shared" si="41"/>
        <v>74513.161499427428</v>
      </c>
      <c r="V59" s="2">
        <f t="shared" si="41"/>
        <v>25394.888234828992</v>
      </c>
      <c r="W59" s="2"/>
      <c r="X59" s="2">
        <f t="shared" si="42"/>
        <v>5996.4310164791386</v>
      </c>
      <c r="Y59" s="2">
        <f t="shared" si="42"/>
        <v>59795.189759830755</v>
      </c>
      <c r="Z59" s="2">
        <f t="shared" si="22"/>
        <v>213558.81199413131</v>
      </c>
      <c r="AA59" s="2">
        <f t="shared" si="45"/>
        <v>-111958.00722482469</v>
      </c>
      <c r="AB59" s="6">
        <f t="shared" si="46"/>
        <v>-0.34393923943302335</v>
      </c>
      <c r="AC59" s="7">
        <f t="shared" si="25"/>
        <v>0.6560607605669766</v>
      </c>
      <c r="AD59" s="2">
        <f t="shared" si="26"/>
        <v>0</v>
      </c>
      <c r="AF59">
        <f t="shared" si="7"/>
        <v>2008</v>
      </c>
      <c r="AG59" s="6">
        <f t="shared" si="44"/>
        <v>0.22410286438978769</v>
      </c>
      <c r="AH59" s="7"/>
      <c r="AI59" s="6">
        <f t="shared" si="43"/>
        <v>0.34891166889182301</v>
      </c>
      <c r="AJ59" s="6">
        <f t="shared" si="43"/>
        <v>0.11891285589061459</v>
      </c>
      <c r="AK59" s="7"/>
      <c r="AL59" s="6">
        <f t="shared" si="32"/>
        <v>2.8078593247858691E-2</v>
      </c>
      <c r="AM59" s="6">
        <f t="shared" si="8"/>
        <v>0.27999401757991588</v>
      </c>
      <c r="AN59" s="6">
        <f t="shared" si="27"/>
        <v>0.99999999999999978</v>
      </c>
      <c r="AO59" s="7">
        <f t="shared" si="28"/>
        <v>0.72000598242008396</v>
      </c>
      <c r="AP59" s="7">
        <f t="shared" si="29"/>
        <v>0</v>
      </c>
    </row>
    <row r="60" spans="1:42" x14ac:dyDescent="0.2">
      <c r="A60">
        <f t="shared" si="5"/>
        <v>2009</v>
      </c>
      <c r="B60" s="2">
        <f t="shared" si="33"/>
        <v>60537.028062561323</v>
      </c>
      <c r="C60" s="2"/>
      <c r="D60" s="2">
        <f t="shared" si="38"/>
        <v>104480.86479126714</v>
      </c>
      <c r="E60" s="2">
        <f t="shared" si="39"/>
        <v>34567.013967484527</v>
      </c>
      <c r="F60" s="2"/>
      <c r="G60" s="2">
        <f t="shared" si="31"/>
        <v>8198.7402359014322</v>
      </c>
      <c r="H60" s="2">
        <f t="shared" si="12"/>
        <v>63341.044512588713</v>
      </c>
      <c r="I60" s="2">
        <f t="shared" si="13"/>
        <v>271124.69156980317</v>
      </c>
      <c r="J60" s="2">
        <f t="shared" si="14"/>
        <v>48321.960771001672</v>
      </c>
      <c r="K60" s="6">
        <f t="shared" si="15"/>
        <v>0.2168822644038329</v>
      </c>
      <c r="L60" s="7">
        <f t="shared" si="16"/>
        <v>1.2168822644038328</v>
      </c>
      <c r="N60">
        <f t="shared" si="17"/>
        <v>2009</v>
      </c>
      <c r="O60" s="2">
        <f t="shared" si="18"/>
        <v>9502.7485312009885</v>
      </c>
      <c r="P60" s="2"/>
      <c r="Q60" s="2"/>
      <c r="R60">
        <f t="shared" si="19"/>
        <v>2009</v>
      </c>
      <c r="S60" s="2">
        <f t="shared" si="40"/>
        <v>58636.478356321124</v>
      </c>
      <c r="T60" s="2"/>
      <c r="U60" s="2">
        <f t="shared" si="41"/>
        <v>102580.31508502694</v>
      </c>
      <c r="V60" s="2">
        <f t="shared" si="41"/>
        <v>32666.464261244328</v>
      </c>
      <c r="W60" s="2"/>
      <c r="X60" s="2">
        <f t="shared" si="42"/>
        <v>6298.1905296612349</v>
      </c>
      <c r="Y60" s="2">
        <f t="shared" si="42"/>
        <v>61440.494806348514</v>
      </c>
      <c r="Z60" s="2">
        <f t="shared" si="22"/>
        <v>261621.94303860216</v>
      </c>
      <c r="AA60" s="2">
        <f t="shared" si="45"/>
        <v>48063.131044470851</v>
      </c>
      <c r="AB60" s="6">
        <f t="shared" si="46"/>
        <v>0.22505805588481945</v>
      </c>
      <c r="AC60" s="7">
        <f t="shared" si="25"/>
        <v>1.2250580558848194</v>
      </c>
      <c r="AD60" s="2">
        <f t="shared" si="26"/>
        <v>0</v>
      </c>
      <c r="AF60">
        <f t="shared" si="7"/>
        <v>2009</v>
      </c>
      <c r="AG60" s="6">
        <f t="shared" si="44"/>
        <v>0.22412675968723828</v>
      </c>
      <c r="AH60" s="7"/>
      <c r="AI60" s="6">
        <f t="shared" si="43"/>
        <v>0.39209369785122067</v>
      </c>
      <c r="AJ60" s="6">
        <f t="shared" si="43"/>
        <v>0.12486133189686008</v>
      </c>
      <c r="AK60" s="7"/>
      <c r="AL60" s="6">
        <f t="shared" si="32"/>
        <v>2.4073632572677365E-2</v>
      </c>
      <c r="AM60" s="6">
        <f t="shared" si="8"/>
        <v>0.23484457799200353</v>
      </c>
      <c r="AN60" s="6">
        <f t="shared" si="27"/>
        <v>0.99999999999999989</v>
      </c>
      <c r="AO60" s="7">
        <f t="shared" si="28"/>
        <v>0.76515542200799636</v>
      </c>
      <c r="AP60" s="7">
        <f t="shared" si="29"/>
        <v>0</v>
      </c>
    </row>
    <row r="61" spans="1:42" x14ac:dyDescent="0.2">
      <c r="A61">
        <f t="shared" si="5"/>
        <v>2010</v>
      </c>
      <c r="B61" s="2">
        <f t="shared" si="33"/>
        <v>67379.177279248601</v>
      </c>
      <c r="C61" s="2"/>
      <c r="D61" s="2">
        <f t="shared" si="38"/>
        <v>128697.2633056748</v>
      </c>
      <c r="E61" s="2">
        <f t="shared" si="39"/>
        <v>41721.608154461261</v>
      </c>
      <c r="F61" s="2"/>
      <c r="G61" s="2">
        <f t="shared" si="31"/>
        <v>6998.5493165595644</v>
      </c>
      <c r="H61" s="2">
        <f t="shared" si="12"/>
        <v>65384.974572916093</v>
      </c>
      <c r="I61" s="2">
        <f t="shared" si="13"/>
        <v>310181.5726288603</v>
      </c>
      <c r="J61" s="2">
        <f t="shared" si="14"/>
        <v>39056.881059057137</v>
      </c>
      <c r="K61" s="6">
        <f t="shared" si="15"/>
        <v>0.14405505021663303</v>
      </c>
      <c r="L61" s="7">
        <f t="shared" si="16"/>
        <v>1.1440550502166331</v>
      </c>
      <c r="N61">
        <f t="shared" si="17"/>
        <v>2010</v>
      </c>
      <c r="O61" s="2">
        <f t="shared" si="18"/>
        <v>9635.7870106378032</v>
      </c>
      <c r="P61" s="2"/>
      <c r="Q61" s="2"/>
      <c r="R61">
        <f t="shared" si="19"/>
        <v>2010</v>
      </c>
      <c r="S61" s="2">
        <f t="shared" si="40"/>
        <v>65452.019877121042</v>
      </c>
      <c r="T61" s="2"/>
      <c r="U61" s="2">
        <f t="shared" si="41"/>
        <v>126770.10590354724</v>
      </c>
      <c r="V61" s="2">
        <f t="shared" si="41"/>
        <v>39794.450752333702</v>
      </c>
      <c r="W61" s="2"/>
      <c r="X61" s="2">
        <f t="shared" si="42"/>
        <v>5071.3919144320043</v>
      </c>
      <c r="Y61" s="2">
        <f t="shared" si="42"/>
        <v>63457.817170788534</v>
      </c>
      <c r="Z61" s="2">
        <f t="shared" si="22"/>
        <v>300545.78561822255</v>
      </c>
      <c r="AA61" s="2">
        <f t="shared" si="45"/>
        <v>38923.842579620396</v>
      </c>
      <c r="AB61" s="6">
        <f t="shared" si="46"/>
        <v>0.14877896757259848</v>
      </c>
      <c r="AC61" s="7">
        <f t="shared" si="25"/>
        <v>1.1487789675725986</v>
      </c>
      <c r="AD61" s="2">
        <f t="shared" si="26"/>
        <v>0</v>
      </c>
      <c r="AF61">
        <f t="shared" si="7"/>
        <v>2010</v>
      </c>
      <c r="AG61" s="6">
        <f t="shared" si="44"/>
        <v>0.21777720070998921</v>
      </c>
      <c r="AH61" s="7"/>
      <c r="AI61" s="6">
        <f t="shared" si="43"/>
        <v>0.42179964574376311</v>
      </c>
      <c r="AJ61" s="6">
        <f t="shared" si="43"/>
        <v>0.13240728253925282</v>
      </c>
      <c r="AK61" s="7"/>
      <c r="AL61" s="6">
        <f t="shared" si="32"/>
        <v>1.6873941200007691E-2</v>
      </c>
      <c r="AM61" s="6">
        <f t="shared" si="8"/>
        <v>0.21114192980698709</v>
      </c>
      <c r="AN61" s="6">
        <f t="shared" si="27"/>
        <v>1</v>
      </c>
      <c r="AO61" s="7">
        <f t="shared" si="28"/>
        <v>0.78885807019301291</v>
      </c>
      <c r="AP61" s="7">
        <f t="shared" si="29"/>
        <v>0</v>
      </c>
    </row>
    <row r="62" spans="1:42" x14ac:dyDescent="0.2">
      <c r="A62">
        <f t="shared" si="5"/>
        <v>2011</v>
      </c>
      <c r="B62" s="2">
        <f t="shared" si="33"/>
        <v>66741.424668700332</v>
      </c>
      <c r="C62" s="2"/>
      <c r="D62" s="2">
        <f t="shared" si="38"/>
        <v>124095.2566689824</v>
      </c>
      <c r="E62" s="2">
        <f t="shared" si="39"/>
        <v>38680.206131268358</v>
      </c>
      <c r="F62" s="2"/>
      <c r="G62" s="2">
        <f t="shared" si="31"/>
        <v>4332.9972516907046</v>
      </c>
      <c r="H62" s="2">
        <f t="shared" si="12"/>
        <v>68255.228148900147</v>
      </c>
      <c r="I62" s="2">
        <f t="shared" si="13"/>
        <v>302105.11286954198</v>
      </c>
      <c r="J62" s="2">
        <f t="shared" si="14"/>
        <v>-8076.459759318328</v>
      </c>
      <c r="K62" s="6">
        <f t="shared" si="15"/>
        <v>-2.6037845159106232E-2</v>
      </c>
      <c r="L62" s="7">
        <f t="shared" si="16"/>
        <v>0.97396215484089377</v>
      </c>
      <c r="N62">
        <f t="shared" si="17"/>
        <v>2011</v>
      </c>
      <c r="O62" s="2">
        <f t="shared" si="18"/>
        <v>9924.8606209569371</v>
      </c>
      <c r="P62" s="2"/>
      <c r="Q62" s="2"/>
      <c r="R62">
        <f t="shared" si="19"/>
        <v>2011</v>
      </c>
      <c r="S62" s="2">
        <f t="shared" si="40"/>
        <v>64756.452544508946</v>
      </c>
      <c r="T62" s="2"/>
      <c r="U62" s="2">
        <f t="shared" si="41"/>
        <v>122110.28454479101</v>
      </c>
      <c r="V62" s="2">
        <f t="shared" si="41"/>
        <v>36695.234007076971</v>
      </c>
      <c r="W62" s="2"/>
      <c r="X62" s="2">
        <f t="shared" si="42"/>
        <v>2348.025127499317</v>
      </c>
      <c r="Y62" s="2">
        <f t="shared" si="42"/>
        <v>66270.256024708753</v>
      </c>
      <c r="Z62" s="2">
        <f t="shared" si="22"/>
        <v>292180.25224858499</v>
      </c>
      <c r="AA62" s="2">
        <f t="shared" si="45"/>
        <v>-8365.5333696375601</v>
      </c>
      <c r="AB62" s="6">
        <f t="shared" si="46"/>
        <v>-2.7834472383066897E-2</v>
      </c>
      <c r="AC62" s="7">
        <f t="shared" si="25"/>
        <v>0.97216552761693309</v>
      </c>
      <c r="AD62" s="2">
        <f t="shared" si="26"/>
        <v>0</v>
      </c>
      <c r="AF62">
        <f t="shared" si="7"/>
        <v>2011</v>
      </c>
      <c r="AG62" s="6">
        <f t="shared" si="44"/>
        <v>0.22163185925862844</v>
      </c>
      <c r="AH62" s="7"/>
      <c r="AI62" s="6">
        <f t="shared" si="43"/>
        <v>0.41792791814314817</v>
      </c>
      <c r="AJ62" s="6">
        <f t="shared" si="43"/>
        <v>0.12559108195942317</v>
      </c>
      <c r="AK62" s="7"/>
      <c r="AL62" s="6">
        <f t="shared" si="32"/>
        <v>8.0362211663149406E-3</v>
      </c>
      <c r="AM62" s="6">
        <f t="shared" si="8"/>
        <v>0.2268129194724853</v>
      </c>
      <c r="AN62" s="6">
        <f t="shared" si="27"/>
        <v>1</v>
      </c>
      <c r="AO62" s="7">
        <f t="shared" si="28"/>
        <v>0.77318708052751473</v>
      </c>
      <c r="AP62" s="7">
        <f t="shared" si="29"/>
        <v>0</v>
      </c>
    </row>
    <row r="63" spans="1:42" x14ac:dyDescent="0.2">
      <c r="A63">
        <f t="shared" si="5"/>
        <v>2012</v>
      </c>
      <c r="B63" s="2">
        <f t="shared" si="33"/>
        <v>75000.923337050248</v>
      </c>
      <c r="C63" s="2"/>
      <c r="D63" s="2">
        <f t="shared" si="38"/>
        <v>141403.70950286798</v>
      </c>
      <c r="E63" s="2">
        <f t="shared" si="39"/>
        <v>43315.054221953658</v>
      </c>
      <c r="F63" s="2"/>
      <c r="G63" s="2">
        <f t="shared" si="31"/>
        <v>2773.9568856276933</v>
      </c>
      <c r="H63" s="2">
        <f t="shared" si="12"/>
        <v>68954.20139370946</v>
      </c>
      <c r="I63" s="2">
        <f t="shared" si="13"/>
        <v>331447.84534120903</v>
      </c>
      <c r="J63" s="2">
        <f t="shared" si="14"/>
        <v>29342.732471667056</v>
      </c>
      <c r="K63" s="6">
        <f t="shared" si="15"/>
        <v>9.7127559983859413E-2</v>
      </c>
      <c r="L63" s="7">
        <f t="shared" si="16"/>
        <v>1.0971275599838595</v>
      </c>
      <c r="N63">
        <f t="shared" si="17"/>
        <v>2012</v>
      </c>
      <c r="O63" s="2">
        <f t="shared" si="18"/>
        <v>10103.508112134163</v>
      </c>
      <c r="P63" s="2"/>
      <c r="Q63" s="2"/>
      <c r="R63">
        <f t="shared" si="19"/>
        <v>2012</v>
      </c>
      <c r="S63" s="2">
        <f t="shared" si="40"/>
        <v>72980.221714623418</v>
      </c>
      <c r="T63" s="2"/>
      <c r="U63" s="2">
        <f t="shared" si="41"/>
        <v>139383.00788044115</v>
      </c>
      <c r="V63" s="2">
        <f t="shared" si="41"/>
        <v>41294.352599526828</v>
      </c>
      <c r="W63" s="2"/>
      <c r="X63" s="2">
        <f t="shared" si="42"/>
        <v>753.25526320086078</v>
      </c>
      <c r="Y63" s="2">
        <f t="shared" si="42"/>
        <v>66933.49977128263</v>
      </c>
      <c r="Z63" s="2">
        <f t="shared" si="22"/>
        <v>321344.33722907491</v>
      </c>
      <c r="AA63" s="2">
        <f t="shared" si="45"/>
        <v>29164.084980489919</v>
      </c>
      <c r="AB63" s="6">
        <f t="shared" si="46"/>
        <v>9.9815387097678704E-2</v>
      </c>
      <c r="AC63" s="7">
        <f t="shared" si="25"/>
        <v>1.0998153870976788</v>
      </c>
      <c r="AD63" s="2">
        <f t="shared" si="26"/>
        <v>0</v>
      </c>
      <c r="AF63">
        <f t="shared" si="7"/>
        <v>2012</v>
      </c>
      <c r="AG63" s="6">
        <f t="shared" si="44"/>
        <v>0.22710909532100584</v>
      </c>
      <c r="AH63" s="7"/>
      <c r="AI63" s="6">
        <f t="shared" si="43"/>
        <v>0.43374969380922984</v>
      </c>
      <c r="AJ63" s="6">
        <f t="shared" si="43"/>
        <v>0.12850499546873781</v>
      </c>
      <c r="AK63" s="7"/>
      <c r="AL63" s="6">
        <f t="shared" si="32"/>
        <v>2.3440751117512052E-3</v>
      </c>
      <c r="AM63" s="6">
        <f t="shared" si="8"/>
        <v>0.2082921402892752</v>
      </c>
      <c r="AN63" s="6">
        <f t="shared" si="27"/>
        <v>0.99999999999999989</v>
      </c>
      <c r="AO63" s="7">
        <f t="shared" si="28"/>
        <v>0.79170785971072466</v>
      </c>
      <c r="AP63" s="7">
        <f t="shared" si="29"/>
        <v>0</v>
      </c>
    </row>
    <row r="64" spans="1:42" x14ac:dyDescent="0.2">
      <c r="A64">
        <f t="shared" si="5"/>
        <v>2013</v>
      </c>
      <c r="B64" s="2">
        <f t="shared" si="33"/>
        <v>96465.257062389239</v>
      </c>
      <c r="C64" s="2"/>
      <c r="D64" s="2">
        <f t="shared" si="38"/>
        <v>188167.06063859555</v>
      </c>
      <c r="E64" s="2">
        <f t="shared" si="39"/>
        <v>56829.288047468814</v>
      </c>
      <c r="F64" s="2"/>
      <c r="G64" s="2">
        <f t="shared" si="31"/>
        <v>866.54485478627009</v>
      </c>
      <c r="H64" s="2">
        <f t="shared" si="12"/>
        <v>65420.802676451647</v>
      </c>
      <c r="I64" s="2">
        <f t="shared" si="13"/>
        <v>407748.95327969146</v>
      </c>
      <c r="J64" s="2">
        <f t="shared" si="14"/>
        <v>76301.107938482426</v>
      </c>
      <c r="K64" s="6">
        <f t="shared" si="15"/>
        <v>0.23020547277938777</v>
      </c>
      <c r="L64" s="7">
        <f t="shared" si="16"/>
        <v>1.2302054727793879</v>
      </c>
      <c r="N64">
        <f t="shared" si="17"/>
        <v>2013</v>
      </c>
      <c r="O64" s="2">
        <f t="shared" si="18"/>
        <v>10220.263413827573</v>
      </c>
      <c r="P64" s="2"/>
      <c r="Q64" s="2"/>
      <c r="R64">
        <f t="shared" si="19"/>
        <v>2013</v>
      </c>
      <c r="S64" s="2">
        <f t="shared" si="40"/>
        <v>94421.204379623727</v>
      </c>
      <c r="T64" s="2"/>
      <c r="U64" s="2">
        <f t="shared" si="41"/>
        <v>186123.00795583002</v>
      </c>
      <c r="V64" s="2">
        <f t="shared" si="41"/>
        <v>54785.235364703301</v>
      </c>
      <c r="W64" s="2"/>
      <c r="X64" s="2">
        <f t="shared" si="42"/>
        <v>-1177.5078279792447</v>
      </c>
      <c r="Y64" s="2">
        <f t="shared" si="42"/>
        <v>63376.749993686135</v>
      </c>
      <c r="Z64" s="2">
        <f t="shared" si="22"/>
        <v>397528.68986586394</v>
      </c>
      <c r="AA64" s="2">
        <f t="shared" si="45"/>
        <v>76184.35263678903</v>
      </c>
      <c r="AB64" s="6">
        <f t="shared" si="46"/>
        <v>0.23708011565948311</v>
      </c>
      <c r="AC64" s="7">
        <f t="shared" si="25"/>
        <v>1.2370801156594831</v>
      </c>
      <c r="AD64" s="2">
        <f t="shared" si="26"/>
        <v>0</v>
      </c>
      <c r="AF64">
        <f t="shared" si="7"/>
        <v>2013</v>
      </c>
      <c r="AG64" s="6">
        <f t="shared" si="44"/>
        <v>0.23752047785905411</v>
      </c>
      <c r="AH64" s="7"/>
      <c r="AI64" s="6">
        <f t="shared" si="43"/>
        <v>0.46820018957281434</v>
      </c>
      <c r="AJ64" s="6">
        <f t="shared" si="43"/>
        <v>0.13781454461359557</v>
      </c>
      <c r="AK64" s="7"/>
      <c r="AL64" s="6">
        <f t="shared" si="32"/>
        <v>-2.9620700543061813E-3</v>
      </c>
      <c r="AM64" s="6">
        <f t="shared" si="8"/>
        <v>0.15942685800884215</v>
      </c>
      <c r="AN64" s="6">
        <f t="shared" si="27"/>
        <v>1</v>
      </c>
      <c r="AO64" s="7">
        <f t="shared" si="28"/>
        <v>0.84057314199115785</v>
      </c>
      <c r="AP64" s="7">
        <f t="shared" si="29"/>
        <v>0</v>
      </c>
    </row>
    <row r="65" spans="1:36" x14ac:dyDescent="0.2">
      <c r="A65" s="9" t="s">
        <v>78</v>
      </c>
      <c r="B65" s="10">
        <f>S64</f>
        <v>94421.204379623727</v>
      </c>
      <c r="C65" s="10"/>
      <c r="D65" s="10">
        <f>U64</f>
        <v>186123.00795583002</v>
      </c>
      <c r="E65" s="10">
        <f>V64</f>
        <v>54785.235364703301</v>
      </c>
      <c r="F65" s="10"/>
      <c r="G65" s="10">
        <f>X64</f>
        <v>-1177.5078279792447</v>
      </c>
      <c r="H65" s="10">
        <f>Y64</f>
        <v>63376.749993686135</v>
      </c>
      <c r="I65" s="10">
        <f>SUM(B65:H65)</f>
        <v>397528.68986586394</v>
      </c>
      <c r="J65" s="10"/>
      <c r="K65" s="10"/>
      <c r="N65" t="s">
        <v>40</v>
      </c>
      <c r="O65" s="2">
        <f>O64</f>
        <v>10220.263413827573</v>
      </c>
      <c r="P65" s="2"/>
      <c r="R65" s="9" t="s">
        <v>78</v>
      </c>
      <c r="S65" s="10">
        <f>S64</f>
        <v>94421.204379623727</v>
      </c>
      <c r="T65" s="10"/>
      <c r="U65" s="10">
        <f>U64</f>
        <v>186123.00795583002</v>
      </c>
      <c r="V65" s="10">
        <f>V64</f>
        <v>54785.235364703301</v>
      </c>
      <c r="W65" s="10"/>
      <c r="X65" s="10">
        <f>X64</f>
        <v>-1177.5078279792447</v>
      </c>
      <c r="Y65" s="10">
        <f>Y64</f>
        <v>63376.749993686135</v>
      </c>
      <c r="Z65" s="10">
        <f>SUM(S65:Y65)</f>
        <v>397528.68986586394</v>
      </c>
      <c r="AA65" s="43"/>
      <c r="AB65" s="43"/>
      <c r="AC65" s="43"/>
      <c r="AD65" s="43"/>
      <c r="AJ65" s="7"/>
    </row>
    <row r="66" spans="1:36" x14ac:dyDescent="0.2">
      <c r="A66" s="11" t="s">
        <v>11</v>
      </c>
      <c r="I66" s="6">
        <f>(Z65-Z39)/Z39</f>
        <v>2.9752868986586396</v>
      </c>
      <c r="K66" s="6"/>
      <c r="N66" t="s">
        <v>70</v>
      </c>
      <c r="O66" s="2">
        <f>SUM(O40:O64)</f>
        <v>197323.81127815042</v>
      </c>
      <c r="P66" s="2"/>
      <c r="AH66" s="7"/>
      <c r="AJ66" s="7"/>
    </row>
    <row r="67" spans="1:36" x14ac:dyDescent="0.2">
      <c r="A67" s="1" t="s">
        <v>12</v>
      </c>
      <c r="I67" s="12">
        <f>STDEV(AC40:AC64)</f>
        <v>0.13711479292753428</v>
      </c>
      <c r="AI67" s="7"/>
    </row>
    <row r="68" spans="1:36" x14ac:dyDescent="0.2">
      <c r="A68" s="1" t="s">
        <v>13</v>
      </c>
      <c r="I68" s="13">
        <f>((1+I66)^(1/I75))-1</f>
        <v>5.6756040807996788E-2</v>
      </c>
    </row>
    <row r="69" spans="1:36" x14ac:dyDescent="0.2">
      <c r="A69" s="1" t="s">
        <v>82</v>
      </c>
      <c r="I69" s="31">
        <f>J60</f>
        <v>48321.960771001672</v>
      </c>
      <c r="O69" s="2"/>
      <c r="P69" s="2"/>
    </row>
    <row r="70" spans="1:36" x14ac:dyDescent="0.2">
      <c r="A70" s="1" t="s">
        <v>83</v>
      </c>
      <c r="I70" s="32">
        <f>K60</f>
        <v>0.2168822644038329</v>
      </c>
    </row>
    <row r="71" spans="1:36" x14ac:dyDescent="0.2">
      <c r="A71" s="1" t="s">
        <v>42</v>
      </c>
      <c r="I71" s="2">
        <f>O66</f>
        <v>197323.81127815042</v>
      </c>
    </row>
    <row r="72" spans="1:36" x14ac:dyDescent="0.2">
      <c r="A72" s="3" t="s">
        <v>84</v>
      </c>
      <c r="I72" s="33">
        <f>I65-Z64</f>
        <v>0</v>
      </c>
    </row>
    <row r="73" spans="1:36" x14ac:dyDescent="0.2">
      <c r="A73" s="3" t="s">
        <v>148</v>
      </c>
      <c r="I73" s="33">
        <f>((SUM(AA40:AA64)))-(I65-I39)</f>
        <v>0</v>
      </c>
    </row>
    <row r="74" spans="1:36" x14ac:dyDescent="0.2">
      <c r="A74" s="3" t="s">
        <v>147</v>
      </c>
      <c r="I74" s="33">
        <f>(SUM(O40:O64))-I71</f>
        <v>0</v>
      </c>
    </row>
    <row r="75" spans="1:36" x14ac:dyDescent="0.2">
      <c r="A75" s="3" t="s">
        <v>159</v>
      </c>
      <c r="I75" s="3">
        <f>COUNTA(I40:I64)</f>
        <v>25</v>
      </c>
    </row>
    <row r="76" spans="1:36" x14ac:dyDescent="0.2">
      <c r="A76" s="1" t="s">
        <v>105</v>
      </c>
      <c r="B76" s="63"/>
      <c r="C76" s="63"/>
      <c r="D76" s="63"/>
      <c r="E76" s="63"/>
      <c r="G76" s="63"/>
      <c r="H76" s="63"/>
      <c r="I76" s="83">
        <f>(SUM(B65:G65)/I65)</f>
        <v>0.84057314199115785</v>
      </c>
    </row>
    <row r="77" spans="1:36" x14ac:dyDescent="0.2">
      <c r="A77" s="1" t="s">
        <v>106</v>
      </c>
      <c r="B77" s="63"/>
      <c r="C77" s="63"/>
      <c r="D77" s="63"/>
      <c r="E77" s="63"/>
      <c r="G77" s="63"/>
      <c r="H77" s="63"/>
      <c r="I77" s="83">
        <f>(H65/I65)</f>
        <v>0.15942685800884215</v>
      </c>
    </row>
    <row r="78" spans="1:36" x14ac:dyDescent="0.2">
      <c r="A78" s="3" t="s">
        <v>107</v>
      </c>
      <c r="I78" s="3">
        <f>100%-(I76+I77)</f>
        <v>0</v>
      </c>
    </row>
    <row r="79" spans="1:36" x14ac:dyDescent="0.2">
      <c r="B79" s="2"/>
      <c r="D79" s="2"/>
      <c r="E79" s="2"/>
      <c r="G79" s="2"/>
      <c r="H79" s="2"/>
      <c r="I79" s="2"/>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3A68-D7F2-41AE-BC69-BAAB87677CEB}">
  <dimension ref="A1:BT78"/>
  <sheetViews>
    <sheetView topLeftCell="A58" zoomScaleNormal="100" workbookViewId="0">
      <pane xSplit="30000" topLeftCell="AV1"/>
      <selection activeCell="I65" sqref="I65"/>
      <selection pane="topRight" activeCell="A30" sqref="A30"/>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332031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9.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
      <c r="A4" s="17">
        <f>'Non-Rebalanced Portfolio'!A4</f>
        <v>1989</v>
      </c>
      <c r="B4" s="17">
        <f>'Non-Rebalanced Portfolio'!B4</f>
        <v>31.36</v>
      </c>
      <c r="C4" s="19">
        <f>'Non-Rebalanced Portfolio'!C4</f>
        <v>24.096</v>
      </c>
      <c r="D4" s="17"/>
      <c r="E4" s="17"/>
      <c r="F4" s="17">
        <f>'Non-Rebalanced Portfolio'!F4</f>
        <v>25.971</v>
      </c>
      <c r="G4" s="17"/>
      <c r="H4" s="17">
        <f>'Non-Rebalanced Portfolio'!H4</f>
        <v>13.64</v>
      </c>
      <c r="N4" s="49">
        <f>'4.5% Withdrawals-No Rebalancing'!N4</f>
        <v>1989</v>
      </c>
      <c r="O4" s="50">
        <f>'4.5% Withdrawals-No Rebalancing'!O4</f>
        <v>4.5999999999999999E-2</v>
      </c>
      <c r="P4" s="44"/>
    </row>
    <row r="5" spans="1:16" x14ac:dyDescent="0.2">
      <c r="A5" s="17">
        <f>'Non-Rebalanced Portfolio'!A5</f>
        <v>1990</v>
      </c>
      <c r="B5" s="17">
        <f>'Non-Rebalanced Portfolio'!B5</f>
        <v>-3.32</v>
      </c>
      <c r="C5" s="19">
        <f>'Non-Rebalanced Portfolio'!C5</f>
        <v>-14.045</v>
      </c>
      <c r="D5" s="17"/>
      <c r="E5" s="17"/>
      <c r="F5" s="17">
        <f>'Non-Rebalanced Portfolio'!F5</f>
        <v>-12.26</v>
      </c>
      <c r="G5" s="17"/>
      <c r="H5" s="17">
        <f>'Non-Rebalanced Portfolio'!H5</f>
        <v>8.65</v>
      </c>
      <c r="N5" s="49">
        <f>'4.5% Withdrawals-No Rebalancing'!N5</f>
        <v>1990</v>
      </c>
      <c r="O5" s="50">
        <f>'4.5% Withdrawals-No Rebalancing'!O5</f>
        <v>6.3E-2</v>
      </c>
      <c r="P5" s="44"/>
    </row>
    <row r="6" spans="1:16" x14ac:dyDescent="0.2">
      <c r="A6" s="17">
        <f>'Non-Rebalanced Portfolio'!A6</f>
        <v>1991</v>
      </c>
      <c r="B6" s="17">
        <f>'Non-Rebalanced Portfolio'!B6</f>
        <v>30.22</v>
      </c>
      <c r="C6" s="19">
        <f>'Non-Rebalanced Portfolio'!C6</f>
        <v>41.85</v>
      </c>
      <c r="D6" s="17"/>
      <c r="E6" s="17"/>
      <c r="F6" s="17">
        <f>'Non-Rebalanced Portfolio'!F6</f>
        <v>9.9559999999999995</v>
      </c>
      <c r="G6" s="17"/>
      <c r="H6" s="17">
        <f>'Non-Rebalanced Portfolio'!H6</f>
        <v>15.25</v>
      </c>
      <c r="N6" s="49">
        <f>'4.5% Withdrawals-No Rebalancing'!N6</f>
        <v>1991</v>
      </c>
      <c r="O6" s="50">
        <f>'4.5% Withdrawals-No Rebalancing'!O6</f>
        <v>0.03</v>
      </c>
      <c r="P6" s="44"/>
    </row>
    <row r="7" spans="1:16" x14ac:dyDescent="0.2">
      <c r="A7" s="17">
        <f>'Non-Rebalanced Portfolio'!A7</f>
        <v>1992</v>
      </c>
      <c r="B7" s="17">
        <f>'Non-Rebalanced Portfolio'!B7</f>
        <v>7.42</v>
      </c>
      <c r="C7" s="19">
        <f>'Non-Rebalanced Portfolio'!C7</f>
        <v>12.465999999999999</v>
      </c>
      <c r="D7" s="17"/>
      <c r="E7" s="17"/>
      <c r="F7" s="17">
        <f>'Non-Rebalanced Portfolio'!F7</f>
        <v>-8.7210000000000001</v>
      </c>
      <c r="G7" s="17"/>
      <c r="H7" s="17">
        <f>'Non-Rebalanced Portfolio'!H7</f>
        <v>7.14</v>
      </c>
      <c r="N7" s="49">
        <f>'4.5% Withdrawals-No Rebalancing'!N7</f>
        <v>1992</v>
      </c>
      <c r="O7" s="50">
        <f>'4.5% Withdrawals-No Rebalancing'!O7</f>
        <v>0.03</v>
      </c>
      <c r="P7" s="44"/>
    </row>
    <row r="8" spans="1:16" x14ac:dyDescent="0.2">
      <c r="A8" s="17">
        <f>'Non-Rebalanced Portfolio'!A8</f>
        <v>1993</v>
      </c>
      <c r="B8" s="17">
        <f>'Non-Rebalanced Portfolio'!B8</f>
        <v>9.89</v>
      </c>
      <c r="C8" s="19">
        <f>'Non-Rebalanced Portfolio'!C8</f>
        <v>14.49</v>
      </c>
      <c r="D8" s="17"/>
      <c r="E8" s="17"/>
      <c r="F8" s="17">
        <f>'Non-Rebalanced Portfolio'!F8</f>
        <v>30.494</v>
      </c>
      <c r="G8" s="17"/>
      <c r="H8" s="17">
        <f>'Non-Rebalanced Portfolio'!H8</f>
        <v>9.68</v>
      </c>
      <c r="N8" s="49">
        <f>'4.5% Withdrawals-No Rebalancing'!N8</f>
        <v>1993</v>
      </c>
      <c r="O8" s="50">
        <f>'4.5% Withdrawals-No Rebalancing'!O8</f>
        <v>2.8000000000000001E-2</v>
      </c>
      <c r="P8" s="44"/>
    </row>
    <row r="9" spans="1:16" x14ac:dyDescent="0.2">
      <c r="A9" s="17">
        <f>'Non-Rebalanced Portfolio'!A9</f>
        <v>1994</v>
      </c>
      <c r="B9" s="17">
        <f>'Non-Rebalanced Portfolio'!B9</f>
        <v>1.18</v>
      </c>
      <c r="C9" s="19">
        <f>'Non-Rebalanced Portfolio'!C9</f>
        <v>-1.764</v>
      </c>
      <c r="D9" s="17"/>
      <c r="E9" s="17"/>
      <c r="F9" s="17">
        <f>'Non-Rebalanced Portfolio'!F9</f>
        <v>5.2549999999999999</v>
      </c>
      <c r="G9" s="17"/>
      <c r="H9" s="17">
        <f>'Non-Rebalanced Portfolio'!H9</f>
        <v>-2.66</v>
      </c>
      <c r="N9" s="49">
        <f>'4.5% Withdrawals-No Rebalancing'!N9</f>
        <v>1994</v>
      </c>
      <c r="O9" s="50">
        <f>'4.5% Withdrawals-No Rebalancing'!O9</f>
        <v>2.5999999999999999E-2</v>
      </c>
      <c r="P9" s="44"/>
    </row>
    <row r="10" spans="1:16" x14ac:dyDescent="0.2">
      <c r="A10" s="17">
        <f>'Non-Rebalanced Portfolio'!A10</f>
        <v>1995</v>
      </c>
      <c r="B10" s="17">
        <f>'Non-Rebalanced Portfolio'!B10</f>
        <v>37.450000000000003</v>
      </c>
      <c r="C10" s="19">
        <f>'Non-Rebalanced Portfolio'!C10</f>
        <v>33.796999999999997</v>
      </c>
      <c r="D10" s="17"/>
      <c r="E10" s="17"/>
      <c r="F10" s="17">
        <f>'Non-Rebalanced Portfolio'!F10</f>
        <v>9.6460000000000008</v>
      </c>
      <c r="G10" s="17"/>
      <c r="H10" s="17">
        <f>'Non-Rebalanced Portfolio'!H10</f>
        <v>18.18</v>
      </c>
      <c r="N10" s="49">
        <f>'4.5% Withdrawals-No Rebalancing'!N10</f>
        <v>1995</v>
      </c>
      <c r="O10" s="50">
        <f>'4.5% Withdrawals-No Rebalancing'!O10</f>
        <v>2.5000000000000001E-2</v>
      </c>
      <c r="P10" s="44"/>
    </row>
    <row r="11" spans="1:16" x14ac:dyDescent="0.2">
      <c r="A11" s="17">
        <f>'Non-Rebalanced Portfolio'!A11</f>
        <v>1996</v>
      </c>
      <c r="B11" s="17">
        <f>'Non-Rebalanced Portfolio'!B11</f>
        <v>22.88</v>
      </c>
      <c r="C11" s="19">
        <f>'Non-Rebalanced Portfolio'!C11</f>
        <v>17.646999999999998</v>
      </c>
      <c r="D11" s="17"/>
      <c r="E11" s="17"/>
      <c r="F11" s="17">
        <f>'Non-Rebalanced Portfolio'!F11</f>
        <v>10.218999999999999</v>
      </c>
      <c r="G11" s="17"/>
      <c r="H11" s="17">
        <f>'Non-Rebalanced Portfolio'!H11</f>
        <v>3.58</v>
      </c>
      <c r="N11" s="49">
        <f>'4.5% Withdrawals-No Rebalancing'!N11</f>
        <v>1996</v>
      </c>
      <c r="O11" s="50">
        <f>'4.5% Withdrawals-No Rebalancing'!O11</f>
        <v>3.4000000000000002E-2</v>
      </c>
      <c r="P11" s="44"/>
    </row>
    <row r="12" spans="1:16" x14ac:dyDescent="0.2">
      <c r="A12" s="17">
        <f>'Non-Rebalanced Portfolio'!A12</f>
        <v>1997</v>
      </c>
      <c r="B12" s="17">
        <f>'Non-Rebalanced Portfolio'!B12</f>
        <v>33.19</v>
      </c>
      <c r="C12" s="19">
        <f>'Non-Rebalanced Portfolio'!C12</f>
        <v>26.687000000000001</v>
      </c>
      <c r="D12" s="17"/>
      <c r="E12" s="17"/>
      <c r="F12" s="17">
        <f>'Non-Rebalanced Portfolio'!F12</f>
        <v>0</v>
      </c>
      <c r="G12" s="17"/>
      <c r="H12" s="17">
        <f>'Non-Rebalanced Portfolio'!H12</f>
        <v>9.44</v>
      </c>
      <c r="N12" s="49">
        <f>'4.5% Withdrawals-No Rebalancing'!N12</f>
        <v>1997</v>
      </c>
      <c r="O12" s="50">
        <f>'4.5% Withdrawals-No Rebalancing'!O12</f>
        <v>1.7000000000000001E-2</v>
      </c>
      <c r="P12" s="44"/>
    </row>
    <row r="13" spans="1:16" x14ac:dyDescent="0.2">
      <c r="A13" s="17">
        <f>'Non-Rebalanced Portfolio'!A13</f>
        <v>1998</v>
      </c>
      <c r="B13" s="17">
        <f>'Non-Rebalanced Portfolio'!B13</f>
        <v>28.66</v>
      </c>
      <c r="C13" s="19">
        <f>'Non-Rebalanced Portfolio'!C13</f>
        <v>8.3529999999999998</v>
      </c>
      <c r="D13" s="17"/>
      <c r="E13" s="17"/>
      <c r="F13" s="17"/>
      <c r="G13" s="17">
        <f>'Non-Rebalanced Portfolio'!G13</f>
        <v>15.603</v>
      </c>
      <c r="H13" s="17">
        <f>'Non-Rebalanced Portfolio'!H13</f>
        <v>8.58</v>
      </c>
      <c r="N13" s="49">
        <f>'4.5% Withdrawals-No Rebalancing'!N13</f>
        <v>1998</v>
      </c>
      <c r="O13" s="50">
        <f>'4.5% Withdrawals-No Rebalancing'!O13</f>
        <v>1.6E-2</v>
      </c>
      <c r="P13" s="44"/>
    </row>
    <row r="14" spans="1:16" x14ac:dyDescent="0.2">
      <c r="A14" s="17">
        <f>'Non-Rebalanced Portfolio'!A14</f>
        <v>1999</v>
      </c>
      <c r="B14" s="17">
        <f>'Non-Rebalanced Portfolio'!B14</f>
        <v>21.07</v>
      </c>
      <c r="C14" s="19">
        <f>'Non-Rebalanced Portfolio'!C14</f>
        <v>0</v>
      </c>
      <c r="D14" s="17"/>
      <c r="E14" s="17"/>
      <c r="F14" s="17"/>
      <c r="G14" s="17">
        <f>'Non-Rebalanced Portfolio'!G14</f>
        <v>29.919</v>
      </c>
      <c r="H14" s="17">
        <f>'Non-Rebalanced Portfolio'!H14</f>
        <v>-0.76</v>
      </c>
      <c r="N14" s="49">
        <f>'4.5% Withdrawals-No Rebalancing'!N14</f>
        <v>1999</v>
      </c>
      <c r="O14" s="50">
        <f>'4.5% Withdrawals-No Rebalancing'!O14</f>
        <v>2.7E-2</v>
      </c>
      <c r="P14" s="44"/>
    </row>
    <row r="15" spans="1:16" x14ac:dyDescent="0.2">
      <c r="A15" s="17">
        <f>'Non-Rebalanced Portfolio'!A15</f>
        <v>2000</v>
      </c>
      <c r="B15" s="17">
        <f>'Non-Rebalanced Portfolio'!B15</f>
        <v>-9.06</v>
      </c>
      <c r="C15" s="17"/>
      <c r="D15" s="17">
        <f>'Non-Rebalanced Portfolio'!D15</f>
        <v>18.097999999999999</v>
      </c>
      <c r="E15" s="17">
        <f>'Non-Rebalanced Portfolio'!E15</f>
        <v>-2.665</v>
      </c>
      <c r="F15" s="17"/>
      <c r="G15" s="17">
        <f>'Non-Rebalanced Portfolio'!G15</f>
        <v>-15.614000000000001</v>
      </c>
      <c r="H15" s="17">
        <f>'Non-Rebalanced Portfolio'!H15</f>
        <v>11.39</v>
      </c>
      <c r="N15" s="49">
        <f>'4.5% Withdrawals-No Rebalancing'!N15</f>
        <v>2000</v>
      </c>
      <c r="O15" s="50">
        <f>'4.5% Withdrawals-No Rebalancing'!O15</f>
        <v>3.4000000000000002E-2</v>
      </c>
      <c r="P15" s="44"/>
    </row>
    <row r="16" spans="1:16"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c r="N16" s="49">
        <f>'4.5% Withdrawals-No Rebalancing'!N16</f>
        <v>2001</v>
      </c>
      <c r="O16" s="50">
        <f>'4.5% Withdrawals-No Rebalancing'!O16</f>
        <v>1.6E-2</v>
      </c>
      <c r="P16" s="44"/>
    </row>
    <row r="17" spans="1:16"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c r="N17" s="49">
        <f>'4.5% Withdrawals-No Rebalancing'!N17</f>
        <v>2002</v>
      </c>
      <c r="O17" s="50">
        <f>'4.5% Withdrawals-No Rebalancing'!O17</f>
        <v>2.5000000000000001E-2</v>
      </c>
      <c r="P17" s="44"/>
    </row>
    <row r="18" spans="1:16"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c r="N18" s="49">
        <f>'4.5% Withdrawals-No Rebalancing'!N18</f>
        <v>2003</v>
      </c>
      <c r="O18" s="50">
        <f>'4.5% Withdrawals-No Rebalancing'!O18</f>
        <v>0.02</v>
      </c>
      <c r="P18" s="44"/>
    </row>
    <row r="19" spans="1:16"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c r="N19" s="49">
        <f>'4.5% Withdrawals-No Rebalancing'!N19</f>
        <v>2004</v>
      </c>
      <c r="O19" s="50">
        <f>'4.5% Withdrawals-No Rebalancing'!O19</f>
        <v>3.3000000000000002E-2</v>
      </c>
      <c r="P19" s="44"/>
    </row>
    <row r="20" spans="1:16"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c r="N20" s="49">
        <f>'4.5% Withdrawals-No Rebalancing'!N20</f>
        <v>2005</v>
      </c>
      <c r="O20" s="50">
        <f>'4.5% Withdrawals-No Rebalancing'!O20</f>
        <v>3.3000000000000002E-2</v>
      </c>
      <c r="P20" s="44"/>
    </row>
    <row r="21" spans="1:16"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c r="N21" s="49">
        <f>'4.5% Withdrawals-No Rebalancing'!N21</f>
        <v>2006</v>
      </c>
      <c r="O21" s="50">
        <f>'4.5% Withdrawals-No Rebalancing'!O21</f>
        <v>2.5000000000000001E-2</v>
      </c>
      <c r="P21" s="44"/>
    </row>
    <row r="22" spans="1:16"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c r="N22" s="49">
        <f>'4.5% Withdrawals-No Rebalancing'!N22</f>
        <v>2007</v>
      </c>
      <c r="O22" s="50">
        <f>'4.5% Withdrawals-No Rebalancing'!O22</f>
        <v>4.1000000000000002E-2</v>
      </c>
      <c r="P22" s="44"/>
    </row>
    <row r="23" spans="1:16"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c r="N23" s="49">
        <f>'4.5% Withdrawals-No Rebalancing'!N23</f>
        <v>2008</v>
      </c>
      <c r="O23" s="50">
        <f>'4.5% Withdrawals-No Rebalancing'!O23</f>
        <v>0</v>
      </c>
      <c r="P23" s="44"/>
    </row>
    <row r="24" spans="1:16"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c r="N24" s="49">
        <f>'4.5% Withdrawals-No Rebalancing'!N24</f>
        <v>2009</v>
      </c>
      <c r="O24" s="50">
        <f>'4.5% Withdrawals-No Rebalancing'!O24</f>
        <v>2.8000000000000001E-2</v>
      </c>
      <c r="P24" s="44"/>
    </row>
    <row r="25" spans="1:16"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c r="N25" s="49">
        <f>'4.5% Withdrawals-No Rebalancing'!N25</f>
        <v>2010</v>
      </c>
      <c r="O25" s="50">
        <f>'4.5% Withdrawals-No Rebalancing'!O25</f>
        <v>1.4E-2</v>
      </c>
      <c r="P25" s="44"/>
    </row>
    <row r="26" spans="1:16"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c r="N26" s="49">
        <f>'4.5% Withdrawals-No Rebalancing'!N26</f>
        <v>2011</v>
      </c>
      <c r="O26" s="50">
        <f>'4.5% Withdrawals-No Rebalancing'!O26</f>
        <v>0.03</v>
      </c>
      <c r="P26" s="44"/>
    </row>
    <row r="27" spans="1:16"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c r="N27" s="49">
        <f>'4.5% Withdrawals-No Rebalancing'!N27</f>
        <v>2012</v>
      </c>
      <c r="O27" s="50">
        <f>'4.5% Withdrawals-No Rebalancing'!O27</f>
        <v>1.7999999999999999E-2</v>
      </c>
    </row>
    <row r="28" spans="1:16" x14ac:dyDescent="0.2">
      <c r="A28" s="17">
        <f>'Non-Rebalanced Portfolio'!A28</f>
        <v>2013</v>
      </c>
      <c r="B28" s="17">
        <f>'Non-Rebalanced Portfolio'!B28</f>
        <v>32.18</v>
      </c>
      <c r="C28" s="17"/>
      <c r="D28" s="17">
        <f>'Non-Rebalanced Portfolio'!D28</f>
        <v>35</v>
      </c>
      <c r="E28" s="17">
        <f>'Non-Rebalanced Portfolio'!E28</f>
        <v>37.619999999999997</v>
      </c>
      <c r="F28" s="17"/>
      <c r="G28" s="17">
        <f>'Non-Rebalanced Portfolio'!G28</f>
        <v>15.04</v>
      </c>
      <c r="H28" s="17">
        <f>'Non-Rebalanced Portfolio'!H28</f>
        <v>-2.2599999999999998</v>
      </c>
      <c r="N28" s="49">
        <f>'4.5% Withdrawals-No Rebalancing'!N28</f>
        <v>2013</v>
      </c>
      <c r="O28" s="50">
        <f>'4.5% Withdrawals-No Rebalancing'!O28</f>
        <v>1.15559170535223E-2</v>
      </c>
    </row>
    <row r="29" spans="1:16" x14ac:dyDescent="0.2">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2014</v>
      </c>
      <c r="O29" s="50">
        <f>'4.5% Withdrawals-No Rebalancing'!O29</f>
        <v>1.29E-2</v>
      </c>
    </row>
    <row r="30" spans="1:16" x14ac:dyDescent="0.2">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2015</v>
      </c>
      <c r="O30" s="50">
        <f>'4.5% Withdrawals-No Rebalancing'!O30</f>
        <v>4.4000000000000003E-3</v>
      </c>
    </row>
    <row r="31" spans="1:16" x14ac:dyDescent="0.2">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2016</v>
      </c>
      <c r="O31" s="50">
        <f>'4.5% Withdrawals-No Rebalancing'!O31</f>
        <v>1.7000000000000001E-2</v>
      </c>
    </row>
    <row r="32" spans="1:16" x14ac:dyDescent="0.2">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2017</v>
      </c>
      <c r="O32" s="50">
        <f>'4.5% Withdrawals-No Rebalancing'!O32</f>
        <v>2.23E-2</v>
      </c>
    </row>
    <row r="33" spans="1:72"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72" x14ac:dyDescent="0.2">
      <c r="A36" s="20" t="s">
        <v>116</v>
      </c>
      <c r="N36" s="20" t="s">
        <v>25</v>
      </c>
      <c r="R36" s="20" t="s">
        <v>117</v>
      </c>
      <c r="AG36" s="20" t="s">
        <v>118</v>
      </c>
      <c r="AS36" s="20" t="s">
        <v>7</v>
      </c>
      <c r="BC36" s="20" t="s">
        <v>119</v>
      </c>
    </row>
    <row r="37" spans="1:72"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88</v>
      </c>
    </row>
    <row r="38" spans="1:72"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72</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87</v>
      </c>
    </row>
    <row r="39" spans="1:72" x14ac:dyDescent="0.2">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86</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72" x14ac:dyDescent="0.2">
      <c r="A40">
        <f t="shared" ref="A40:A64" si="6">A4</f>
        <v>1989</v>
      </c>
      <c r="B40" s="2">
        <f>B39*(1+(B4/100))</f>
        <v>26272.000000000004</v>
      </c>
      <c r="C40" s="2">
        <f>C39*(1+(C4/100))</f>
        <v>37228.800000000003</v>
      </c>
      <c r="D40" s="2"/>
      <c r="E40" s="2"/>
      <c r="F40" s="2">
        <f>F39*(1+(F4/100))</f>
        <v>25194.2</v>
      </c>
      <c r="G40" s="2"/>
      <c r="H40" s="2">
        <f>H39*(1+(H4/100))</f>
        <v>34092</v>
      </c>
      <c r="I40" s="2">
        <f>SUM(B40:H40)</f>
        <v>122787</v>
      </c>
      <c r="J40" s="2">
        <f>I40-I39</f>
        <v>22787</v>
      </c>
      <c r="K40" s="6">
        <f>(J40/I39)</f>
        <v>0.22786999999999999</v>
      </c>
      <c r="L40" s="7">
        <f>K40+1</f>
        <v>1.22787</v>
      </c>
      <c r="N40">
        <f>A40</f>
        <v>1989</v>
      </c>
      <c r="O40" s="2">
        <f>I40*0.045</f>
        <v>5525.415</v>
      </c>
      <c r="P40" s="2"/>
      <c r="Q40" s="2"/>
      <c r="R40">
        <f>A40</f>
        <v>1989</v>
      </c>
      <c r="S40" s="2">
        <f>B40-($O40/4)</f>
        <v>24890.646250000005</v>
      </c>
      <c r="T40" s="2">
        <f>C40-($O40/4)</f>
        <v>35847.446250000001</v>
      </c>
      <c r="U40" s="2"/>
      <c r="V40" s="2"/>
      <c r="W40" s="2">
        <f t="shared" ref="W40:W47" si="7">F40-($O40/4)</f>
        <v>23812.846250000002</v>
      </c>
      <c r="X40" s="2"/>
      <c r="Y40" s="2">
        <f>H40-($O40/4)</f>
        <v>32710.646250000002</v>
      </c>
      <c r="Z40" s="2">
        <f>SUM(S40:Y40)</f>
        <v>117261.58500000001</v>
      </c>
      <c r="AA40" s="2">
        <f>Z40-Z39</f>
        <v>17261.585000000006</v>
      </c>
      <c r="AB40" s="6">
        <f>(AA40/Z39)</f>
        <v>0.17261585000000007</v>
      </c>
      <c r="AC40" s="7">
        <f>AB40+1</f>
        <v>1.1726158500000001</v>
      </c>
      <c r="AD40" s="2">
        <f>Z40-(I40-O40)</f>
        <v>0</v>
      </c>
      <c r="AE40" s="2"/>
      <c r="AG40">
        <f>A40</f>
        <v>1989</v>
      </c>
      <c r="AH40" s="6">
        <f t="shared" si="5"/>
        <v>0.2122659884735483</v>
      </c>
      <c r="AI40" s="6">
        <f t="shared" si="5"/>
        <v>0.3057049437801817</v>
      </c>
      <c r="AJ40" s="7"/>
      <c r="AK40" s="7"/>
      <c r="AL40" s="6">
        <f>W40/$Z40</f>
        <v>0.20307457254649935</v>
      </c>
      <c r="AM40" s="7"/>
      <c r="AN40" s="6">
        <f>Y40/$Z40</f>
        <v>0.27895449519977067</v>
      </c>
      <c r="AO40" s="6">
        <f>SUM(AH40:AN40)</f>
        <v>1</v>
      </c>
      <c r="AP40" s="7">
        <f>SUM(AH40:AM40)</f>
        <v>0.72104550480022933</v>
      </c>
      <c r="AQ40" s="7">
        <f>AO40-(AP40+AN40)</f>
        <v>0</v>
      </c>
      <c r="AR40" s="24"/>
      <c r="AS40">
        <f>AG40</f>
        <v>1989</v>
      </c>
      <c r="AT40" s="1" t="b">
        <f>AND((S40/$Z40)&gt;0.15,(S40/$Z40)&lt;0.25)</f>
        <v>1</v>
      </c>
      <c r="AU40" s="1" t="b">
        <f>AND((T40/$Z40)&gt;0.25,(T40/$Z40)&lt;0.35)</f>
        <v>1</v>
      </c>
      <c r="AX40" s="1" t="b">
        <f t="shared" ref="AX40:AX47" si="8">AND((W40/$Z40)&gt;0.15,(W40/$Z40)&lt;0.25)</f>
        <v>1</v>
      </c>
      <c r="AZ40" s="1" t="b">
        <f>AND((Y40/$Z40)&gt;0.25,(Y40/$Z40)&lt;0.35)</f>
        <v>1</v>
      </c>
      <c r="BA40" s="1" t="b">
        <f>AND((Z40/$Z40)&gt;0.999,(Z40/$Z40)&lt;1.01)</f>
        <v>1</v>
      </c>
      <c r="BC40">
        <f>AS40</f>
        <v>1989</v>
      </c>
      <c r="BD40" s="2">
        <f>S40</f>
        <v>24890.646250000005</v>
      </c>
      <c r="BE40" s="2">
        <f>T40</f>
        <v>35847.446250000001</v>
      </c>
      <c r="BF40" s="2"/>
      <c r="BG40" s="2"/>
      <c r="BH40" s="2">
        <f t="shared" ref="BH40:BH46" si="9">W40</f>
        <v>23812.846250000002</v>
      </c>
      <c r="BI40" s="2"/>
      <c r="BJ40" s="2">
        <f>Y40</f>
        <v>32710.646250000002</v>
      </c>
      <c r="BK40" s="2">
        <f>Z40</f>
        <v>117261.58500000001</v>
      </c>
      <c r="BL40" s="2">
        <f>SUM(BD40:BJ40)-Z40</f>
        <v>0</v>
      </c>
      <c r="BM40" s="2"/>
    </row>
    <row r="41" spans="1:72" x14ac:dyDescent="0.2">
      <c r="A41">
        <f t="shared" si="6"/>
        <v>1990</v>
      </c>
      <c r="B41" s="2">
        <f t="shared" ref="B41:B50" si="10">BD40*(1+(B5/100))</f>
        <v>24064.276794500005</v>
      </c>
      <c r="C41" s="2">
        <f t="shared" ref="C41:C49" si="11">BE40*(1+(C5/100))</f>
        <v>30812.672424187502</v>
      </c>
      <c r="D41" s="2"/>
      <c r="E41" s="2"/>
      <c r="F41" s="2">
        <f t="shared" ref="F41:F47" si="12">BH40*(1+(F5/100))</f>
        <v>20893.391299750001</v>
      </c>
      <c r="G41" s="2"/>
      <c r="H41" s="2">
        <f t="shared" ref="H41:H64" si="13">BJ40*(1+(H5/100))</f>
        <v>35540.117150625003</v>
      </c>
      <c r="I41" s="2">
        <f>SUM(B41:H41)</f>
        <v>111310.45766906251</v>
      </c>
      <c r="J41" s="2">
        <f t="shared" ref="J41:J64" si="14">I41-I40</f>
        <v>-11476.542330937489</v>
      </c>
      <c r="K41" s="6">
        <f t="shared" ref="K41:K64" si="15">(J41/I40)</f>
        <v>-9.3467079828788796E-2</v>
      </c>
      <c r="L41" s="7">
        <f t="shared" ref="L41:L64" si="16">K41+1</f>
        <v>0.90653292017121123</v>
      </c>
      <c r="N41">
        <f t="shared" ref="N41:N64" si="17">A41</f>
        <v>1990</v>
      </c>
      <c r="O41" s="2">
        <f t="shared" ref="O41:O64" si="18">O40*(1+O5)</f>
        <v>5873.5161449999996</v>
      </c>
      <c r="P41" s="2"/>
      <c r="Q41" s="2"/>
      <c r="R41">
        <f t="shared" ref="R41:R64" si="19">A41</f>
        <v>1990</v>
      </c>
      <c r="S41" s="2">
        <f t="shared" ref="S41:T49" si="20">B41-($O41/4)</f>
        <v>22595.897758250005</v>
      </c>
      <c r="T41" s="2">
        <f t="shared" si="20"/>
        <v>29344.293387937501</v>
      </c>
      <c r="U41" s="2"/>
      <c r="V41" s="2"/>
      <c r="W41" s="2">
        <f t="shared" si="7"/>
        <v>19425.012263500001</v>
      </c>
      <c r="X41" s="2"/>
      <c r="Y41" s="2">
        <f t="shared" ref="Y41:Y49" si="21">H41-($O41/4)</f>
        <v>34071.738114375003</v>
      </c>
      <c r="Z41" s="2">
        <f t="shared" ref="Z41:Z64" si="22">SUM(S41:Y41)</f>
        <v>105436.94152406251</v>
      </c>
      <c r="AA41" s="2">
        <f t="shared" ref="AA41:AA55" si="23">Z41-Z40</f>
        <v>-11824.643475937497</v>
      </c>
      <c r="AB41" s="6">
        <f t="shared" ref="AB41:AB55" si="24">(AA41/Z40)</f>
        <v>-0.10083987416627105</v>
      </c>
      <c r="AC41" s="7">
        <f t="shared" ref="AC41:AC64" si="25">AB41+1</f>
        <v>0.89916012583372895</v>
      </c>
      <c r="AD41" s="2">
        <f t="shared" ref="AD41:AD64" si="26">Z41-(I41-O41)</f>
        <v>0</v>
      </c>
      <c r="AE41" s="2"/>
      <c r="AG41">
        <f t="shared" ref="AG41:AG64" si="27">A41</f>
        <v>1990</v>
      </c>
      <c r="AH41" s="6">
        <f t="shared" si="5"/>
        <v>0.21430721938281219</v>
      </c>
      <c r="AI41" s="6">
        <f t="shared" si="5"/>
        <v>0.27831131066373577</v>
      </c>
      <c r="AJ41" s="7"/>
      <c r="AK41" s="7"/>
      <c r="AL41" s="6">
        <f t="shared" ref="AL41:AM56" si="28">W41/$Z41</f>
        <v>0.18423345729415797</v>
      </c>
      <c r="AM41" s="7"/>
      <c r="AN41" s="6">
        <f t="shared" ref="AN41:AN64" si="29">Y41/$Z41</f>
        <v>0.3231480126592941</v>
      </c>
      <c r="AO41" s="6">
        <f t="shared" ref="AO41:AO64" si="30">SUM(AH41:AN41)</f>
        <v>1</v>
      </c>
      <c r="AP41" s="7">
        <f t="shared" ref="AP41:AP64" si="31">SUM(AH41:AM41)</f>
        <v>0.67685198734070595</v>
      </c>
      <c r="AQ41" s="7">
        <f t="shared" ref="AQ41:AQ64" si="32">AO41-(AP41+AN41)</f>
        <v>0</v>
      </c>
      <c r="AR41" s="24"/>
      <c r="AS41">
        <f t="shared" ref="AS41:AS64" si="33">AG41</f>
        <v>1990</v>
      </c>
      <c r="AT41" s="1" t="b">
        <f t="shared" ref="AT41:AT64" si="34">AND((S41/$Z41)&gt;0.15,(S41/$Z41)&lt;0.25)</f>
        <v>1</v>
      </c>
      <c r="AU41" s="1" t="b">
        <f t="shared" ref="AU41:AU49" si="35">AND((T41/$Z41)&gt;0.25,(T41/$Z41)&lt;0.35)</f>
        <v>1</v>
      </c>
      <c r="AX41" s="1" t="b">
        <f t="shared" si="8"/>
        <v>1</v>
      </c>
      <c r="AZ41" s="1" t="b">
        <f t="shared" ref="AZ41:AZ64" si="36">AND((Y41/$Z41)&gt;0.25,(Y41/$Z41)&lt;0.35)</f>
        <v>1</v>
      </c>
      <c r="BA41" s="1" t="b">
        <f t="shared" ref="BA41:BA64" si="37">AND((Z41/$Z41)&gt;0.999,(Z41/$Z41)&lt;1.01)</f>
        <v>1</v>
      </c>
      <c r="BC41">
        <f t="shared" ref="BC41:BC64" si="38">AS41</f>
        <v>1990</v>
      </c>
      <c r="BD41" s="2">
        <f t="shared" ref="BD41:BE64" si="39">S41</f>
        <v>22595.897758250005</v>
      </c>
      <c r="BE41" s="2">
        <f t="shared" si="39"/>
        <v>29344.293387937501</v>
      </c>
      <c r="BF41" s="2"/>
      <c r="BG41" s="2"/>
      <c r="BH41" s="2">
        <f t="shared" si="9"/>
        <v>19425.012263500001</v>
      </c>
      <c r="BI41" s="2"/>
      <c r="BJ41" s="2">
        <f>Y41</f>
        <v>34071.738114375003</v>
      </c>
      <c r="BK41" s="2">
        <f t="shared" ref="BK41:BK64" si="40">Z41</f>
        <v>105436.94152406251</v>
      </c>
      <c r="BL41" s="2">
        <f t="shared" ref="BL41:BL64" si="41">SUM(BD41:BJ41)-Z41</f>
        <v>0</v>
      </c>
      <c r="BM41" s="2"/>
    </row>
    <row r="42" spans="1:72" x14ac:dyDescent="0.2">
      <c r="A42">
        <f t="shared" si="6"/>
        <v>1991</v>
      </c>
      <c r="B42" s="2">
        <f t="shared" si="10"/>
        <v>29424.378060793155</v>
      </c>
      <c r="C42" s="2">
        <f t="shared" si="11"/>
        <v>41624.880170789351</v>
      </c>
      <c r="D42" s="2"/>
      <c r="E42" s="2"/>
      <c r="F42" s="2">
        <f t="shared" si="12"/>
        <v>21358.966484454064</v>
      </c>
      <c r="G42" s="2"/>
      <c r="H42" s="2">
        <f t="shared" si="13"/>
        <v>39267.678176817193</v>
      </c>
      <c r="I42" s="2">
        <f t="shared" ref="I42:I64" si="42">SUM(B42:H42)</f>
        <v>131675.90289285377</v>
      </c>
      <c r="J42" s="2">
        <f t="shared" si="14"/>
        <v>20365.445223791263</v>
      </c>
      <c r="K42" s="6">
        <f t="shared" si="15"/>
        <v>0.182960753645806</v>
      </c>
      <c r="L42" s="7">
        <f t="shared" si="16"/>
        <v>1.182960753645806</v>
      </c>
      <c r="N42">
        <f t="shared" si="17"/>
        <v>1991</v>
      </c>
      <c r="O42" s="2">
        <f t="shared" si="18"/>
        <v>6049.7216293499996</v>
      </c>
      <c r="P42" s="2"/>
      <c r="Q42" s="2"/>
      <c r="R42">
        <f t="shared" si="19"/>
        <v>1991</v>
      </c>
      <c r="S42" s="2">
        <f t="shared" si="20"/>
        <v>27911.947653455656</v>
      </c>
      <c r="T42" s="2">
        <f t="shared" si="20"/>
        <v>40112.449763451848</v>
      </c>
      <c r="U42" s="2"/>
      <c r="V42" s="2"/>
      <c r="W42" s="2">
        <f t="shared" si="7"/>
        <v>19846.536077116565</v>
      </c>
      <c r="X42" s="2"/>
      <c r="Y42" s="2">
        <f t="shared" si="21"/>
        <v>37755.247769479691</v>
      </c>
      <c r="Z42" s="2">
        <f t="shared" si="22"/>
        <v>125626.18126350376</v>
      </c>
      <c r="AA42" s="2">
        <f t="shared" si="23"/>
        <v>20189.239739441255</v>
      </c>
      <c r="AB42" s="6">
        <f t="shared" si="24"/>
        <v>0.19148165194865527</v>
      </c>
      <c r="AC42" s="7">
        <f t="shared" si="25"/>
        <v>1.1914816519486553</v>
      </c>
      <c r="AD42" s="2">
        <f t="shared" si="26"/>
        <v>0</v>
      </c>
      <c r="AE42" s="2"/>
      <c r="AG42">
        <f t="shared" si="27"/>
        <v>1991</v>
      </c>
      <c r="AH42" s="6">
        <f t="shared" si="5"/>
        <v>0.22218256873469483</v>
      </c>
      <c r="AI42" s="6">
        <f t="shared" si="5"/>
        <v>0.31930008028593238</v>
      </c>
      <c r="AJ42" s="7"/>
      <c r="AK42" s="7"/>
      <c r="AL42" s="6">
        <f t="shared" si="28"/>
        <v>0.15798089122432216</v>
      </c>
      <c r="AM42" s="7"/>
      <c r="AN42" s="6">
        <f t="shared" si="29"/>
        <v>0.30053645975505061</v>
      </c>
      <c r="AO42" s="6">
        <f t="shared" si="30"/>
        <v>1</v>
      </c>
      <c r="AP42" s="7">
        <f t="shared" si="31"/>
        <v>0.69946354024494939</v>
      </c>
      <c r="AQ42" s="7">
        <f t="shared" si="32"/>
        <v>0</v>
      </c>
      <c r="AR42" s="24"/>
      <c r="AS42">
        <f t="shared" si="33"/>
        <v>1991</v>
      </c>
      <c r="AT42" s="1" t="b">
        <f t="shared" si="34"/>
        <v>1</v>
      </c>
      <c r="AU42" s="1" t="b">
        <f t="shared" si="35"/>
        <v>1</v>
      </c>
      <c r="AX42" s="1" t="b">
        <f t="shared" si="8"/>
        <v>1</v>
      </c>
      <c r="AZ42" s="1" t="b">
        <f t="shared" si="36"/>
        <v>1</v>
      </c>
      <c r="BA42" s="1" t="b">
        <f t="shared" si="37"/>
        <v>1</v>
      </c>
      <c r="BC42">
        <f t="shared" si="38"/>
        <v>1991</v>
      </c>
      <c r="BD42" s="2">
        <f t="shared" si="39"/>
        <v>27911.947653455656</v>
      </c>
      <c r="BE42" s="2">
        <f t="shared" si="39"/>
        <v>40112.449763451848</v>
      </c>
      <c r="BF42" s="2"/>
      <c r="BG42" s="2"/>
      <c r="BH42" s="2">
        <f t="shared" si="9"/>
        <v>19846.536077116565</v>
      </c>
      <c r="BI42" s="2"/>
      <c r="BJ42" s="2">
        <f>Y42</f>
        <v>37755.247769479691</v>
      </c>
      <c r="BK42" s="2">
        <f t="shared" si="40"/>
        <v>125626.18126350376</v>
      </c>
      <c r="BL42" s="2">
        <f t="shared" si="41"/>
        <v>0</v>
      </c>
      <c r="BM42" s="2"/>
    </row>
    <row r="43" spans="1:72" x14ac:dyDescent="0.2">
      <c r="A43">
        <f t="shared" si="6"/>
        <v>1992</v>
      </c>
      <c r="B43" s="2">
        <f t="shared" si="10"/>
        <v>29983.014169342066</v>
      </c>
      <c r="C43" s="2">
        <f t="shared" si="11"/>
        <v>45112.867750963756</v>
      </c>
      <c r="D43" s="2"/>
      <c r="E43" s="2"/>
      <c r="F43" s="2">
        <f t="shared" si="12"/>
        <v>18115.719665831228</v>
      </c>
      <c r="G43" s="2"/>
      <c r="H43" s="2">
        <f t="shared" si="13"/>
        <v>40450.972460220539</v>
      </c>
      <c r="I43" s="2">
        <f t="shared" si="42"/>
        <v>133662.57404635759</v>
      </c>
      <c r="J43" s="2">
        <f t="shared" si="14"/>
        <v>1986.6711535038194</v>
      </c>
      <c r="K43" s="6">
        <f t="shared" si="15"/>
        <v>1.5087583300039316E-2</v>
      </c>
      <c r="L43" s="7">
        <f t="shared" si="16"/>
        <v>1.0150875833000392</v>
      </c>
      <c r="N43">
        <f t="shared" si="17"/>
        <v>1992</v>
      </c>
      <c r="O43" s="2">
        <f t="shared" si="18"/>
        <v>6231.2132782304998</v>
      </c>
      <c r="P43" s="2"/>
      <c r="Q43" s="2"/>
      <c r="R43">
        <f t="shared" si="19"/>
        <v>1992</v>
      </c>
      <c r="S43" s="2">
        <f t="shared" si="20"/>
        <v>28425.210849784442</v>
      </c>
      <c r="T43" s="2">
        <f t="shared" si="20"/>
        <v>43555.064431406128</v>
      </c>
      <c r="U43" s="2"/>
      <c r="V43" s="2"/>
      <c r="W43" s="2">
        <f t="shared" si="7"/>
        <v>16557.916346273603</v>
      </c>
      <c r="X43" s="2"/>
      <c r="Y43" s="2">
        <f t="shared" si="21"/>
        <v>38893.169140662911</v>
      </c>
      <c r="Z43" s="2">
        <f t="shared" si="22"/>
        <v>127431.36076812708</v>
      </c>
      <c r="AA43" s="2">
        <f t="shared" si="23"/>
        <v>1805.1795046233165</v>
      </c>
      <c r="AB43" s="6">
        <f t="shared" si="24"/>
        <v>1.4369452979207506E-2</v>
      </c>
      <c r="AC43" s="7">
        <f t="shared" si="25"/>
        <v>1.0143694529792076</v>
      </c>
      <c r="AD43" s="2">
        <f t="shared" si="26"/>
        <v>0</v>
      </c>
      <c r="AE43" s="2"/>
      <c r="AG43">
        <f t="shared" si="27"/>
        <v>1992</v>
      </c>
      <c r="AH43" s="6">
        <f t="shared" si="5"/>
        <v>0.223062915427127</v>
      </c>
      <c r="AI43" s="6">
        <f t="shared" si="5"/>
        <v>0.34179235134009528</v>
      </c>
      <c r="AJ43" s="7"/>
      <c r="AK43" s="7"/>
      <c r="AL43" s="6">
        <f t="shared" si="28"/>
        <v>0.12993596118307357</v>
      </c>
      <c r="AM43" s="7"/>
      <c r="AN43" s="6">
        <f t="shared" si="29"/>
        <v>0.30520877204970415</v>
      </c>
      <c r="AO43" s="6">
        <f t="shared" si="30"/>
        <v>1</v>
      </c>
      <c r="AP43" s="7">
        <f t="shared" si="31"/>
        <v>0.69479122795029591</v>
      </c>
      <c r="AQ43" s="7">
        <f t="shared" si="32"/>
        <v>0</v>
      </c>
      <c r="AR43" s="24"/>
      <c r="AS43">
        <f t="shared" si="33"/>
        <v>1992</v>
      </c>
      <c r="AT43" s="1" t="b">
        <f t="shared" si="34"/>
        <v>1</v>
      </c>
      <c r="AU43" s="1" t="b">
        <f t="shared" si="35"/>
        <v>1</v>
      </c>
      <c r="AX43" s="39" t="b">
        <f t="shared" si="8"/>
        <v>0</v>
      </c>
      <c r="AZ43" s="1" t="b">
        <f t="shared" si="36"/>
        <v>1</v>
      </c>
      <c r="BA43" s="1" t="b">
        <f t="shared" si="37"/>
        <v>1</v>
      </c>
      <c r="BC43">
        <f t="shared" si="38"/>
        <v>1992</v>
      </c>
      <c r="BD43" s="40">
        <f>$BK43*BD$39</f>
        <v>25486.272153625418</v>
      </c>
      <c r="BE43" s="40">
        <f>$BK43*BE$39</f>
        <v>38229.408230438123</v>
      </c>
      <c r="BF43" s="2"/>
      <c r="BG43" s="2"/>
      <c r="BH43" s="40">
        <f>$BK43*BH$39</f>
        <v>25486.272153625418</v>
      </c>
      <c r="BI43" s="2"/>
      <c r="BJ43" s="40">
        <f>$BK43*BJ$39</f>
        <v>38229.408230438123</v>
      </c>
      <c r="BK43" s="2">
        <f t="shared" si="40"/>
        <v>127431.36076812708</v>
      </c>
      <c r="BL43" s="2">
        <f t="shared" si="41"/>
        <v>0</v>
      </c>
      <c r="BM43" s="2"/>
    </row>
    <row r="44" spans="1:72" x14ac:dyDescent="0.2">
      <c r="A44">
        <f t="shared" si="6"/>
        <v>1993</v>
      </c>
      <c r="B44" s="2">
        <f t="shared" si="10"/>
        <v>28006.864469618969</v>
      </c>
      <c r="C44" s="2">
        <f t="shared" si="11"/>
        <v>43768.849483028607</v>
      </c>
      <c r="D44" s="2"/>
      <c r="E44" s="2"/>
      <c r="F44" s="2">
        <f t="shared" si="12"/>
        <v>33258.05598415195</v>
      </c>
      <c r="G44" s="2"/>
      <c r="H44" s="2">
        <f t="shared" si="13"/>
        <v>41930.014947144533</v>
      </c>
      <c r="I44" s="2">
        <f t="shared" si="42"/>
        <v>146963.78488394408</v>
      </c>
      <c r="J44" s="2">
        <f t="shared" si="14"/>
        <v>13301.210837586492</v>
      </c>
      <c r="K44" s="6">
        <f t="shared" si="15"/>
        <v>9.9513352428581031E-2</v>
      </c>
      <c r="L44" s="7">
        <f t="shared" si="16"/>
        <v>1.0995133524285809</v>
      </c>
      <c r="N44">
        <f t="shared" si="17"/>
        <v>1993</v>
      </c>
      <c r="O44" s="2">
        <f t="shared" si="18"/>
        <v>6405.6872500209538</v>
      </c>
      <c r="P44" s="2"/>
      <c r="Q44" s="2"/>
      <c r="R44">
        <f t="shared" si="19"/>
        <v>1993</v>
      </c>
      <c r="S44" s="2">
        <f t="shared" si="20"/>
        <v>26405.44265711373</v>
      </c>
      <c r="T44" s="2">
        <f t="shared" si="20"/>
        <v>42167.427670523371</v>
      </c>
      <c r="U44" s="2"/>
      <c r="V44" s="2"/>
      <c r="W44" s="2">
        <f t="shared" si="7"/>
        <v>31656.63417164671</v>
      </c>
      <c r="X44" s="2"/>
      <c r="Y44" s="2">
        <f t="shared" si="21"/>
        <v>40328.593134639297</v>
      </c>
      <c r="Z44" s="2">
        <f t="shared" si="22"/>
        <v>140558.09763392311</v>
      </c>
      <c r="AA44" s="2">
        <f t="shared" si="23"/>
        <v>13126.736865796032</v>
      </c>
      <c r="AB44" s="6">
        <f t="shared" si="24"/>
        <v>0.10301025420015188</v>
      </c>
      <c r="AC44" s="7">
        <f t="shared" si="25"/>
        <v>1.1030102542001519</v>
      </c>
      <c r="AD44" s="2">
        <f t="shared" si="26"/>
        <v>0</v>
      </c>
      <c r="AE44" s="2"/>
      <c r="AG44">
        <f t="shared" si="27"/>
        <v>1993</v>
      </c>
      <c r="AH44" s="6">
        <f t="shared" si="5"/>
        <v>0.18786141176928456</v>
      </c>
      <c r="AI44" s="38">
        <f t="shared" si="5"/>
        <v>0.29999998847698151</v>
      </c>
      <c r="AJ44" s="7"/>
      <c r="AK44" s="7"/>
      <c r="AL44" s="38">
        <f t="shared" si="28"/>
        <v>0.22522099192104114</v>
      </c>
      <c r="AM44" s="7"/>
      <c r="AN44" s="6">
        <f t="shared" si="29"/>
        <v>0.28691760783269282</v>
      </c>
      <c r="AO44" s="6">
        <f t="shared" si="30"/>
        <v>1</v>
      </c>
      <c r="AP44" s="7">
        <f t="shared" si="31"/>
        <v>0.71308239216730718</v>
      </c>
      <c r="AQ44" s="7">
        <f t="shared" si="32"/>
        <v>0</v>
      </c>
      <c r="AR44" s="24"/>
      <c r="AS44">
        <f t="shared" si="33"/>
        <v>1993</v>
      </c>
      <c r="AT44" s="1" t="b">
        <f t="shared" si="34"/>
        <v>1</v>
      </c>
      <c r="AU44" s="1" t="b">
        <f t="shared" ref="AU44" si="43">AND((T44/$Z44)&gt;0.25,(T44/$Z44)&lt;0.35)</f>
        <v>1</v>
      </c>
      <c r="AX44" s="1" t="b">
        <f t="shared" ref="AX44" si="44">AND((W44/$Z44)&gt;0.15,(W44/$Z44)&lt;0.25)</f>
        <v>1</v>
      </c>
      <c r="AZ44" s="1" t="b">
        <f t="shared" si="36"/>
        <v>1</v>
      </c>
      <c r="BA44" s="1" t="b">
        <f t="shared" si="37"/>
        <v>1</v>
      </c>
      <c r="BC44">
        <f t="shared" si="38"/>
        <v>1993</v>
      </c>
      <c r="BD44" s="2">
        <f t="shared" ref="BD44" si="45">S44</f>
        <v>26405.44265711373</v>
      </c>
      <c r="BE44" s="2">
        <f t="shared" ref="BE44" si="46">T44</f>
        <v>42167.427670523371</v>
      </c>
      <c r="BF44" s="2"/>
      <c r="BG44" s="2"/>
      <c r="BH44" s="2">
        <f t="shared" ref="BH44" si="47">W44</f>
        <v>31656.63417164671</v>
      </c>
      <c r="BI44" s="2"/>
      <c r="BJ44" s="2">
        <f>Y44</f>
        <v>40328.593134639297</v>
      </c>
      <c r="BK44" s="2">
        <f t="shared" si="40"/>
        <v>140558.09763392311</v>
      </c>
      <c r="BL44" s="2">
        <f t="shared" si="41"/>
        <v>0</v>
      </c>
      <c r="BM44" s="2"/>
      <c r="BN44" s="2"/>
      <c r="BO44" s="2"/>
      <c r="BP44" s="2"/>
      <c r="BQ44" s="2"/>
      <c r="BR44" s="2"/>
      <c r="BS44" s="2"/>
      <c r="BT44" s="2"/>
    </row>
    <row r="45" spans="1:72" x14ac:dyDescent="0.2">
      <c r="A45">
        <f t="shared" si="6"/>
        <v>1994</v>
      </c>
      <c r="B45" s="2">
        <f t="shared" si="10"/>
        <v>26717.026880467674</v>
      </c>
      <c r="C45" s="2">
        <f t="shared" si="11"/>
        <v>41423.594246415341</v>
      </c>
      <c r="D45" s="2"/>
      <c r="E45" s="2"/>
      <c r="F45" s="2">
        <f t="shared" si="12"/>
        <v>33320.190297366746</v>
      </c>
      <c r="G45" s="2"/>
      <c r="H45" s="2">
        <f t="shared" si="13"/>
        <v>39255.852557257895</v>
      </c>
      <c r="I45" s="2">
        <f t="shared" si="42"/>
        <v>140716.66398150765</v>
      </c>
      <c r="J45" s="2">
        <f t="shared" si="14"/>
        <v>-6247.1209024364362</v>
      </c>
      <c r="K45" s="6">
        <f t="shared" si="15"/>
        <v>-4.250789340632271E-2</v>
      </c>
      <c r="L45" s="7">
        <f t="shared" si="16"/>
        <v>0.95749210659367734</v>
      </c>
      <c r="N45">
        <f t="shared" si="17"/>
        <v>1994</v>
      </c>
      <c r="O45" s="2">
        <f t="shared" si="18"/>
        <v>6572.2351185214984</v>
      </c>
      <c r="P45" s="2"/>
      <c r="Q45" s="2"/>
      <c r="R45">
        <f t="shared" si="19"/>
        <v>1994</v>
      </c>
      <c r="S45" s="2">
        <f t="shared" si="20"/>
        <v>25073.968100837301</v>
      </c>
      <c r="T45" s="2">
        <f t="shared" si="20"/>
        <v>39780.535466784968</v>
      </c>
      <c r="U45" s="2"/>
      <c r="V45" s="2"/>
      <c r="W45" s="2">
        <f t="shared" si="7"/>
        <v>31677.131517736372</v>
      </c>
      <c r="X45" s="2"/>
      <c r="Y45" s="2">
        <f t="shared" si="21"/>
        <v>37612.793777627521</v>
      </c>
      <c r="Z45" s="2">
        <f t="shared" si="22"/>
        <v>134144.42886298615</v>
      </c>
      <c r="AA45" s="2">
        <f t="shared" si="23"/>
        <v>-6413.668770936958</v>
      </c>
      <c r="AB45" s="6">
        <f t="shared" si="24"/>
        <v>-4.5630019749136427E-2</v>
      </c>
      <c r="AC45" s="7">
        <f t="shared" si="25"/>
        <v>0.95436998025086361</v>
      </c>
      <c r="AD45" s="2">
        <f t="shared" si="26"/>
        <v>0</v>
      </c>
      <c r="AE45" s="2"/>
      <c r="AG45">
        <f t="shared" si="27"/>
        <v>1994</v>
      </c>
      <c r="AH45" s="6">
        <f t="shared" si="5"/>
        <v>0.1869176999251129</v>
      </c>
      <c r="AI45" s="6">
        <f t="shared" si="5"/>
        <v>0.29655003792529044</v>
      </c>
      <c r="AJ45" s="7"/>
      <c r="AK45" s="7"/>
      <c r="AL45" s="6">
        <f t="shared" si="28"/>
        <v>0.23614198357869259</v>
      </c>
      <c r="AM45" s="7"/>
      <c r="AN45" s="6">
        <f t="shared" si="29"/>
        <v>0.28039027857090415</v>
      </c>
      <c r="AO45" s="6">
        <f t="shared" si="30"/>
        <v>1</v>
      </c>
      <c r="AP45" s="7">
        <f t="shared" si="31"/>
        <v>0.71960972142909596</v>
      </c>
      <c r="AQ45" s="7">
        <f t="shared" si="32"/>
        <v>0</v>
      </c>
      <c r="AR45" s="24"/>
      <c r="AS45">
        <f t="shared" si="33"/>
        <v>1994</v>
      </c>
      <c r="AT45" s="1" t="b">
        <f t="shared" si="34"/>
        <v>1</v>
      </c>
      <c r="AU45" s="1" t="b">
        <f t="shared" si="35"/>
        <v>1</v>
      </c>
      <c r="AX45" s="1" t="b">
        <f t="shared" si="8"/>
        <v>1</v>
      </c>
      <c r="AZ45" s="1" t="b">
        <f t="shared" si="36"/>
        <v>1</v>
      </c>
      <c r="BA45" s="1" t="b">
        <f t="shared" si="37"/>
        <v>1</v>
      </c>
      <c r="BC45">
        <f t="shared" si="38"/>
        <v>1994</v>
      </c>
      <c r="BD45" s="2">
        <f t="shared" si="39"/>
        <v>25073.968100837301</v>
      </c>
      <c r="BE45" s="2">
        <f t="shared" si="39"/>
        <v>39780.535466784968</v>
      </c>
      <c r="BF45" s="2"/>
      <c r="BG45" s="2"/>
      <c r="BH45" s="2">
        <f t="shared" si="9"/>
        <v>31677.131517736372</v>
      </c>
      <c r="BI45" s="2"/>
      <c r="BJ45" s="2">
        <f>Y45</f>
        <v>37612.793777627521</v>
      </c>
      <c r="BK45" s="2">
        <f t="shared" si="40"/>
        <v>134144.42886298615</v>
      </c>
      <c r="BL45" s="2">
        <f t="shared" si="41"/>
        <v>0</v>
      </c>
      <c r="BM45" s="2"/>
    </row>
    <row r="46" spans="1:72" x14ac:dyDescent="0.2">
      <c r="A46">
        <f t="shared" si="6"/>
        <v>1995</v>
      </c>
      <c r="B46" s="2">
        <f t="shared" si="10"/>
        <v>34464.169154600873</v>
      </c>
      <c r="C46" s="2">
        <f t="shared" si="11"/>
        <v>53225.163038494276</v>
      </c>
      <c r="D46" s="2"/>
      <c r="E46" s="2"/>
      <c r="F46" s="2">
        <f t="shared" si="12"/>
        <v>34732.707623937225</v>
      </c>
      <c r="G46" s="2"/>
      <c r="H46" s="2">
        <f t="shared" si="13"/>
        <v>44450.799686400205</v>
      </c>
      <c r="I46" s="2">
        <f t="shared" si="42"/>
        <v>166872.83950343257</v>
      </c>
      <c r="J46" s="2">
        <f t="shared" si="14"/>
        <v>26156.175521924917</v>
      </c>
      <c r="K46" s="6">
        <f t="shared" si="15"/>
        <v>0.18587830880756415</v>
      </c>
      <c r="L46" s="7">
        <f t="shared" si="16"/>
        <v>1.1858783088075642</v>
      </c>
      <c r="N46">
        <f t="shared" si="17"/>
        <v>1995</v>
      </c>
      <c r="O46" s="2">
        <f t="shared" si="18"/>
        <v>6736.5409964845348</v>
      </c>
      <c r="P46" s="2"/>
      <c r="Q46" s="2"/>
      <c r="R46">
        <f t="shared" si="19"/>
        <v>1995</v>
      </c>
      <c r="S46" s="2">
        <f t="shared" si="20"/>
        <v>32780.033905479737</v>
      </c>
      <c r="T46" s="2">
        <f t="shared" si="20"/>
        <v>51541.02778937314</v>
      </c>
      <c r="U46" s="2"/>
      <c r="V46" s="2"/>
      <c r="W46" s="2">
        <f t="shared" si="7"/>
        <v>33048.572374816089</v>
      </c>
      <c r="X46" s="2"/>
      <c r="Y46" s="2">
        <f t="shared" si="21"/>
        <v>42766.664437279069</v>
      </c>
      <c r="Z46" s="2">
        <f t="shared" si="22"/>
        <v>160136.29850694805</v>
      </c>
      <c r="AA46" s="2">
        <f t="shared" si="23"/>
        <v>25991.869643961894</v>
      </c>
      <c r="AB46" s="6">
        <f t="shared" si="24"/>
        <v>0.19376033626047745</v>
      </c>
      <c r="AC46" s="7">
        <f t="shared" si="25"/>
        <v>1.1937603362604774</v>
      </c>
      <c r="AD46" s="2">
        <f t="shared" si="26"/>
        <v>0</v>
      </c>
      <c r="AE46" s="2"/>
      <c r="AG46">
        <f t="shared" si="27"/>
        <v>1995</v>
      </c>
      <c r="AH46" s="6">
        <f t="shared" si="5"/>
        <v>0.20470083429621339</v>
      </c>
      <c r="AI46" s="6">
        <f t="shared" si="5"/>
        <v>0.32185724454681874</v>
      </c>
      <c r="AJ46" s="7"/>
      <c r="AK46" s="7"/>
      <c r="AL46" s="6">
        <f t="shared" si="28"/>
        <v>0.20637777120458523</v>
      </c>
      <c r="AM46" s="7"/>
      <c r="AN46" s="6">
        <f t="shared" si="29"/>
        <v>0.26706414995238253</v>
      </c>
      <c r="AO46" s="6">
        <f t="shared" si="30"/>
        <v>1</v>
      </c>
      <c r="AP46" s="7">
        <f t="shared" si="31"/>
        <v>0.73293585004761741</v>
      </c>
      <c r="AQ46" s="7">
        <f t="shared" si="32"/>
        <v>0</v>
      </c>
      <c r="AR46" s="24"/>
      <c r="AS46">
        <f t="shared" si="33"/>
        <v>1995</v>
      </c>
      <c r="AT46" s="1" t="b">
        <f t="shared" si="34"/>
        <v>1</v>
      </c>
      <c r="AU46" s="1" t="b">
        <f t="shared" si="35"/>
        <v>1</v>
      </c>
      <c r="AX46" s="1" t="b">
        <f t="shared" si="8"/>
        <v>1</v>
      </c>
      <c r="AZ46" s="1" t="b">
        <f t="shared" si="36"/>
        <v>1</v>
      </c>
      <c r="BA46" s="1" t="b">
        <f t="shared" si="37"/>
        <v>1</v>
      </c>
      <c r="BC46">
        <f t="shared" si="38"/>
        <v>1995</v>
      </c>
      <c r="BD46" s="2">
        <f t="shared" si="39"/>
        <v>32780.033905479737</v>
      </c>
      <c r="BE46" s="2">
        <f t="shared" si="39"/>
        <v>51541.02778937314</v>
      </c>
      <c r="BF46" s="2"/>
      <c r="BG46" s="2"/>
      <c r="BH46" s="2">
        <f t="shared" si="9"/>
        <v>33048.572374816089</v>
      </c>
      <c r="BI46" s="2"/>
      <c r="BJ46" s="2">
        <f>Y46</f>
        <v>42766.664437279069</v>
      </c>
      <c r="BK46" s="2">
        <f t="shared" si="40"/>
        <v>160136.29850694805</v>
      </c>
      <c r="BL46" s="2">
        <f t="shared" si="41"/>
        <v>0</v>
      </c>
      <c r="BM46" s="2"/>
    </row>
    <row r="47" spans="1:72" x14ac:dyDescent="0.2">
      <c r="A47">
        <f t="shared" si="6"/>
        <v>1996</v>
      </c>
      <c r="B47" s="2">
        <f t="shared" si="10"/>
        <v>40280.105663053502</v>
      </c>
      <c r="C47" s="2">
        <f t="shared" si="11"/>
        <v>60636.472963363813</v>
      </c>
      <c r="D47" s="2"/>
      <c r="E47" s="2"/>
      <c r="F47" s="2">
        <f t="shared" si="12"/>
        <v>36425.805985798543</v>
      </c>
      <c r="G47" s="2"/>
      <c r="H47" s="2">
        <f t="shared" si="13"/>
        <v>44297.711024133663</v>
      </c>
      <c r="I47" s="2">
        <f t="shared" si="42"/>
        <v>181640.09563634952</v>
      </c>
      <c r="J47" s="2">
        <f t="shared" si="14"/>
        <v>14767.256132916955</v>
      </c>
      <c r="K47" s="6">
        <f t="shared" si="15"/>
        <v>8.849406636130977E-2</v>
      </c>
      <c r="L47" s="7">
        <f t="shared" si="16"/>
        <v>1.0884940663613099</v>
      </c>
      <c r="N47">
        <f t="shared" si="17"/>
        <v>1996</v>
      </c>
      <c r="O47" s="2">
        <f t="shared" si="18"/>
        <v>6965.5833903650091</v>
      </c>
      <c r="P47" s="2"/>
      <c r="Q47" s="2"/>
      <c r="R47">
        <f t="shared" si="19"/>
        <v>1996</v>
      </c>
      <c r="S47" s="2">
        <f t="shared" si="20"/>
        <v>38538.709815462251</v>
      </c>
      <c r="T47" s="2">
        <f t="shared" si="20"/>
        <v>58895.077115772561</v>
      </c>
      <c r="U47" s="2"/>
      <c r="V47" s="2"/>
      <c r="W47" s="2">
        <f t="shared" si="7"/>
        <v>34684.410138207291</v>
      </c>
      <c r="X47" s="2"/>
      <c r="Y47" s="2">
        <f t="shared" si="21"/>
        <v>42556.315176542412</v>
      </c>
      <c r="Z47" s="2">
        <f t="shared" si="22"/>
        <v>174674.51224598452</v>
      </c>
      <c r="AA47" s="2">
        <f t="shared" si="23"/>
        <v>14538.213739036466</v>
      </c>
      <c r="AB47" s="6">
        <f t="shared" si="24"/>
        <v>9.0786497968202234E-2</v>
      </c>
      <c r="AC47" s="7">
        <f t="shared" si="25"/>
        <v>1.0907864979682023</v>
      </c>
      <c r="AD47" s="2">
        <f t="shared" si="26"/>
        <v>0</v>
      </c>
      <c r="AE47" s="2"/>
      <c r="AG47">
        <f t="shared" si="27"/>
        <v>1996</v>
      </c>
      <c r="AH47" s="6">
        <f t="shared" si="5"/>
        <v>0.22063155820461261</v>
      </c>
      <c r="AI47" s="6">
        <f t="shared" si="5"/>
        <v>0.33717041117500796</v>
      </c>
      <c r="AJ47" s="7"/>
      <c r="AK47" s="7"/>
      <c r="AL47" s="6">
        <f t="shared" si="28"/>
        <v>0.19856594812964551</v>
      </c>
      <c r="AM47" s="7"/>
      <c r="AN47" s="6">
        <f t="shared" si="29"/>
        <v>0.24363208249073393</v>
      </c>
      <c r="AO47" s="6">
        <f t="shared" si="30"/>
        <v>1</v>
      </c>
      <c r="AP47" s="7">
        <f t="shared" si="31"/>
        <v>0.75636791750926613</v>
      </c>
      <c r="AQ47" s="7">
        <f t="shared" si="32"/>
        <v>0</v>
      </c>
      <c r="AR47" s="24"/>
      <c r="AS47">
        <f t="shared" si="33"/>
        <v>1996</v>
      </c>
      <c r="AT47" s="1" t="b">
        <f t="shared" si="34"/>
        <v>1</v>
      </c>
      <c r="AU47" s="1" t="b">
        <f t="shared" si="35"/>
        <v>1</v>
      </c>
      <c r="AX47" s="1" t="b">
        <f t="shared" si="8"/>
        <v>1</v>
      </c>
      <c r="AZ47" s="39" t="b">
        <f t="shared" si="36"/>
        <v>0</v>
      </c>
      <c r="BA47" s="1" t="b">
        <f t="shared" si="37"/>
        <v>1</v>
      </c>
      <c r="BC47">
        <f t="shared" si="38"/>
        <v>1996</v>
      </c>
      <c r="BD47" s="40">
        <f>$BK47*BD$39</f>
        <v>34934.902449196903</v>
      </c>
      <c r="BE47" s="40">
        <f>$BK47*BE$39</f>
        <v>52402.353673795355</v>
      </c>
      <c r="BF47" s="2"/>
      <c r="BG47" s="2"/>
      <c r="BH47" s="40">
        <f>$BK47*BH$39</f>
        <v>34934.902449196903</v>
      </c>
      <c r="BI47" s="2"/>
      <c r="BJ47" s="40">
        <f>$BK47*BJ$39</f>
        <v>52402.353673795355</v>
      </c>
      <c r="BK47" s="2">
        <f t="shared" si="40"/>
        <v>174674.51224598452</v>
      </c>
      <c r="BL47" s="2">
        <f t="shared" si="41"/>
        <v>0</v>
      </c>
      <c r="BM47" s="2"/>
    </row>
    <row r="48" spans="1:72" x14ac:dyDescent="0.2">
      <c r="A48">
        <f t="shared" si="6"/>
        <v>1997</v>
      </c>
      <c r="B48" s="2">
        <f t="shared" si="10"/>
        <v>46529.796572085361</v>
      </c>
      <c r="C48" s="2">
        <f t="shared" si="11"/>
        <v>66386.969798721111</v>
      </c>
      <c r="D48" s="2"/>
      <c r="E48" s="2"/>
      <c r="F48" s="2"/>
      <c r="G48" s="2">
        <f>BH47*(1+(G12/100))</f>
        <v>34934.902449196903</v>
      </c>
      <c r="H48" s="2">
        <f t="shared" si="13"/>
        <v>57349.135860601637</v>
      </c>
      <c r="I48" s="2">
        <f t="shared" si="42"/>
        <v>205200.80468060501</v>
      </c>
      <c r="J48" s="2">
        <f t="shared" si="14"/>
        <v>23560.709044255491</v>
      </c>
      <c r="K48" s="6">
        <f t="shared" si="15"/>
        <v>0.12971094824473633</v>
      </c>
      <c r="L48" s="7">
        <f t="shared" si="16"/>
        <v>1.1297109482447363</v>
      </c>
      <c r="N48">
        <f t="shared" si="17"/>
        <v>1997</v>
      </c>
      <c r="O48" s="2">
        <f t="shared" si="18"/>
        <v>7083.9983080012134</v>
      </c>
      <c r="P48" s="2"/>
      <c r="Q48" s="2"/>
      <c r="R48">
        <f t="shared" si="19"/>
        <v>1997</v>
      </c>
      <c r="S48" s="2">
        <f t="shared" si="20"/>
        <v>44758.79699508506</v>
      </c>
      <c r="T48" s="2">
        <f t="shared" si="20"/>
        <v>64615.970221720811</v>
      </c>
      <c r="U48" s="2"/>
      <c r="V48" s="2"/>
      <c r="W48" s="2"/>
      <c r="X48" s="2">
        <f>G48-($O48/4)</f>
        <v>33163.902872196602</v>
      </c>
      <c r="Y48" s="2">
        <f t="shared" si="21"/>
        <v>55578.136283601336</v>
      </c>
      <c r="Z48" s="2">
        <f t="shared" si="22"/>
        <v>198116.80637260381</v>
      </c>
      <c r="AA48" s="2">
        <f t="shared" si="23"/>
        <v>23442.294126619294</v>
      </c>
      <c r="AB48" s="6">
        <f t="shared" si="24"/>
        <v>0.13420557942424249</v>
      </c>
      <c r="AC48" s="7">
        <f t="shared" si="25"/>
        <v>1.1342055794242425</v>
      </c>
      <c r="AD48" s="2">
        <f t="shared" si="26"/>
        <v>0</v>
      </c>
      <c r="AE48" s="2"/>
      <c r="AG48">
        <f t="shared" si="27"/>
        <v>1997</v>
      </c>
      <c r="AH48" s="6">
        <f t="shared" si="5"/>
        <v>0.22592125228844009</v>
      </c>
      <c r="AI48" s="6">
        <f t="shared" si="5"/>
        <v>0.32615087737784221</v>
      </c>
      <c r="AJ48" s="7"/>
      <c r="AK48" s="7"/>
      <c r="AL48" s="6"/>
      <c r="AM48" s="6">
        <f t="shared" si="28"/>
        <v>0.16739570700440387</v>
      </c>
      <c r="AN48" s="38">
        <f t="shared" si="29"/>
        <v>0.28053216332931386</v>
      </c>
      <c r="AO48" s="6">
        <f t="shared" si="30"/>
        <v>1</v>
      </c>
      <c r="AP48" s="7">
        <f t="shared" si="31"/>
        <v>0.71946783667068614</v>
      </c>
      <c r="AQ48" s="7">
        <f t="shared" si="32"/>
        <v>0</v>
      </c>
      <c r="AR48" s="24"/>
      <c r="AS48">
        <f t="shared" si="33"/>
        <v>1997</v>
      </c>
      <c r="AT48" s="1" t="b">
        <f t="shared" ref="AT48" si="48">AND((S48/$Z48)&gt;0.15,(S48/$Z48)&lt;0.25)</f>
        <v>1</v>
      </c>
      <c r="AU48" s="1" t="b">
        <f t="shared" ref="AU48" si="49">AND((T48/$Z48)&gt;0.25,(T48/$Z48)&lt;0.35)</f>
        <v>1</v>
      </c>
      <c r="AX48" s="1"/>
      <c r="AY48" s="1" t="b">
        <f t="shared" ref="AY48:AY64" si="50">AND((X48/$Z48)&gt;0.15,(X48/$Z48)&lt;0.25)</f>
        <v>1</v>
      </c>
      <c r="AZ48" s="1" t="b">
        <f t="shared" ref="AZ48" si="51">AND((Y48/$Z48)&gt;0.25,(Y48/$Z48)&lt;0.35)</f>
        <v>1</v>
      </c>
      <c r="BA48" s="1" t="b">
        <f t="shared" si="37"/>
        <v>1</v>
      </c>
      <c r="BC48">
        <f t="shared" si="38"/>
        <v>1997</v>
      </c>
      <c r="BD48" s="2">
        <f t="shared" ref="BD48" si="52">S48</f>
        <v>44758.79699508506</v>
      </c>
      <c r="BE48" s="2">
        <f t="shared" ref="BE48" si="53">T48</f>
        <v>64615.970221720811</v>
      </c>
      <c r="BF48" s="2"/>
      <c r="BG48" s="2"/>
      <c r="BH48" s="2"/>
      <c r="BI48" s="2">
        <f>X48</f>
        <v>33163.902872196602</v>
      </c>
      <c r="BJ48" s="2">
        <f>Y48</f>
        <v>55578.136283601336</v>
      </c>
      <c r="BK48" s="2">
        <f t="shared" si="40"/>
        <v>198116.80637260381</v>
      </c>
      <c r="BL48" s="2">
        <f t="shared" si="41"/>
        <v>0</v>
      </c>
      <c r="BM48" s="2"/>
    </row>
    <row r="49" spans="1:65" x14ac:dyDescent="0.2">
      <c r="A49">
        <f t="shared" si="6"/>
        <v>1998</v>
      </c>
      <c r="B49" s="2">
        <f t="shared" si="10"/>
        <v>57586.668213876437</v>
      </c>
      <c r="C49" s="2">
        <f t="shared" si="11"/>
        <v>70013.342214341159</v>
      </c>
      <c r="D49" s="2"/>
      <c r="E49" s="2"/>
      <c r="F49" s="2"/>
      <c r="G49" s="2">
        <f t="shared" ref="G49:G64" si="54">BI48*(1+(G13/100))</f>
        <v>38338.466637345431</v>
      </c>
      <c r="H49" s="2">
        <f t="shared" si="13"/>
        <v>60346.740376734335</v>
      </c>
      <c r="I49" s="2">
        <f t="shared" si="42"/>
        <v>226285.21744229738</v>
      </c>
      <c r="J49" s="2">
        <f t="shared" si="14"/>
        <v>21084.412761692365</v>
      </c>
      <c r="K49" s="6">
        <f t="shared" si="15"/>
        <v>0.10275014659182378</v>
      </c>
      <c r="L49" s="7">
        <f t="shared" si="16"/>
        <v>1.1027501465918237</v>
      </c>
      <c r="N49">
        <f t="shared" si="17"/>
        <v>1998</v>
      </c>
      <c r="O49" s="2">
        <f t="shared" si="18"/>
        <v>7197.3422809292333</v>
      </c>
      <c r="P49" s="2"/>
      <c r="Q49" s="2"/>
      <c r="R49">
        <f t="shared" si="19"/>
        <v>1998</v>
      </c>
      <c r="S49" s="2">
        <f t="shared" si="20"/>
        <v>55787.332643644128</v>
      </c>
      <c r="T49" s="2">
        <f t="shared" si="20"/>
        <v>68214.006644108857</v>
      </c>
      <c r="U49" s="2"/>
      <c r="V49" s="2"/>
      <c r="W49" s="2"/>
      <c r="X49" s="2">
        <f>G49-($O49/4)</f>
        <v>36539.131067113121</v>
      </c>
      <c r="Y49" s="2">
        <f t="shared" si="21"/>
        <v>58547.404806502025</v>
      </c>
      <c r="Z49" s="2">
        <f t="shared" si="22"/>
        <v>219087.87516136814</v>
      </c>
      <c r="AA49" s="2">
        <f t="shared" si="23"/>
        <v>20971.068788764329</v>
      </c>
      <c r="AB49" s="6">
        <f t="shared" si="24"/>
        <v>0.10585204341182168</v>
      </c>
      <c r="AC49" s="7">
        <f t="shared" si="25"/>
        <v>1.1058520434118218</v>
      </c>
      <c r="AD49" s="2">
        <f t="shared" si="26"/>
        <v>0</v>
      </c>
      <c r="AE49" s="2"/>
      <c r="AG49">
        <f t="shared" si="27"/>
        <v>1998</v>
      </c>
      <c r="AH49" s="6">
        <f t="shared" si="5"/>
        <v>0.25463450500195062</v>
      </c>
      <c r="AI49" s="6">
        <f t="shared" si="5"/>
        <v>0.31135454937369833</v>
      </c>
      <c r="AJ49" s="7"/>
      <c r="AK49" s="7"/>
      <c r="AL49" s="6"/>
      <c r="AM49" s="6">
        <f t="shared" si="28"/>
        <v>0.16677842641999424</v>
      </c>
      <c r="AN49" s="6">
        <f t="shared" si="29"/>
        <v>0.26723251920435676</v>
      </c>
      <c r="AO49" s="6">
        <f t="shared" si="30"/>
        <v>1</v>
      </c>
      <c r="AP49" s="7">
        <f t="shared" si="31"/>
        <v>0.73276748079564324</v>
      </c>
      <c r="AQ49" s="7">
        <f t="shared" si="32"/>
        <v>0</v>
      </c>
      <c r="AR49" s="24"/>
      <c r="AS49">
        <f t="shared" si="33"/>
        <v>1998</v>
      </c>
      <c r="AT49" s="39" t="b">
        <f t="shared" si="34"/>
        <v>0</v>
      </c>
      <c r="AU49" s="1" t="b">
        <f t="shared" si="35"/>
        <v>1</v>
      </c>
      <c r="AX49" s="1"/>
      <c r="AY49" s="1" t="b">
        <f t="shared" si="50"/>
        <v>1</v>
      </c>
      <c r="AZ49" s="1" t="b">
        <f t="shared" si="36"/>
        <v>1</v>
      </c>
      <c r="BA49" s="1" t="b">
        <f t="shared" si="37"/>
        <v>1</v>
      </c>
      <c r="BC49">
        <f t="shared" si="38"/>
        <v>1998</v>
      </c>
      <c r="BD49" s="40">
        <f>$BK49*BD$39</f>
        <v>43817.575032273628</v>
      </c>
      <c r="BE49" s="40">
        <f>$BK49*BE$39</f>
        <v>65726.362548410441</v>
      </c>
      <c r="BF49" s="2"/>
      <c r="BG49" s="2"/>
      <c r="BH49" s="2"/>
      <c r="BI49" s="40">
        <f>$BK49*BI$39</f>
        <v>43817.575032273628</v>
      </c>
      <c r="BJ49" s="40">
        <f>$BK49*BJ$39</f>
        <v>65726.362548410441</v>
      </c>
      <c r="BK49" s="2">
        <f t="shared" si="40"/>
        <v>219087.87516136814</v>
      </c>
      <c r="BL49" s="2">
        <f t="shared" si="41"/>
        <v>0</v>
      </c>
      <c r="BM49" s="2"/>
    </row>
    <row r="50" spans="1:65" x14ac:dyDescent="0.2">
      <c r="A50">
        <f t="shared" si="6"/>
        <v>1999</v>
      </c>
      <c r="B50" s="2">
        <f t="shared" si="10"/>
        <v>53049.938091573684</v>
      </c>
      <c r="C50" s="2"/>
      <c r="D50" s="2">
        <f>BE49*(1+(D14/100))</f>
        <v>65726.362548410441</v>
      </c>
      <c r="E50" s="2">
        <f>BE49*(1+(E14/100))</f>
        <v>65726.362548410441</v>
      </c>
      <c r="F50" s="2"/>
      <c r="G50" s="2">
        <f t="shared" si="54"/>
        <v>56927.355306179576</v>
      </c>
      <c r="H50" s="2">
        <f t="shared" si="13"/>
        <v>65226.842193042517</v>
      </c>
      <c r="I50" s="2">
        <f t="shared" si="42"/>
        <v>306656.86068761669</v>
      </c>
      <c r="J50" s="2">
        <f t="shared" si="14"/>
        <v>80371.643245319312</v>
      </c>
      <c r="K50" s="6">
        <f t="shared" si="15"/>
        <v>0.35517849620828212</v>
      </c>
      <c r="L50" s="7">
        <f t="shared" si="16"/>
        <v>1.355178496208282</v>
      </c>
      <c r="N50">
        <f t="shared" si="17"/>
        <v>1999</v>
      </c>
      <c r="O50" s="2">
        <f t="shared" si="18"/>
        <v>7391.6705225143223</v>
      </c>
      <c r="P50" s="2"/>
      <c r="Q50" s="2"/>
      <c r="R50">
        <f t="shared" si="19"/>
        <v>1999</v>
      </c>
      <c r="S50" s="2">
        <f>B50-($O50/5)</f>
        <v>51571.603987070819</v>
      </c>
      <c r="T50" s="2"/>
      <c r="U50" s="2">
        <f>D50-($O50/5)</f>
        <v>64248.028443907577</v>
      </c>
      <c r="V50" s="2">
        <f>E50-($O50/5)</f>
        <v>64248.028443907577</v>
      </c>
      <c r="W50" s="2"/>
      <c r="X50" s="2">
        <f>G50-($O50/5)</f>
        <v>55449.021201676711</v>
      </c>
      <c r="Y50" s="2">
        <f>H50-($O50/5)</f>
        <v>63748.508088539653</v>
      </c>
      <c r="Z50" s="2">
        <f t="shared" si="22"/>
        <v>299265.19016510237</v>
      </c>
      <c r="AA50" s="2">
        <f t="shared" si="23"/>
        <v>80177.315003734228</v>
      </c>
      <c r="AB50" s="6">
        <f t="shared" si="24"/>
        <v>0.36595961754925965</v>
      </c>
      <c r="AC50" s="7">
        <f t="shared" si="25"/>
        <v>1.3659596175492597</v>
      </c>
      <c r="AD50" s="2">
        <f t="shared" si="26"/>
        <v>0</v>
      </c>
      <c r="AE50" s="2"/>
      <c r="AG50">
        <f t="shared" si="27"/>
        <v>1999</v>
      </c>
      <c r="AH50" s="38">
        <f t="shared" si="5"/>
        <v>0.17232743961507568</v>
      </c>
      <c r="AI50" s="6"/>
      <c r="AJ50" s="6">
        <f t="shared" ref="AJ50" si="55">U50/$Z50</f>
        <v>0.21468593927834514</v>
      </c>
      <c r="AK50" s="6">
        <f t="shared" ref="AK50" si="56">V50/$Z50</f>
        <v>0.21468593927834514</v>
      </c>
      <c r="AL50" s="7"/>
      <c r="AM50" s="6">
        <f t="shared" si="28"/>
        <v>0.18528389877581786</v>
      </c>
      <c r="AN50" s="6">
        <f t="shared" si="29"/>
        <v>0.21301678305241609</v>
      </c>
      <c r="AO50" s="6">
        <f t="shared" si="30"/>
        <v>0.99999999999999989</v>
      </c>
      <c r="AP50" s="7">
        <f t="shared" si="31"/>
        <v>0.78698321694758377</v>
      </c>
      <c r="AQ50" s="7">
        <f t="shared" si="32"/>
        <v>0</v>
      </c>
      <c r="AR50" s="24"/>
      <c r="AS50">
        <f t="shared" si="33"/>
        <v>1999</v>
      </c>
      <c r="AT50" s="1" t="b">
        <f t="shared" si="34"/>
        <v>1</v>
      </c>
      <c r="AU50" s="1"/>
      <c r="AV50" s="1" t="b">
        <f>AND((U50/$Z50)&gt;0.15,(U50/$Z50)&lt;0.25)</f>
        <v>1</v>
      </c>
      <c r="AW50" s="1" t="b">
        <f t="shared" ref="AW50:AW64" si="57">AND((V50/$Z50)&gt;0.05,(V50/$Z50)&lt;0.15)</f>
        <v>0</v>
      </c>
      <c r="AY50" s="1" t="b">
        <f t="shared" si="50"/>
        <v>1</v>
      </c>
      <c r="AZ50" s="1" t="b">
        <f t="shared" si="36"/>
        <v>0</v>
      </c>
      <c r="BA50" s="1" t="b">
        <f t="shared" si="37"/>
        <v>1</v>
      </c>
      <c r="BC50">
        <f t="shared" si="38"/>
        <v>1999</v>
      </c>
      <c r="BD50" s="40">
        <f>$BK50*BD$39</f>
        <v>59853.038033020479</v>
      </c>
      <c r="BE50" s="2"/>
      <c r="BF50" s="40">
        <f t="shared" ref="BF50:BG50" si="58">$BK50*BF$39</f>
        <v>59853.038033020479</v>
      </c>
      <c r="BG50" s="40">
        <f t="shared" si="58"/>
        <v>29926.519016510239</v>
      </c>
      <c r="BH50" s="2"/>
      <c r="BI50" s="40">
        <f>$BK50*BI$39</f>
        <v>59853.038033020479</v>
      </c>
      <c r="BJ50" s="40">
        <f t="shared" ref="BJ50" si="59">$BK50*BJ$39</f>
        <v>89779.557049530704</v>
      </c>
      <c r="BK50" s="2">
        <f t="shared" si="40"/>
        <v>299265.19016510237</v>
      </c>
      <c r="BL50" s="2">
        <f t="shared" si="41"/>
        <v>0</v>
      </c>
      <c r="BM50" s="2"/>
    </row>
    <row r="51" spans="1:65" x14ac:dyDescent="0.2">
      <c r="A51">
        <f t="shared" si="6"/>
        <v>2000</v>
      </c>
      <c r="B51" s="2">
        <f t="shared" ref="B51:B64" si="60">BD50*(1+(B15/100))</f>
        <v>54430.352787228825</v>
      </c>
      <c r="C51" s="2"/>
      <c r="D51" s="2">
        <f t="shared" ref="D51" si="61">BF50*(1+(D15/100))</f>
        <v>70685.240856236516</v>
      </c>
      <c r="E51" s="2">
        <f t="shared" ref="E51" si="62">BG50*(1+(E15/100))</f>
        <v>29128.977284720244</v>
      </c>
      <c r="F51" s="2"/>
      <c r="G51" s="2">
        <f t="shared" si="54"/>
        <v>50507.584674544662</v>
      </c>
      <c r="H51" s="2">
        <f t="shared" si="13"/>
        <v>100005.44859747226</v>
      </c>
      <c r="I51" s="2">
        <f t="shared" si="42"/>
        <v>304757.60420020251</v>
      </c>
      <c r="J51" s="2">
        <f t="shared" si="14"/>
        <v>-1899.2564874141826</v>
      </c>
      <c r="K51" s="6">
        <f t="shared" si="15"/>
        <v>-6.1934257174467893E-3</v>
      </c>
      <c r="L51" s="7">
        <f t="shared" si="16"/>
        <v>0.99380657428255326</v>
      </c>
      <c r="N51">
        <f t="shared" si="17"/>
        <v>2000</v>
      </c>
      <c r="O51" s="2">
        <f t="shared" si="18"/>
        <v>7642.9873202798099</v>
      </c>
      <c r="P51" s="2"/>
      <c r="Q51" s="2"/>
      <c r="R51">
        <f t="shared" si="19"/>
        <v>2000</v>
      </c>
      <c r="S51" s="2">
        <f>B51-($O51/5)</f>
        <v>52901.75532317286</v>
      </c>
      <c r="T51" s="2"/>
      <c r="U51" s="2">
        <f>D51-($O51/5)</f>
        <v>69156.643392180558</v>
      </c>
      <c r="V51" s="2">
        <f>E51-($O51/5)</f>
        <v>27600.379820664282</v>
      </c>
      <c r="W51" s="2"/>
      <c r="X51" s="2">
        <f>G51-($O51/5)</f>
        <v>48978.987210488696</v>
      </c>
      <c r="Y51" s="2">
        <f>H51-($O51/5)</f>
        <v>98476.851133416305</v>
      </c>
      <c r="Z51" s="2">
        <f t="shared" si="22"/>
        <v>297114.61687992269</v>
      </c>
      <c r="AA51" s="2">
        <f t="shared" si="23"/>
        <v>-2150.5732851796784</v>
      </c>
      <c r="AB51" s="6">
        <f t="shared" si="24"/>
        <v>-7.1861792011066279E-3</v>
      </c>
      <c r="AC51" s="7">
        <f t="shared" si="25"/>
        <v>0.99281382079889335</v>
      </c>
      <c r="AD51" s="2">
        <f t="shared" si="26"/>
        <v>0</v>
      </c>
      <c r="AE51" s="2"/>
      <c r="AG51">
        <f t="shared" si="27"/>
        <v>2000</v>
      </c>
      <c r="AH51" s="6">
        <f t="shared" si="5"/>
        <v>0.17805167540630568</v>
      </c>
      <c r="AI51" s="7"/>
      <c r="AJ51" s="6">
        <f t="shared" ref="AJ51:AK64" si="63">U51/$Z51</f>
        <v>0.2327608251603786</v>
      </c>
      <c r="AK51" s="6">
        <f t="shared" si="63"/>
        <v>9.2894722280926462E-2</v>
      </c>
      <c r="AL51" s="7"/>
      <c r="AM51" s="6">
        <f t="shared" si="28"/>
        <v>0.16484879715723746</v>
      </c>
      <c r="AN51" s="6">
        <f t="shared" si="29"/>
        <v>0.33144397999515185</v>
      </c>
      <c r="AO51" s="6">
        <f t="shared" si="30"/>
        <v>1</v>
      </c>
      <c r="AP51" s="7">
        <f t="shared" si="31"/>
        <v>0.66855602000484815</v>
      </c>
      <c r="AQ51" s="7">
        <f t="shared" si="32"/>
        <v>0</v>
      </c>
      <c r="AR51" s="24"/>
      <c r="AS51">
        <f t="shared" si="33"/>
        <v>2000</v>
      </c>
      <c r="AT51" s="1" t="b">
        <f t="shared" si="34"/>
        <v>1</v>
      </c>
      <c r="AV51" s="1" t="b">
        <f>AND((U51/$Z51)&gt;0.15,(U51/$Z51)&lt;0.25)</f>
        <v>1</v>
      </c>
      <c r="AW51" s="1" t="b">
        <f>AND((V51/$Z51)&gt;0.05,(V51/$Z51)&lt;0.15)</f>
        <v>1</v>
      </c>
      <c r="AY51" s="1" t="b">
        <f t="shared" si="50"/>
        <v>1</v>
      </c>
      <c r="AZ51" s="1" t="b">
        <f t="shared" si="36"/>
        <v>1</v>
      </c>
      <c r="BA51" s="1" t="b">
        <f t="shared" si="37"/>
        <v>1</v>
      </c>
      <c r="BC51">
        <f t="shared" si="38"/>
        <v>2000</v>
      </c>
      <c r="BD51" s="2">
        <f t="shared" si="39"/>
        <v>52901.75532317286</v>
      </c>
      <c r="BE51" s="2"/>
      <c r="BF51" s="2">
        <f t="shared" ref="BF51:BG64" si="64">U51</f>
        <v>69156.643392180558</v>
      </c>
      <c r="BG51" s="2">
        <f t="shared" si="64"/>
        <v>27600.379820664282</v>
      </c>
      <c r="BH51" s="2"/>
      <c r="BI51" s="2">
        <f>X51</f>
        <v>48978.987210488696</v>
      </c>
      <c r="BJ51" s="2">
        <f t="shared" ref="BJ51" si="65">Y51</f>
        <v>98476.851133416305</v>
      </c>
      <c r="BK51" s="2">
        <f t="shared" si="40"/>
        <v>297114.61687992269</v>
      </c>
      <c r="BL51" s="2">
        <f t="shared" si="41"/>
        <v>0</v>
      </c>
      <c r="BM51" s="2"/>
    </row>
    <row r="52" spans="1:65" x14ac:dyDescent="0.2">
      <c r="A52">
        <f t="shared" si="6"/>
        <v>2001</v>
      </c>
      <c r="B52" s="2">
        <f t="shared" si="60"/>
        <v>46542.96433332748</v>
      </c>
      <c r="C52" s="2"/>
      <c r="D52" s="2">
        <f t="shared" ref="D52:D64" si="66">BF51*(1+(D16/100))</f>
        <v>68811.551741653573</v>
      </c>
      <c r="E52" s="2">
        <f t="shared" ref="E52:E64" si="67">BG51*(1+(E16/100))</f>
        <v>28455.991595104872</v>
      </c>
      <c r="F52" s="2"/>
      <c r="G52" s="2">
        <f t="shared" si="54"/>
        <v>39108.251917958907</v>
      </c>
      <c r="H52" s="2">
        <f t="shared" si="13"/>
        <v>106778.44968396331</v>
      </c>
      <c r="I52" s="2">
        <f t="shared" si="42"/>
        <v>289697.2092720081</v>
      </c>
      <c r="J52" s="2">
        <f t="shared" si="14"/>
        <v>-15060.394928194408</v>
      </c>
      <c r="K52" s="6">
        <f t="shared" si="15"/>
        <v>-4.9417618200925599E-2</v>
      </c>
      <c r="L52" s="7">
        <f t="shared" si="16"/>
        <v>0.95058238179907439</v>
      </c>
      <c r="N52">
        <f t="shared" si="17"/>
        <v>2001</v>
      </c>
      <c r="O52" s="2">
        <f t="shared" si="18"/>
        <v>7765.2751174042869</v>
      </c>
      <c r="P52" s="2"/>
      <c r="Q52" s="2"/>
      <c r="R52">
        <f t="shared" si="19"/>
        <v>2001</v>
      </c>
      <c r="S52" s="2">
        <f t="shared" ref="S52:S64" si="68">B52-($O52/5)</f>
        <v>44989.909309846626</v>
      </c>
      <c r="T52" s="2"/>
      <c r="U52" s="2">
        <f t="shared" ref="U52:V64" si="69">D52-($O52/5)</f>
        <v>67258.496718172712</v>
      </c>
      <c r="V52" s="2">
        <f t="shared" si="69"/>
        <v>26902.936571624014</v>
      </c>
      <c r="W52" s="2"/>
      <c r="X52" s="2">
        <f t="shared" ref="X52:Y64" si="70">G52-($O52/5)</f>
        <v>37555.196894478053</v>
      </c>
      <c r="Y52" s="2">
        <f t="shared" si="70"/>
        <v>105225.39466048245</v>
      </c>
      <c r="Z52" s="2">
        <f t="shared" si="22"/>
        <v>281931.93415460386</v>
      </c>
      <c r="AA52" s="2">
        <f t="shared" si="23"/>
        <v>-15182.682725318824</v>
      </c>
      <c r="AB52" s="6">
        <f t="shared" si="24"/>
        <v>-5.1100423414896567E-2</v>
      </c>
      <c r="AC52" s="7">
        <f t="shared" si="25"/>
        <v>0.94889957658510338</v>
      </c>
      <c r="AD52" s="2">
        <f t="shared" si="26"/>
        <v>0</v>
      </c>
      <c r="AE52" s="2"/>
      <c r="AG52">
        <f t="shared" si="27"/>
        <v>2001</v>
      </c>
      <c r="AH52" s="6">
        <f t="shared" si="5"/>
        <v>0.15957720236536019</v>
      </c>
      <c r="AI52" s="7"/>
      <c r="AJ52" s="6">
        <f t="shared" si="63"/>
        <v>0.23856288901735398</v>
      </c>
      <c r="AK52" s="6">
        <f t="shared" si="63"/>
        <v>9.542351650335279E-2</v>
      </c>
      <c r="AL52" s="7"/>
      <c r="AM52" s="6">
        <f t="shared" si="28"/>
        <v>0.13320660891817879</v>
      </c>
      <c r="AN52" s="6">
        <f t="shared" si="29"/>
        <v>0.37322978319575417</v>
      </c>
      <c r="AO52" s="6">
        <f t="shared" si="30"/>
        <v>0.99999999999999989</v>
      </c>
      <c r="AP52" s="7">
        <f t="shared" si="31"/>
        <v>0.62677021680424572</v>
      </c>
      <c r="AQ52" s="7">
        <f t="shared" si="32"/>
        <v>0</v>
      </c>
      <c r="AR52" s="24"/>
      <c r="AS52">
        <f t="shared" si="33"/>
        <v>2001</v>
      </c>
      <c r="AT52" s="1" t="b">
        <f t="shared" si="34"/>
        <v>1</v>
      </c>
      <c r="AV52" s="1" t="b">
        <f t="shared" ref="AV52:AV64" si="71">AND((U52/$Z52)&gt;0.15,(U52/$Z52)&lt;0.25)</f>
        <v>1</v>
      </c>
      <c r="AW52" s="1" t="b">
        <f t="shared" si="57"/>
        <v>1</v>
      </c>
      <c r="AY52" s="39" t="b">
        <f t="shared" si="50"/>
        <v>0</v>
      </c>
      <c r="AZ52" s="39" t="b">
        <f t="shared" si="36"/>
        <v>0</v>
      </c>
      <c r="BA52" s="1" t="b">
        <f t="shared" si="37"/>
        <v>1</v>
      </c>
      <c r="BC52">
        <f t="shared" si="38"/>
        <v>2001</v>
      </c>
      <c r="BD52" s="40">
        <f>$BK52*BD$39</f>
        <v>56386.386830920776</v>
      </c>
      <c r="BE52" s="2"/>
      <c r="BF52" s="40">
        <f t="shared" ref="BF52:BG54" si="72">$BK52*BF$39</f>
        <v>56386.386830920776</v>
      </c>
      <c r="BG52" s="40">
        <f t="shared" si="72"/>
        <v>28193.193415460388</v>
      </c>
      <c r="BH52" s="2"/>
      <c r="BI52" s="40">
        <f>$BK52*BI$39</f>
        <v>56386.386830920776</v>
      </c>
      <c r="BJ52" s="40">
        <f t="shared" ref="BJ52:BJ54" si="73">$BK52*BJ$39</f>
        <v>84579.580246381156</v>
      </c>
      <c r="BK52" s="2">
        <f t="shared" si="40"/>
        <v>281931.93415460386</v>
      </c>
      <c r="BL52" s="2">
        <f t="shared" si="41"/>
        <v>0</v>
      </c>
      <c r="BM52" s="2"/>
    </row>
    <row r="53" spans="1:65" x14ac:dyDescent="0.2">
      <c r="A53">
        <f t="shared" si="6"/>
        <v>2002</v>
      </c>
      <c r="B53" s="2">
        <f t="shared" si="60"/>
        <v>43896.802147871822</v>
      </c>
      <c r="C53" s="2"/>
      <c r="D53" s="2">
        <f t="shared" si="66"/>
        <v>48149.463442659871</v>
      </c>
      <c r="E53" s="2">
        <f t="shared" si="67"/>
        <v>22548.352229816912</v>
      </c>
      <c r="F53" s="2"/>
      <c r="G53" s="2">
        <f t="shared" si="54"/>
        <v>47881.628105212993</v>
      </c>
      <c r="H53" s="2">
        <f t="shared" si="13"/>
        <v>91565.853574732246</v>
      </c>
      <c r="I53" s="2">
        <f t="shared" si="42"/>
        <v>254042.09950029384</v>
      </c>
      <c r="J53" s="2">
        <f t="shared" si="14"/>
        <v>-35655.109771714255</v>
      </c>
      <c r="K53" s="6">
        <f t="shared" si="15"/>
        <v>-0.12307715998132475</v>
      </c>
      <c r="L53" s="7">
        <f t="shared" si="16"/>
        <v>0.87692284001867526</v>
      </c>
      <c r="N53">
        <f t="shared" si="17"/>
        <v>2002</v>
      </c>
      <c r="O53" s="2">
        <f t="shared" si="18"/>
        <v>7959.4069953393937</v>
      </c>
      <c r="P53" s="2"/>
      <c r="Q53" s="2"/>
      <c r="R53">
        <f t="shared" si="19"/>
        <v>2002</v>
      </c>
      <c r="S53" s="2">
        <f t="shared" si="68"/>
        <v>42304.920748803946</v>
      </c>
      <c r="T53" s="2"/>
      <c r="U53" s="2">
        <f t="shared" si="69"/>
        <v>46557.582043591996</v>
      </c>
      <c r="V53" s="2">
        <f t="shared" si="69"/>
        <v>20956.470830749033</v>
      </c>
      <c r="W53" s="2"/>
      <c r="X53" s="2">
        <f t="shared" si="70"/>
        <v>46289.746706145117</v>
      </c>
      <c r="Y53" s="2">
        <f t="shared" si="70"/>
        <v>89973.97217566437</v>
      </c>
      <c r="Z53" s="2">
        <f t="shared" si="22"/>
        <v>246082.69250495447</v>
      </c>
      <c r="AA53" s="2">
        <f t="shared" si="23"/>
        <v>-35849.241649649397</v>
      </c>
      <c r="AB53" s="6">
        <f t="shared" si="24"/>
        <v>-0.12715566172787876</v>
      </c>
      <c r="AC53" s="7">
        <f t="shared" si="25"/>
        <v>0.87284433827212127</v>
      </c>
      <c r="AD53" s="2">
        <f t="shared" si="26"/>
        <v>0</v>
      </c>
      <c r="AE53" s="2"/>
      <c r="AG53">
        <f t="shared" si="27"/>
        <v>2002</v>
      </c>
      <c r="AH53" s="6">
        <f t="shared" si="5"/>
        <v>0.17191343413130206</v>
      </c>
      <c r="AI53" s="7"/>
      <c r="AJ53" s="6">
        <f t="shared" si="63"/>
        <v>0.18919486604144106</v>
      </c>
      <c r="AK53" s="6">
        <f t="shared" si="63"/>
        <v>8.5160279324914767E-2</v>
      </c>
      <c r="AL53" s="7"/>
      <c r="AM53" s="6">
        <f t="shared" si="28"/>
        <v>0.18810647036956143</v>
      </c>
      <c r="AN53" s="59">
        <f t="shared" si="29"/>
        <v>0.36562495013278062</v>
      </c>
      <c r="AO53" s="6">
        <f t="shared" si="30"/>
        <v>0.99999999999999989</v>
      </c>
      <c r="AP53" s="7">
        <f t="shared" si="31"/>
        <v>0.63437504986721927</v>
      </c>
      <c r="AQ53" s="7">
        <f t="shared" si="32"/>
        <v>0</v>
      </c>
      <c r="AR53" s="24"/>
      <c r="AS53">
        <f t="shared" si="33"/>
        <v>2002</v>
      </c>
      <c r="AT53" s="1" t="b">
        <f t="shared" si="34"/>
        <v>1</v>
      </c>
      <c r="AV53" s="1" t="b">
        <f t="shared" si="71"/>
        <v>1</v>
      </c>
      <c r="AW53" s="1" t="b">
        <f t="shared" si="57"/>
        <v>1</v>
      </c>
      <c r="AY53" s="39" t="b">
        <f t="shared" si="50"/>
        <v>1</v>
      </c>
      <c r="AZ53" s="39" t="b">
        <f t="shared" si="36"/>
        <v>0</v>
      </c>
      <c r="BA53" s="1" t="b">
        <f t="shared" si="37"/>
        <v>1</v>
      </c>
      <c r="BC53">
        <f t="shared" si="38"/>
        <v>2002</v>
      </c>
      <c r="BD53" s="40">
        <f>$BK53*BD$39</f>
        <v>49216.538500990893</v>
      </c>
      <c r="BE53" s="2"/>
      <c r="BF53" s="40">
        <f t="shared" si="72"/>
        <v>49216.538500990893</v>
      </c>
      <c r="BG53" s="40">
        <f t="shared" si="72"/>
        <v>24608.269250495447</v>
      </c>
      <c r="BH53" s="2"/>
      <c r="BI53" s="40">
        <f>$BK53*BI$39</f>
        <v>49216.538500990893</v>
      </c>
      <c r="BJ53" s="40">
        <f t="shared" si="73"/>
        <v>73824.80775148634</v>
      </c>
      <c r="BK53" s="2">
        <f t="shared" si="40"/>
        <v>246082.69250495447</v>
      </c>
      <c r="BL53" s="2">
        <f t="shared" si="41"/>
        <v>0</v>
      </c>
      <c r="BM53" s="2"/>
    </row>
    <row r="54" spans="1:65" x14ac:dyDescent="0.2">
      <c r="A54">
        <f t="shared" si="6"/>
        <v>2003</v>
      </c>
      <c r="B54" s="2">
        <f t="shared" si="60"/>
        <v>63243.251973773295</v>
      </c>
      <c r="C54" s="2"/>
      <c r="D54" s="2">
        <f t="shared" si="66"/>
        <v>66020.04907599921</v>
      </c>
      <c r="E54" s="2">
        <f t="shared" si="67"/>
        <v>35836.53034411151</v>
      </c>
      <c r="F54" s="2"/>
      <c r="G54" s="2">
        <f t="shared" si="54"/>
        <v>69070.490132290623</v>
      </c>
      <c r="H54" s="2">
        <f t="shared" si="13"/>
        <v>76755.652619220346</v>
      </c>
      <c r="I54" s="2">
        <f t="shared" si="42"/>
        <v>310925.97414539498</v>
      </c>
      <c r="J54" s="2">
        <f t="shared" si="14"/>
        <v>56883.874645101139</v>
      </c>
      <c r="K54" s="6">
        <f t="shared" si="15"/>
        <v>0.22391514932758358</v>
      </c>
      <c r="L54" s="7">
        <f t="shared" si="16"/>
        <v>1.2239151493275835</v>
      </c>
      <c r="N54">
        <f t="shared" si="17"/>
        <v>2003</v>
      </c>
      <c r="O54" s="2">
        <f t="shared" si="18"/>
        <v>8118.5951352461816</v>
      </c>
      <c r="P54" s="2"/>
      <c r="Q54" s="2"/>
      <c r="R54">
        <f t="shared" si="19"/>
        <v>2003</v>
      </c>
      <c r="S54" s="2">
        <f t="shared" si="68"/>
        <v>61619.532946724059</v>
      </c>
      <c r="T54" s="2"/>
      <c r="U54" s="2">
        <f t="shared" si="69"/>
        <v>64396.330048949974</v>
      </c>
      <c r="V54" s="2">
        <f t="shared" si="69"/>
        <v>34212.811317062275</v>
      </c>
      <c r="W54" s="2"/>
      <c r="X54" s="2">
        <f t="shared" si="70"/>
        <v>67446.77110524138</v>
      </c>
      <c r="Y54" s="2">
        <f t="shared" si="70"/>
        <v>75131.933592171103</v>
      </c>
      <c r="Z54" s="2">
        <f t="shared" si="22"/>
        <v>302807.37901014881</v>
      </c>
      <c r="AA54" s="2">
        <f t="shared" si="23"/>
        <v>56724.686505194346</v>
      </c>
      <c r="AB54" s="6">
        <f t="shared" si="24"/>
        <v>0.23051067073338483</v>
      </c>
      <c r="AC54" s="7">
        <f t="shared" si="25"/>
        <v>1.2305106707333848</v>
      </c>
      <c r="AD54" s="2">
        <f t="shared" si="26"/>
        <v>0</v>
      </c>
      <c r="AE54" s="2"/>
      <c r="AG54">
        <f t="shared" si="27"/>
        <v>2003</v>
      </c>
      <c r="AH54" s="6">
        <f t="shared" si="5"/>
        <v>0.20349415905303561</v>
      </c>
      <c r="AI54" s="7"/>
      <c r="AJ54" s="6">
        <f t="shared" si="63"/>
        <v>0.21266433552397573</v>
      </c>
      <c r="AK54" s="6">
        <f t="shared" si="63"/>
        <v>0.11298539496924084</v>
      </c>
      <c r="AL54" s="7"/>
      <c r="AM54" s="38">
        <f t="shared" si="28"/>
        <v>0.22273820184210522</v>
      </c>
      <c r="AN54" s="38">
        <f t="shared" si="29"/>
        <v>0.24811790861164251</v>
      </c>
      <c r="AO54" s="6">
        <f t="shared" si="30"/>
        <v>1</v>
      </c>
      <c r="AP54" s="7">
        <f t="shared" si="31"/>
        <v>0.75188209138835749</v>
      </c>
      <c r="AQ54" s="7">
        <f t="shared" si="32"/>
        <v>0</v>
      </c>
      <c r="AR54" s="24"/>
      <c r="AS54">
        <f t="shared" si="33"/>
        <v>2003</v>
      </c>
      <c r="AT54" s="1" t="b">
        <f t="shared" si="34"/>
        <v>1</v>
      </c>
      <c r="AV54" s="1" t="b">
        <f t="shared" si="71"/>
        <v>1</v>
      </c>
      <c r="AW54" s="1" t="b">
        <f t="shared" si="57"/>
        <v>1</v>
      </c>
      <c r="AY54" s="1" t="b">
        <f t="shared" si="50"/>
        <v>1</v>
      </c>
      <c r="AZ54" s="39" t="b">
        <f t="shared" si="36"/>
        <v>0</v>
      </c>
      <c r="BA54" s="1" t="b">
        <f t="shared" si="37"/>
        <v>1</v>
      </c>
      <c r="BC54">
        <f t="shared" si="38"/>
        <v>2003</v>
      </c>
      <c r="BD54" s="40">
        <f>$BK54*BD$39</f>
        <v>60561.475802029767</v>
      </c>
      <c r="BE54" s="2"/>
      <c r="BF54" s="40">
        <f t="shared" si="72"/>
        <v>60561.475802029767</v>
      </c>
      <c r="BG54" s="40">
        <f t="shared" si="72"/>
        <v>30280.737901014883</v>
      </c>
      <c r="BH54" s="2"/>
      <c r="BI54" s="40">
        <f>$BK54*BI$39</f>
        <v>60561.475802029767</v>
      </c>
      <c r="BJ54" s="40">
        <f t="shared" si="73"/>
        <v>90842.213703044647</v>
      </c>
      <c r="BK54" s="2">
        <f t="shared" si="40"/>
        <v>302807.37901014881</v>
      </c>
      <c r="BL54" s="2">
        <f t="shared" si="41"/>
        <v>0</v>
      </c>
      <c r="BM54" s="2"/>
    </row>
    <row r="55" spans="1:65" x14ac:dyDescent="0.2">
      <c r="A55">
        <f t="shared" si="6"/>
        <v>2004</v>
      </c>
      <c r="B55" s="2">
        <f t="shared" si="60"/>
        <v>67065.778303167754</v>
      </c>
      <c r="C55" s="2"/>
      <c r="D55" s="2">
        <f t="shared" si="66"/>
        <v>72887.552972016885</v>
      </c>
      <c r="E55" s="2">
        <f t="shared" si="67"/>
        <v>36305.696321179821</v>
      </c>
      <c r="F55" s="2"/>
      <c r="G55" s="2">
        <f t="shared" si="54"/>
        <v>73180.670514898709</v>
      </c>
      <c r="H55" s="2">
        <f t="shared" si="13"/>
        <v>94693.923564053737</v>
      </c>
      <c r="I55" s="2">
        <f t="shared" si="42"/>
        <v>344133.62167531688</v>
      </c>
      <c r="J55" s="2">
        <f t="shared" si="14"/>
        <v>33207.647529921902</v>
      </c>
      <c r="K55" s="6">
        <f t="shared" si="15"/>
        <v>0.10680242337809116</v>
      </c>
      <c r="L55" s="7">
        <f t="shared" si="16"/>
        <v>1.1068024233780911</v>
      </c>
      <c r="N55">
        <f t="shared" si="17"/>
        <v>2004</v>
      </c>
      <c r="O55" s="2">
        <f t="shared" si="18"/>
        <v>8386.5087747093057</v>
      </c>
      <c r="P55" s="2"/>
      <c r="Q55" s="2"/>
      <c r="R55">
        <f t="shared" si="19"/>
        <v>2004</v>
      </c>
      <c r="S55" s="2">
        <f t="shared" si="68"/>
        <v>65388.476548225895</v>
      </c>
      <c r="T55" s="2"/>
      <c r="U55" s="2">
        <f t="shared" si="69"/>
        <v>71210.251217075027</v>
      </c>
      <c r="V55" s="2">
        <f t="shared" si="69"/>
        <v>34628.394566237963</v>
      </c>
      <c r="W55" s="2"/>
      <c r="X55" s="2">
        <f t="shared" si="70"/>
        <v>71503.368759956851</v>
      </c>
      <c r="Y55" s="2">
        <f t="shared" si="70"/>
        <v>93016.621809111879</v>
      </c>
      <c r="Z55" s="2">
        <f t="shared" si="22"/>
        <v>335747.11290060764</v>
      </c>
      <c r="AA55" s="2">
        <f t="shared" si="23"/>
        <v>32939.733890458825</v>
      </c>
      <c r="AB55" s="6">
        <f t="shared" si="24"/>
        <v>0.10878114660922721</v>
      </c>
      <c r="AC55" s="7">
        <f t="shared" si="25"/>
        <v>1.1087811466092272</v>
      </c>
      <c r="AD55" s="2">
        <f t="shared" si="26"/>
        <v>0</v>
      </c>
      <c r="AE55" s="2"/>
      <c r="AG55">
        <f t="shared" si="27"/>
        <v>2004</v>
      </c>
      <c r="AH55" s="6">
        <f t="shared" ref="AH55:AH64" si="74">S55/$Z55</f>
        <v>0.19475514169970859</v>
      </c>
      <c r="AI55" s="7"/>
      <c r="AJ55" s="6">
        <f t="shared" si="63"/>
        <v>0.21209490262439171</v>
      </c>
      <c r="AK55" s="6">
        <f t="shared" si="63"/>
        <v>0.10313832416033053</v>
      </c>
      <c r="AL55" s="7"/>
      <c r="AM55" s="6">
        <f t="shared" si="28"/>
        <v>0.21296793334191449</v>
      </c>
      <c r="AN55" s="38">
        <f t="shared" si="29"/>
        <v>0.2770436981736546</v>
      </c>
      <c r="AO55" s="6">
        <f t="shared" si="30"/>
        <v>1</v>
      </c>
      <c r="AP55" s="7">
        <f t="shared" si="31"/>
        <v>0.7229563018263454</v>
      </c>
      <c r="AQ55" s="7">
        <f t="shared" si="32"/>
        <v>0</v>
      </c>
      <c r="AR55" s="24"/>
      <c r="AS55">
        <f t="shared" si="33"/>
        <v>2004</v>
      </c>
      <c r="AT55" s="1" t="b">
        <f t="shared" si="34"/>
        <v>1</v>
      </c>
      <c r="AV55" s="1" t="b">
        <f t="shared" si="71"/>
        <v>1</v>
      </c>
      <c r="AW55" s="1" t="b">
        <f t="shared" si="57"/>
        <v>1</v>
      </c>
      <c r="AY55" s="1" t="b">
        <f t="shared" si="50"/>
        <v>1</v>
      </c>
      <c r="AZ55" s="1" t="b">
        <f t="shared" si="36"/>
        <v>1</v>
      </c>
      <c r="BA55" s="1" t="b">
        <f t="shared" si="37"/>
        <v>1</v>
      </c>
      <c r="BC55">
        <f t="shared" si="38"/>
        <v>2004</v>
      </c>
      <c r="BD55" s="2">
        <f t="shared" ref="BD55" si="75">S55</f>
        <v>65388.476548225895</v>
      </c>
      <c r="BE55" s="2"/>
      <c r="BF55" s="2">
        <f t="shared" ref="BF55" si="76">U55</f>
        <v>71210.251217075027</v>
      </c>
      <c r="BG55" s="2">
        <f t="shared" ref="BG55" si="77">V55</f>
        <v>34628.394566237963</v>
      </c>
      <c r="BH55" s="2"/>
      <c r="BI55" s="2">
        <f>X55</f>
        <v>71503.368759956851</v>
      </c>
      <c r="BJ55" s="2">
        <f>Y55</f>
        <v>93016.621809111879</v>
      </c>
      <c r="BK55" s="2">
        <f t="shared" si="40"/>
        <v>335747.11290060764</v>
      </c>
      <c r="BL55" s="2">
        <f t="shared" si="41"/>
        <v>0</v>
      </c>
      <c r="BM55" s="2"/>
    </row>
    <row r="56" spans="1:65" x14ac:dyDescent="0.2">
      <c r="A56">
        <f t="shared" si="6"/>
        <v>2005</v>
      </c>
      <c r="B56" s="2">
        <f t="shared" si="60"/>
        <v>68507.506879576278</v>
      </c>
      <c r="C56" s="2"/>
      <c r="D56" s="2">
        <f t="shared" si="66"/>
        <v>81130.551314125754</v>
      </c>
      <c r="E56" s="2">
        <f t="shared" si="67"/>
        <v>37178.083258150065</v>
      </c>
      <c r="F56" s="2"/>
      <c r="G56" s="2">
        <f t="shared" si="54"/>
        <v>82637.158309569728</v>
      </c>
      <c r="H56" s="2">
        <f t="shared" si="13"/>
        <v>95249.020732530567</v>
      </c>
      <c r="I56" s="2">
        <f t="shared" si="42"/>
        <v>364702.32049395237</v>
      </c>
      <c r="J56" s="2">
        <f>I56-I55</f>
        <v>20568.698818635487</v>
      </c>
      <c r="K56" s="6">
        <f>(J56/I55)</f>
        <v>5.9769512547197839E-2</v>
      </c>
      <c r="L56" s="7">
        <f t="shared" si="16"/>
        <v>1.0597695125471978</v>
      </c>
      <c r="N56">
        <f t="shared" si="17"/>
        <v>2005</v>
      </c>
      <c r="O56" s="2">
        <f t="shared" si="18"/>
        <v>8663.2635642747118</v>
      </c>
      <c r="P56" s="2"/>
      <c r="Q56" s="2"/>
      <c r="R56">
        <f t="shared" si="19"/>
        <v>2005</v>
      </c>
      <c r="S56" s="2">
        <f t="shared" si="68"/>
        <v>66774.854166721343</v>
      </c>
      <c r="T56" s="2"/>
      <c r="U56" s="2">
        <f t="shared" si="69"/>
        <v>79397.898601270805</v>
      </c>
      <c r="V56" s="2">
        <f t="shared" si="69"/>
        <v>35445.430545295123</v>
      </c>
      <c r="W56" s="2"/>
      <c r="X56" s="2">
        <f t="shared" si="70"/>
        <v>80904.505596714793</v>
      </c>
      <c r="Y56" s="2">
        <f t="shared" si="70"/>
        <v>93516.368019675632</v>
      </c>
      <c r="Z56" s="2">
        <f t="shared" si="22"/>
        <v>356039.05692967772</v>
      </c>
      <c r="AA56" s="2">
        <f>Z56-Z55</f>
        <v>20291.944029070088</v>
      </c>
      <c r="AB56" s="6">
        <f>(AA56/Z55)</f>
        <v>6.0438178764256958E-2</v>
      </c>
      <c r="AC56" s="7">
        <f t="shared" si="25"/>
        <v>1.0604381787642569</v>
      </c>
      <c r="AD56" s="2">
        <f t="shared" si="26"/>
        <v>0</v>
      </c>
      <c r="AE56" s="2"/>
      <c r="AG56">
        <f t="shared" si="27"/>
        <v>2005</v>
      </c>
      <c r="AH56" s="6">
        <f t="shared" si="74"/>
        <v>0.18754923895866354</v>
      </c>
      <c r="AI56" s="7"/>
      <c r="AJ56" s="6">
        <f t="shared" si="63"/>
        <v>0.22300333925711108</v>
      </c>
      <c r="AK56" s="6">
        <f t="shared" si="63"/>
        <v>9.9554893923606946E-2</v>
      </c>
      <c r="AL56" s="7"/>
      <c r="AM56" s="6">
        <f t="shared" si="28"/>
        <v>0.22723491713071936</v>
      </c>
      <c r="AN56" s="6">
        <f t="shared" si="29"/>
        <v>0.26265761072989896</v>
      </c>
      <c r="AO56" s="6">
        <f t="shared" si="30"/>
        <v>1</v>
      </c>
      <c r="AP56" s="7">
        <f t="shared" si="31"/>
        <v>0.73734238927010098</v>
      </c>
      <c r="AQ56" s="7">
        <f t="shared" si="32"/>
        <v>0</v>
      </c>
      <c r="AR56" s="24"/>
      <c r="AS56">
        <f t="shared" si="33"/>
        <v>2005</v>
      </c>
      <c r="AT56" s="1" t="b">
        <f t="shared" si="34"/>
        <v>1</v>
      </c>
      <c r="AV56" s="1" t="b">
        <f t="shared" si="71"/>
        <v>1</v>
      </c>
      <c r="AW56" s="1" t="b">
        <f t="shared" si="57"/>
        <v>1</v>
      </c>
      <c r="AY56" s="1" t="b">
        <f t="shared" si="50"/>
        <v>1</v>
      </c>
      <c r="AZ56" s="1" t="b">
        <f t="shared" si="36"/>
        <v>1</v>
      </c>
      <c r="BA56" s="1" t="b">
        <f t="shared" si="37"/>
        <v>1</v>
      </c>
      <c r="BC56">
        <f t="shared" si="38"/>
        <v>2005</v>
      </c>
      <c r="BD56" s="2">
        <f t="shared" si="39"/>
        <v>66774.854166721343</v>
      </c>
      <c r="BE56" s="2"/>
      <c r="BF56" s="2">
        <f t="shared" si="64"/>
        <v>79397.898601270805</v>
      </c>
      <c r="BG56" s="2">
        <f t="shared" si="64"/>
        <v>35445.430545295123</v>
      </c>
      <c r="BH56" s="2"/>
      <c r="BI56" s="2">
        <f>X56</f>
        <v>80904.505596714793</v>
      </c>
      <c r="BJ56" s="2">
        <f>Y56</f>
        <v>93516.368019675632</v>
      </c>
      <c r="BK56" s="2">
        <f t="shared" si="40"/>
        <v>356039.05692967772</v>
      </c>
      <c r="BL56" s="2">
        <f t="shared" si="41"/>
        <v>0</v>
      </c>
      <c r="BM56" s="2"/>
    </row>
    <row r="57" spans="1:65" x14ac:dyDescent="0.2">
      <c r="A57">
        <f t="shared" si="6"/>
        <v>2006</v>
      </c>
      <c r="B57" s="2">
        <f t="shared" si="60"/>
        <v>77218.441358396565</v>
      </c>
      <c r="C57" s="2"/>
      <c r="D57" s="2">
        <f t="shared" si="66"/>
        <v>90193.630874085589</v>
      </c>
      <c r="E57" s="2">
        <f t="shared" si="67"/>
        <v>40994.767151466527</v>
      </c>
      <c r="F57" s="2"/>
      <c r="G57" s="2">
        <f t="shared" si="54"/>
        <v>102455.03875251171</v>
      </c>
      <c r="H57" s="2">
        <f t="shared" si="13"/>
        <v>97509.516934115774</v>
      </c>
      <c r="I57" s="2">
        <f t="shared" si="42"/>
        <v>408371.39507057617</v>
      </c>
      <c r="J57" s="2">
        <f t="shared" si="14"/>
        <v>43669.074576623796</v>
      </c>
      <c r="K57" s="6">
        <f t="shared" si="15"/>
        <v>0.11973895454648727</v>
      </c>
      <c r="L57" s="7">
        <f t="shared" si="16"/>
        <v>1.1197389545464873</v>
      </c>
      <c r="N57">
        <f t="shared" si="17"/>
        <v>2006</v>
      </c>
      <c r="O57" s="2">
        <f t="shared" si="18"/>
        <v>8879.8451533815787</v>
      </c>
      <c r="P57" s="2"/>
      <c r="Q57" s="2"/>
      <c r="R57">
        <f t="shared" si="19"/>
        <v>2006</v>
      </c>
      <c r="S57" s="2">
        <f t="shared" si="68"/>
        <v>75442.472327720243</v>
      </c>
      <c r="T57" s="2"/>
      <c r="U57" s="2">
        <f t="shared" si="69"/>
        <v>88417.661843409267</v>
      </c>
      <c r="V57" s="2">
        <f t="shared" si="69"/>
        <v>39218.798120790212</v>
      </c>
      <c r="W57" s="2"/>
      <c r="X57" s="2">
        <f t="shared" si="70"/>
        <v>100679.06972183539</v>
      </c>
      <c r="Y57" s="2">
        <f t="shared" si="70"/>
        <v>95733.547903439452</v>
      </c>
      <c r="Z57" s="2">
        <f t="shared" si="22"/>
        <v>399491.54991719453</v>
      </c>
      <c r="AA57" s="2">
        <f t="shared" ref="AA57:AA64" si="78">Z57-Z56</f>
        <v>43452.492987516802</v>
      </c>
      <c r="AB57" s="6">
        <f t="shared" ref="AB57:AB64" si="79">(AA57/Z56)</f>
        <v>0.12204417504706296</v>
      </c>
      <c r="AC57" s="7">
        <f t="shared" si="25"/>
        <v>1.1220441750470629</v>
      </c>
      <c r="AD57" s="2">
        <f t="shared" si="26"/>
        <v>0</v>
      </c>
      <c r="AE57" s="2"/>
      <c r="AG57">
        <f t="shared" si="27"/>
        <v>2006</v>
      </c>
      <c r="AH57" s="6">
        <f t="shared" si="74"/>
        <v>0.18884622801998627</v>
      </c>
      <c r="AI57" s="7"/>
      <c r="AJ57" s="6">
        <f t="shared" si="63"/>
        <v>0.22132548701402127</v>
      </c>
      <c r="AK57" s="6">
        <f t="shared" si="63"/>
        <v>9.8171783931147907E-2</v>
      </c>
      <c r="AL57" s="7"/>
      <c r="AM57" s="6">
        <f t="shared" ref="AM57:AM64" si="80">X57/$Z57</f>
        <v>0.25201802076340252</v>
      </c>
      <c r="AN57" s="6">
        <f t="shared" si="29"/>
        <v>0.23963848027144211</v>
      </c>
      <c r="AO57" s="6">
        <f t="shared" si="30"/>
        <v>1</v>
      </c>
      <c r="AP57" s="7">
        <f t="shared" si="31"/>
        <v>0.76036151972855792</v>
      </c>
      <c r="AQ57" s="7">
        <f t="shared" si="32"/>
        <v>0</v>
      </c>
      <c r="AR57" s="24"/>
      <c r="AS57">
        <f t="shared" si="33"/>
        <v>2006</v>
      </c>
      <c r="AT57" s="1" t="b">
        <f t="shared" si="34"/>
        <v>1</v>
      </c>
      <c r="AV57" s="1" t="b">
        <f t="shared" si="71"/>
        <v>1</v>
      </c>
      <c r="AW57" s="1" t="b">
        <f t="shared" si="57"/>
        <v>1</v>
      </c>
      <c r="AY57" s="39" t="b">
        <f t="shared" si="50"/>
        <v>0</v>
      </c>
      <c r="AZ57" s="39" t="b">
        <f t="shared" si="36"/>
        <v>0</v>
      </c>
      <c r="BA57" s="1" t="b">
        <f t="shared" si="37"/>
        <v>1</v>
      </c>
      <c r="BC57">
        <f t="shared" si="38"/>
        <v>2006</v>
      </c>
      <c r="BD57" s="27">
        <f>$BK57*BD$39</f>
        <v>79898.309983438914</v>
      </c>
      <c r="BE57" s="2"/>
      <c r="BF57" s="27">
        <f t="shared" ref="BF57:BG61" si="81">$BK57*BF$39</f>
        <v>79898.309983438914</v>
      </c>
      <c r="BG57" s="27">
        <f t="shared" si="81"/>
        <v>39949.154991719457</v>
      </c>
      <c r="BH57" s="2"/>
      <c r="BI57" s="27">
        <f>$BK57*BI$39</f>
        <v>79898.309983438914</v>
      </c>
      <c r="BJ57" s="27">
        <f t="shared" ref="BJ57:BJ61" si="82">$BK57*BJ$39</f>
        <v>119847.46497515835</v>
      </c>
      <c r="BK57" s="2">
        <f t="shared" si="40"/>
        <v>399491.54991719453</v>
      </c>
      <c r="BL57" s="2">
        <f t="shared" si="41"/>
        <v>0</v>
      </c>
      <c r="BM57" s="2"/>
    </row>
    <row r="58" spans="1:65" x14ac:dyDescent="0.2">
      <c r="A58">
        <f t="shared" si="6"/>
        <v>2007</v>
      </c>
      <c r="B58" s="2">
        <f t="shared" si="60"/>
        <v>84204.828891546276</v>
      </c>
      <c r="C58" s="2"/>
      <c r="D58" s="2">
        <f t="shared" si="66"/>
        <v>84708.987227541773</v>
      </c>
      <c r="E58" s="2">
        <f t="shared" si="67"/>
        <v>40410.967223423737</v>
      </c>
      <c r="F58" s="2"/>
      <c r="G58" s="2">
        <f t="shared" si="54"/>
        <v>92300.12565906829</v>
      </c>
      <c r="H58" s="2">
        <f t="shared" si="13"/>
        <v>128140.9095514393</v>
      </c>
      <c r="I58" s="2">
        <f t="shared" si="42"/>
        <v>429765.81855301937</v>
      </c>
      <c r="J58" s="2">
        <f t="shared" si="14"/>
        <v>21394.423482443206</v>
      </c>
      <c r="K58" s="6">
        <f t="shared" si="15"/>
        <v>5.2389623124180253E-2</v>
      </c>
      <c r="L58" s="7">
        <f t="shared" si="16"/>
        <v>1.0523896231241803</v>
      </c>
      <c r="N58">
        <f t="shared" si="17"/>
        <v>2007</v>
      </c>
      <c r="O58" s="2">
        <f t="shared" si="18"/>
        <v>9243.918804670222</v>
      </c>
      <c r="P58" s="2"/>
      <c r="Q58" s="2"/>
      <c r="R58">
        <f t="shared" si="19"/>
        <v>2007</v>
      </c>
      <c r="S58" s="2">
        <f t="shared" si="68"/>
        <v>82356.045130612227</v>
      </c>
      <c r="T58" s="2"/>
      <c r="U58" s="2">
        <f t="shared" si="69"/>
        <v>82860.203466607723</v>
      </c>
      <c r="V58" s="2">
        <f t="shared" si="69"/>
        <v>38562.183462489695</v>
      </c>
      <c r="W58" s="2"/>
      <c r="X58" s="2">
        <f t="shared" si="70"/>
        <v>90451.34189813424</v>
      </c>
      <c r="Y58" s="2">
        <f t="shared" si="70"/>
        <v>126292.12579050525</v>
      </c>
      <c r="Z58" s="2">
        <f t="shared" si="22"/>
        <v>420521.89974834915</v>
      </c>
      <c r="AA58" s="2">
        <f t="shared" si="78"/>
        <v>21030.349831154628</v>
      </c>
      <c r="AB58" s="6">
        <f t="shared" si="79"/>
        <v>5.2642790155420657E-2</v>
      </c>
      <c r="AC58" s="7">
        <f t="shared" si="25"/>
        <v>1.0526427901554207</v>
      </c>
      <c r="AD58" s="2">
        <f t="shared" si="26"/>
        <v>0</v>
      </c>
      <c r="AE58" s="2"/>
      <c r="AG58">
        <f t="shared" si="27"/>
        <v>2007</v>
      </c>
      <c r="AH58" s="6">
        <f t="shared" si="74"/>
        <v>0.19584246428044805</v>
      </c>
      <c r="AI58" s="7"/>
      <c r="AJ58" s="6">
        <f t="shared" si="63"/>
        <v>0.19704135151152258</v>
      </c>
      <c r="AK58" s="6">
        <f t="shared" si="63"/>
        <v>9.1700773456902654E-2</v>
      </c>
      <c r="AL58" s="7"/>
      <c r="AM58" s="38">
        <f t="shared" si="80"/>
        <v>0.21509305924914396</v>
      </c>
      <c r="AN58" s="38">
        <f t="shared" si="29"/>
        <v>0.30032235150198272</v>
      </c>
      <c r="AO58" s="6">
        <f t="shared" si="30"/>
        <v>0.99999999999999989</v>
      </c>
      <c r="AP58" s="7">
        <f t="shared" si="31"/>
        <v>0.69967764849801717</v>
      </c>
      <c r="AQ58" s="7">
        <f t="shared" si="32"/>
        <v>0</v>
      </c>
      <c r="AR58" s="24"/>
      <c r="AS58">
        <f t="shared" si="33"/>
        <v>2007</v>
      </c>
      <c r="AT58" s="1" t="b">
        <f t="shared" si="34"/>
        <v>1</v>
      </c>
      <c r="AV58" s="1" t="b">
        <f t="shared" si="71"/>
        <v>1</v>
      </c>
      <c r="AW58" s="1" t="b">
        <f t="shared" si="57"/>
        <v>1</v>
      </c>
      <c r="AY58" s="1" t="b">
        <f t="shared" ref="AY58" si="83">AND((X58/$Z58)&gt;0.15,(X58/$Z58)&lt;0.25)</f>
        <v>1</v>
      </c>
      <c r="AZ58" s="1" t="b">
        <f t="shared" ref="AZ58" si="84">AND((Y58/$Z58)&gt;0.25,(Y58/$Z58)&lt;0.35)</f>
        <v>1</v>
      </c>
      <c r="BA58" s="1" t="b">
        <f t="shared" si="37"/>
        <v>1</v>
      </c>
      <c r="BC58">
        <f t="shared" si="38"/>
        <v>2007</v>
      </c>
      <c r="BD58" s="2">
        <f t="shared" ref="BD58" si="85">S58</f>
        <v>82356.045130612227</v>
      </c>
      <c r="BE58" s="2"/>
      <c r="BF58" s="2">
        <f t="shared" ref="BF58" si="86">U58</f>
        <v>82860.203466607723</v>
      </c>
      <c r="BG58" s="2">
        <f t="shared" ref="BG58" si="87">V58</f>
        <v>38562.183462489695</v>
      </c>
      <c r="BH58" s="2"/>
      <c r="BI58" s="2">
        <f>X58</f>
        <v>90451.34189813424</v>
      </c>
      <c r="BJ58" s="2">
        <f>Y58</f>
        <v>126292.12579050525</v>
      </c>
      <c r="BK58" s="2">
        <f t="shared" si="40"/>
        <v>420521.89974834915</v>
      </c>
      <c r="BL58" s="2">
        <f t="shared" si="41"/>
        <v>0</v>
      </c>
      <c r="BM58" s="2"/>
    </row>
    <row r="59" spans="1:65" x14ac:dyDescent="0.2">
      <c r="A59">
        <f t="shared" si="6"/>
        <v>2008</v>
      </c>
      <c r="B59" s="2">
        <f t="shared" si="60"/>
        <v>51867.837223259572</v>
      </c>
      <c r="C59" s="2"/>
      <c r="D59" s="2">
        <f t="shared" si="66"/>
        <v>48204.751968733712</v>
      </c>
      <c r="E59" s="2">
        <f t="shared" si="67"/>
        <v>24652.803887569662</v>
      </c>
      <c r="F59" s="2"/>
      <c r="G59" s="2">
        <f t="shared" si="54"/>
        <v>50561.395607638056</v>
      </c>
      <c r="H59" s="2">
        <f t="shared" si="13"/>
        <v>132669.87814292577</v>
      </c>
      <c r="I59" s="2">
        <f t="shared" si="42"/>
        <v>307956.66683012678</v>
      </c>
      <c r="J59" s="2">
        <f t="shared" si="14"/>
        <v>-121809.15172289259</v>
      </c>
      <c r="K59" s="6">
        <f t="shared" si="15"/>
        <v>-0.28343145607301301</v>
      </c>
      <c r="L59" s="7">
        <f t="shared" si="16"/>
        <v>0.71656854392698699</v>
      </c>
      <c r="N59">
        <f t="shared" si="17"/>
        <v>2008</v>
      </c>
      <c r="O59" s="2">
        <f t="shared" si="18"/>
        <v>9243.918804670222</v>
      </c>
      <c r="P59" s="2"/>
      <c r="Q59" s="2"/>
      <c r="R59">
        <f t="shared" si="19"/>
        <v>2008</v>
      </c>
      <c r="S59" s="2">
        <f t="shared" si="68"/>
        <v>50019.05346232553</v>
      </c>
      <c r="T59" s="2"/>
      <c r="U59" s="2">
        <f t="shared" si="69"/>
        <v>46355.968207799669</v>
      </c>
      <c r="V59" s="2">
        <f t="shared" si="69"/>
        <v>22804.020126635616</v>
      </c>
      <c r="W59" s="2"/>
      <c r="X59" s="2">
        <f t="shared" si="70"/>
        <v>48712.611846704014</v>
      </c>
      <c r="Y59" s="2">
        <f t="shared" si="70"/>
        <v>130821.09438199172</v>
      </c>
      <c r="Z59" s="2">
        <f t="shared" si="22"/>
        <v>298712.74802545656</v>
      </c>
      <c r="AA59" s="2">
        <f t="shared" si="78"/>
        <v>-121809.15172289259</v>
      </c>
      <c r="AB59" s="6">
        <f t="shared" si="79"/>
        <v>-0.28966185065697231</v>
      </c>
      <c r="AC59" s="7">
        <f t="shared" si="25"/>
        <v>0.71033814934302764</v>
      </c>
      <c r="AD59" s="2">
        <f t="shared" si="26"/>
        <v>0</v>
      </c>
      <c r="AE59" s="2"/>
      <c r="AG59">
        <f t="shared" si="27"/>
        <v>2008</v>
      </c>
      <c r="AH59" s="6">
        <f t="shared" si="74"/>
        <v>0.16744867366043201</v>
      </c>
      <c r="AI59" s="7"/>
      <c r="AJ59" s="6">
        <f t="shared" si="63"/>
        <v>0.15518577132787509</v>
      </c>
      <c r="AK59" s="6">
        <f t="shared" si="63"/>
        <v>7.6340967291734854E-2</v>
      </c>
      <c r="AL59" s="7"/>
      <c r="AM59" s="6">
        <f t="shared" si="80"/>
        <v>0.16307510197908487</v>
      </c>
      <c r="AN59" s="6">
        <f t="shared" si="29"/>
        <v>0.43794948574087311</v>
      </c>
      <c r="AO59" s="6">
        <f t="shared" si="30"/>
        <v>0.99999999999999989</v>
      </c>
      <c r="AP59" s="7">
        <f t="shared" si="31"/>
        <v>0.56205051425912678</v>
      </c>
      <c r="AQ59" s="7">
        <f t="shared" si="32"/>
        <v>0</v>
      </c>
      <c r="AR59" s="24"/>
      <c r="AS59">
        <f t="shared" si="33"/>
        <v>2008</v>
      </c>
      <c r="AT59" s="1" t="b">
        <f t="shared" si="34"/>
        <v>1</v>
      </c>
      <c r="AV59" s="1" t="b">
        <f t="shared" si="71"/>
        <v>1</v>
      </c>
      <c r="AW59" s="1" t="b">
        <f t="shared" si="57"/>
        <v>1</v>
      </c>
      <c r="AY59" s="1" t="b">
        <f t="shared" si="50"/>
        <v>1</v>
      </c>
      <c r="AZ59" s="39" t="b">
        <f t="shared" si="36"/>
        <v>0</v>
      </c>
      <c r="BA59" s="1" t="b">
        <f t="shared" si="37"/>
        <v>1</v>
      </c>
      <c r="BC59">
        <f t="shared" si="38"/>
        <v>2008</v>
      </c>
      <c r="BD59" s="27">
        <f>$BK59*BD$39</f>
        <v>59742.549605091313</v>
      </c>
      <c r="BE59" s="2"/>
      <c r="BF59" s="27">
        <f t="shared" si="81"/>
        <v>59742.549605091313</v>
      </c>
      <c r="BG59" s="27">
        <f t="shared" si="81"/>
        <v>29871.274802545657</v>
      </c>
      <c r="BH59" s="2"/>
      <c r="BI59" s="27">
        <f>$BK59*BI$39</f>
        <v>59742.549605091313</v>
      </c>
      <c r="BJ59" s="27">
        <f t="shared" si="82"/>
        <v>89613.824407636959</v>
      </c>
      <c r="BK59" s="2">
        <f t="shared" si="40"/>
        <v>298712.74802545656</v>
      </c>
      <c r="BL59" s="2">
        <f t="shared" si="41"/>
        <v>0</v>
      </c>
      <c r="BM59" s="2"/>
    </row>
    <row r="60" spans="1:65" x14ac:dyDescent="0.2">
      <c r="A60">
        <f t="shared" si="6"/>
        <v>2009</v>
      </c>
      <c r="B60" s="2">
        <f t="shared" si="60"/>
        <v>75568.350995479996</v>
      </c>
      <c r="C60" s="2"/>
      <c r="D60" s="2">
        <f t="shared" si="66"/>
        <v>83769.808205266934</v>
      </c>
      <c r="E60" s="2">
        <f t="shared" si="67"/>
        <v>40660.181835729098</v>
      </c>
      <c r="F60" s="2"/>
      <c r="G60" s="2">
        <f t="shared" si="54"/>
        <v>81684.195798553206</v>
      </c>
      <c r="H60" s="2">
        <f t="shared" si="13"/>
        <v>94927.924195009822</v>
      </c>
      <c r="I60" s="2">
        <f t="shared" si="42"/>
        <v>376610.46103003906</v>
      </c>
      <c r="J60" s="2">
        <f t="shared" si="14"/>
        <v>68653.794199912285</v>
      </c>
      <c r="K60" s="6">
        <f t="shared" si="15"/>
        <v>0.22293329417603641</v>
      </c>
      <c r="L60" s="7">
        <f t="shared" si="16"/>
        <v>1.2229332941760365</v>
      </c>
      <c r="N60">
        <f t="shared" si="17"/>
        <v>2009</v>
      </c>
      <c r="O60" s="2">
        <f t="shared" si="18"/>
        <v>9502.7485312009885</v>
      </c>
      <c r="P60" s="2"/>
      <c r="Q60" s="2"/>
      <c r="R60">
        <f t="shared" si="19"/>
        <v>2009</v>
      </c>
      <c r="S60" s="2">
        <f t="shared" si="68"/>
        <v>73667.801289239796</v>
      </c>
      <c r="T60" s="2"/>
      <c r="U60" s="2">
        <f t="shared" si="69"/>
        <v>81869.258499026735</v>
      </c>
      <c r="V60" s="2">
        <f t="shared" si="69"/>
        <v>38759.632129488898</v>
      </c>
      <c r="W60" s="2"/>
      <c r="X60" s="2">
        <f t="shared" si="70"/>
        <v>79783.646092313007</v>
      </c>
      <c r="Y60" s="2">
        <f t="shared" si="70"/>
        <v>93027.374488769623</v>
      </c>
      <c r="Z60" s="2">
        <f t="shared" si="22"/>
        <v>367107.71249883808</v>
      </c>
      <c r="AA60" s="2">
        <f t="shared" si="78"/>
        <v>68394.964473381522</v>
      </c>
      <c r="AB60" s="6">
        <f t="shared" si="79"/>
        <v>0.22896566994707854</v>
      </c>
      <c r="AC60" s="7">
        <f t="shared" si="25"/>
        <v>1.2289656699470786</v>
      </c>
      <c r="AD60" s="2">
        <f t="shared" si="26"/>
        <v>0</v>
      </c>
      <c r="AE60" s="2"/>
      <c r="AG60">
        <f t="shared" si="27"/>
        <v>2009</v>
      </c>
      <c r="AH60" s="6">
        <f t="shared" si="74"/>
        <v>0.20067080799745649</v>
      </c>
      <c r="AI60" s="7"/>
      <c r="AJ60" s="6">
        <f t="shared" si="63"/>
        <v>0.22301154596223816</v>
      </c>
      <c r="AK60" s="6">
        <f t="shared" si="63"/>
        <v>0.10558108917314445</v>
      </c>
      <c r="AL60" s="7"/>
      <c r="AM60" s="6">
        <f t="shared" si="80"/>
        <v>0.21733034577029087</v>
      </c>
      <c r="AN60" s="38">
        <f t="shared" si="29"/>
        <v>0.25340621109687</v>
      </c>
      <c r="AO60" s="6">
        <f t="shared" si="30"/>
        <v>1</v>
      </c>
      <c r="AP60" s="7">
        <f t="shared" si="31"/>
        <v>0.74659378890313</v>
      </c>
      <c r="AQ60" s="7">
        <f t="shared" si="32"/>
        <v>0</v>
      </c>
      <c r="AR60" s="24"/>
      <c r="AS60">
        <f t="shared" si="33"/>
        <v>2009</v>
      </c>
      <c r="AT60" s="1" t="b">
        <f t="shared" si="34"/>
        <v>1</v>
      </c>
      <c r="AV60" s="1" t="b">
        <f t="shared" si="71"/>
        <v>1</v>
      </c>
      <c r="AW60" s="1" t="b">
        <f t="shared" si="57"/>
        <v>1</v>
      </c>
      <c r="AY60" s="1" t="b">
        <f t="shared" si="50"/>
        <v>1</v>
      </c>
      <c r="AZ60" s="1" t="b">
        <f t="shared" si="36"/>
        <v>1</v>
      </c>
      <c r="BA60" s="1" t="b">
        <f t="shared" si="37"/>
        <v>1</v>
      </c>
      <c r="BC60">
        <f t="shared" si="38"/>
        <v>2009</v>
      </c>
      <c r="BD60" s="2">
        <f t="shared" ref="BD60" si="88">S60</f>
        <v>73667.801289239796</v>
      </c>
      <c r="BE60" s="2"/>
      <c r="BF60" s="2">
        <f t="shared" ref="BF60" si="89">U60</f>
        <v>81869.258499026735</v>
      </c>
      <c r="BG60" s="2">
        <f t="shared" ref="BG60" si="90">V60</f>
        <v>38759.632129488898</v>
      </c>
      <c r="BH60" s="2"/>
      <c r="BI60" s="2">
        <f>X60</f>
        <v>79783.646092313007</v>
      </c>
      <c r="BJ60" s="2">
        <f>Y60</f>
        <v>93027.374488769623</v>
      </c>
      <c r="BK60" s="2">
        <f t="shared" si="40"/>
        <v>367107.71249883808</v>
      </c>
      <c r="BL60" s="2">
        <f t="shared" si="41"/>
        <v>0</v>
      </c>
      <c r="BM60" s="2"/>
    </row>
    <row r="61" spans="1:65" x14ac:dyDescent="0.2">
      <c r="A61">
        <f t="shared" si="6"/>
        <v>2010</v>
      </c>
      <c r="B61" s="2">
        <f t="shared" si="60"/>
        <v>84651.670461465445</v>
      </c>
      <c r="C61" s="2"/>
      <c r="D61" s="2">
        <f t="shared" si="66"/>
        <v>102713.17171287893</v>
      </c>
      <c r="E61" s="2">
        <f t="shared" si="67"/>
        <v>49503.802155783225</v>
      </c>
      <c r="F61" s="2"/>
      <c r="G61" s="2">
        <f t="shared" si="54"/>
        <v>88655.587537778207</v>
      </c>
      <c r="H61" s="2">
        <f t="shared" si="13"/>
        <v>98999.731930948634</v>
      </c>
      <c r="I61" s="2">
        <f t="shared" si="42"/>
        <v>424523.96379885444</v>
      </c>
      <c r="J61" s="2">
        <f t="shared" si="14"/>
        <v>47913.502768815379</v>
      </c>
      <c r="K61" s="6">
        <f t="shared" si="15"/>
        <v>0.12722297367356911</v>
      </c>
      <c r="L61" s="7">
        <f t="shared" si="16"/>
        <v>1.1272229736735691</v>
      </c>
      <c r="N61">
        <f t="shared" si="17"/>
        <v>2010</v>
      </c>
      <c r="O61" s="2">
        <f t="shared" si="18"/>
        <v>9635.7870106378032</v>
      </c>
      <c r="P61" s="2"/>
      <c r="Q61" s="2"/>
      <c r="R61">
        <f t="shared" si="19"/>
        <v>2010</v>
      </c>
      <c r="S61" s="2">
        <f t="shared" si="68"/>
        <v>82724.513059337885</v>
      </c>
      <c r="T61" s="2"/>
      <c r="U61" s="2">
        <f t="shared" si="69"/>
        <v>100786.01431075137</v>
      </c>
      <c r="V61" s="2">
        <f t="shared" si="69"/>
        <v>47576.644753655666</v>
      </c>
      <c r="W61" s="2"/>
      <c r="X61" s="2">
        <f t="shared" si="70"/>
        <v>86728.430135650648</v>
      </c>
      <c r="Y61" s="2">
        <f t="shared" si="70"/>
        <v>97072.574528821075</v>
      </c>
      <c r="Z61" s="2">
        <f t="shared" si="22"/>
        <v>414888.17678821657</v>
      </c>
      <c r="AA61" s="2">
        <f t="shared" si="78"/>
        <v>47780.464289378491</v>
      </c>
      <c r="AB61" s="6">
        <f t="shared" si="79"/>
        <v>0.13015380135749591</v>
      </c>
      <c r="AC61" s="7">
        <f t="shared" si="25"/>
        <v>1.1301538013574959</v>
      </c>
      <c r="AD61" s="2">
        <f t="shared" si="26"/>
        <v>0</v>
      </c>
      <c r="AE61" s="2"/>
      <c r="AG61">
        <f t="shared" si="27"/>
        <v>2010</v>
      </c>
      <c r="AH61" s="6">
        <f t="shared" si="74"/>
        <v>0.19938990235811266</v>
      </c>
      <c r="AI61" s="7"/>
      <c r="AJ61" s="6">
        <f t="shared" si="63"/>
        <v>0.24292332235391345</v>
      </c>
      <c r="AK61" s="6">
        <f t="shared" si="63"/>
        <v>0.11467341663472275</v>
      </c>
      <c r="AL61" s="7"/>
      <c r="AM61" s="6">
        <f t="shared" si="80"/>
        <v>0.20904049569945196</v>
      </c>
      <c r="AN61" s="6">
        <f t="shared" si="29"/>
        <v>0.23397286295379935</v>
      </c>
      <c r="AO61" s="6">
        <f t="shared" si="30"/>
        <v>1</v>
      </c>
      <c r="AP61" s="7">
        <f t="shared" si="31"/>
        <v>0.76602713704620073</v>
      </c>
      <c r="AQ61" s="7">
        <f t="shared" si="32"/>
        <v>0</v>
      </c>
      <c r="AR61" s="24"/>
      <c r="AS61">
        <f t="shared" si="33"/>
        <v>2010</v>
      </c>
      <c r="AT61" s="1" t="b">
        <f t="shared" si="34"/>
        <v>1</v>
      </c>
      <c r="AV61" s="1" t="b">
        <f t="shared" si="71"/>
        <v>1</v>
      </c>
      <c r="AW61" s="1" t="b">
        <f t="shared" si="57"/>
        <v>1</v>
      </c>
      <c r="AY61" s="1" t="b">
        <f t="shared" si="50"/>
        <v>1</v>
      </c>
      <c r="AZ61" s="39" t="b">
        <f t="shared" si="36"/>
        <v>0</v>
      </c>
      <c r="BA61" s="1" t="b">
        <f t="shared" si="37"/>
        <v>1</v>
      </c>
      <c r="BC61">
        <f t="shared" si="38"/>
        <v>2010</v>
      </c>
      <c r="BD61" s="27">
        <f>$BK61*BD$39</f>
        <v>82977.635357643318</v>
      </c>
      <c r="BE61" s="2"/>
      <c r="BF61" s="27">
        <f t="shared" si="81"/>
        <v>82977.635357643318</v>
      </c>
      <c r="BG61" s="27">
        <f t="shared" si="81"/>
        <v>41488.817678821659</v>
      </c>
      <c r="BH61" s="2"/>
      <c r="BI61" s="27">
        <f>$BK61*BI$39</f>
        <v>82977.635357643318</v>
      </c>
      <c r="BJ61" s="27">
        <f t="shared" si="82"/>
        <v>124466.45303646497</v>
      </c>
      <c r="BK61" s="2">
        <f t="shared" si="40"/>
        <v>414888.17678821657</v>
      </c>
      <c r="BL61" s="2">
        <f t="shared" si="41"/>
        <v>0</v>
      </c>
      <c r="BM61" s="2"/>
    </row>
    <row r="62" spans="1:65" x14ac:dyDescent="0.2">
      <c r="A62">
        <f t="shared" si="6"/>
        <v>2011</v>
      </c>
      <c r="B62" s="2">
        <f t="shared" si="60"/>
        <v>84612.294774188893</v>
      </c>
      <c r="C62" s="2"/>
      <c r="D62" s="2">
        <f t="shared" si="66"/>
        <v>81226.807251597042</v>
      </c>
      <c r="E62" s="2">
        <f t="shared" si="67"/>
        <v>40327.130783814653</v>
      </c>
      <c r="F62" s="2"/>
      <c r="G62" s="2">
        <f t="shared" si="54"/>
        <v>70896.091649570459</v>
      </c>
      <c r="H62" s="2">
        <f t="shared" si="13"/>
        <v>133876.11688602174</v>
      </c>
      <c r="I62" s="2">
        <f t="shared" si="42"/>
        <v>410938.44134519278</v>
      </c>
      <c r="J62" s="2">
        <f t="shared" si="14"/>
        <v>-13585.522453661659</v>
      </c>
      <c r="K62" s="6">
        <f t="shared" si="15"/>
        <v>-3.2001779904464178E-2</v>
      </c>
      <c r="L62" s="7">
        <f t="shared" si="16"/>
        <v>0.96799822009553582</v>
      </c>
      <c r="N62">
        <f t="shared" si="17"/>
        <v>2011</v>
      </c>
      <c r="O62" s="2">
        <f t="shared" si="18"/>
        <v>9924.8606209569371</v>
      </c>
      <c r="P62" s="2"/>
      <c r="Q62" s="2"/>
      <c r="R62">
        <f t="shared" si="19"/>
        <v>2011</v>
      </c>
      <c r="S62" s="2">
        <f t="shared" si="68"/>
        <v>82627.322649997499</v>
      </c>
      <c r="T62" s="2"/>
      <c r="U62" s="2">
        <f t="shared" si="69"/>
        <v>79241.835127405648</v>
      </c>
      <c r="V62" s="2">
        <f t="shared" si="69"/>
        <v>38342.158659623266</v>
      </c>
      <c r="W62" s="2"/>
      <c r="X62" s="2">
        <f t="shared" si="70"/>
        <v>68911.119525379065</v>
      </c>
      <c r="Y62" s="2">
        <f t="shared" si="70"/>
        <v>131891.14476183036</v>
      </c>
      <c r="Z62" s="2">
        <f t="shared" si="22"/>
        <v>401013.58072423586</v>
      </c>
      <c r="AA62" s="2">
        <f t="shared" si="78"/>
        <v>-13874.596063980716</v>
      </c>
      <c r="AB62" s="6">
        <f t="shared" si="79"/>
        <v>-3.3441772603375802E-2</v>
      </c>
      <c r="AC62" s="7">
        <f t="shared" si="25"/>
        <v>0.96655822739662423</v>
      </c>
      <c r="AD62" s="2">
        <f t="shared" si="26"/>
        <v>0</v>
      </c>
      <c r="AE62" s="2"/>
      <c r="AG62">
        <f t="shared" si="27"/>
        <v>2011</v>
      </c>
      <c r="AH62" s="6">
        <f t="shared" si="74"/>
        <v>0.20604619549485445</v>
      </c>
      <c r="AI62" s="7"/>
      <c r="AJ62" s="6">
        <f t="shared" si="63"/>
        <v>0.19760386913653608</v>
      </c>
      <c r="AK62" s="6">
        <f t="shared" si="63"/>
        <v>9.5613117616557566E-2</v>
      </c>
      <c r="AL62" s="7"/>
      <c r="AM62" s="6">
        <f t="shared" si="80"/>
        <v>0.17184235855784402</v>
      </c>
      <c r="AN62" s="38">
        <f t="shared" si="29"/>
        <v>0.32889445919420784</v>
      </c>
      <c r="AO62" s="6">
        <f t="shared" si="30"/>
        <v>1</v>
      </c>
      <c r="AP62" s="7">
        <f t="shared" si="31"/>
        <v>0.6711055408057921</v>
      </c>
      <c r="AQ62" s="7">
        <f t="shared" si="32"/>
        <v>0</v>
      </c>
      <c r="AR62" s="24"/>
      <c r="AS62">
        <f t="shared" si="33"/>
        <v>2011</v>
      </c>
      <c r="AT62" s="1" t="b">
        <f t="shared" si="34"/>
        <v>1</v>
      </c>
      <c r="AV62" s="1" t="b">
        <f t="shared" si="71"/>
        <v>1</v>
      </c>
      <c r="AW62" s="1" t="b">
        <f t="shared" si="57"/>
        <v>1</v>
      </c>
      <c r="AY62" s="1" t="b">
        <f t="shared" si="50"/>
        <v>1</v>
      </c>
      <c r="AZ62" s="1" t="b">
        <f t="shared" si="36"/>
        <v>1</v>
      </c>
      <c r="BA62" s="1" t="b">
        <f t="shared" si="37"/>
        <v>1</v>
      </c>
      <c r="BC62">
        <f t="shared" si="38"/>
        <v>2011</v>
      </c>
      <c r="BD62" s="2">
        <f t="shared" ref="BD62" si="91">S62</f>
        <v>82627.322649997499</v>
      </c>
      <c r="BE62" s="2"/>
      <c r="BF62" s="2">
        <f t="shared" ref="BF62" si="92">U62</f>
        <v>79241.835127405648</v>
      </c>
      <c r="BG62" s="2">
        <f t="shared" ref="BG62" si="93">V62</f>
        <v>38342.158659623266</v>
      </c>
      <c r="BH62" s="2"/>
      <c r="BI62" s="2">
        <f>X62</f>
        <v>68911.119525379065</v>
      </c>
      <c r="BJ62" s="2">
        <f t="shared" ref="BJ62" si="94">Y62</f>
        <v>131891.14476183036</v>
      </c>
      <c r="BK62" s="2">
        <f t="shared" si="40"/>
        <v>401013.58072423586</v>
      </c>
      <c r="BL62" s="2">
        <f t="shared" si="41"/>
        <v>0</v>
      </c>
      <c r="BM62" s="2"/>
    </row>
    <row r="63" spans="1:65" x14ac:dyDescent="0.2">
      <c r="A63">
        <f t="shared" si="6"/>
        <v>2012</v>
      </c>
      <c r="B63" s="2">
        <f t="shared" si="60"/>
        <v>95698.965093227089</v>
      </c>
      <c r="C63" s="2"/>
      <c r="D63" s="2">
        <f t="shared" si="66"/>
        <v>91762.045077535731</v>
      </c>
      <c r="E63" s="2">
        <f t="shared" si="67"/>
        <v>45259.08408181931</v>
      </c>
      <c r="F63" s="2"/>
      <c r="G63" s="2">
        <f t="shared" si="54"/>
        <v>81411.596607282831</v>
      </c>
      <c r="H63" s="2">
        <f t="shared" si="13"/>
        <v>137232.73612468448</v>
      </c>
      <c r="I63" s="2">
        <f t="shared" si="42"/>
        <v>451364.4269845495</v>
      </c>
      <c r="J63" s="2">
        <f t="shared" si="14"/>
        <v>40425.985639356717</v>
      </c>
      <c r="K63" s="6">
        <f t="shared" si="15"/>
        <v>9.8374796738469272E-2</v>
      </c>
      <c r="L63" s="7">
        <f t="shared" si="16"/>
        <v>1.0983747967384692</v>
      </c>
      <c r="N63">
        <f t="shared" si="17"/>
        <v>2012</v>
      </c>
      <c r="O63" s="2">
        <f t="shared" si="18"/>
        <v>10103.508112134163</v>
      </c>
      <c r="P63" s="2"/>
      <c r="Q63" s="2"/>
      <c r="R63">
        <f t="shared" si="19"/>
        <v>2012</v>
      </c>
      <c r="S63" s="2">
        <f t="shared" si="68"/>
        <v>93678.263470800259</v>
      </c>
      <c r="T63" s="2"/>
      <c r="U63" s="2">
        <f t="shared" si="69"/>
        <v>89741.343455108901</v>
      </c>
      <c r="V63" s="2">
        <f t="shared" si="69"/>
        <v>43238.38245939248</v>
      </c>
      <c r="W63" s="2"/>
      <c r="X63" s="2">
        <f t="shared" si="70"/>
        <v>79390.894984856001</v>
      </c>
      <c r="Y63" s="2">
        <f t="shared" si="70"/>
        <v>135212.03450225765</v>
      </c>
      <c r="Z63" s="2">
        <f t="shared" si="22"/>
        <v>441260.91887241532</v>
      </c>
      <c r="AA63" s="2">
        <f t="shared" si="78"/>
        <v>40247.338148179464</v>
      </c>
      <c r="AB63" s="6">
        <f t="shared" si="79"/>
        <v>0.10036402776058666</v>
      </c>
      <c r="AC63" s="7">
        <f t="shared" si="25"/>
        <v>1.1003640277605866</v>
      </c>
      <c r="AD63" s="2">
        <f t="shared" si="26"/>
        <v>0</v>
      </c>
      <c r="AE63" s="2"/>
      <c r="AG63">
        <f t="shared" si="27"/>
        <v>2012</v>
      </c>
      <c r="AH63" s="6">
        <f t="shared" si="74"/>
        <v>0.21229676018030971</v>
      </c>
      <c r="AI63" s="7"/>
      <c r="AJ63" s="6">
        <f t="shared" si="63"/>
        <v>0.20337478262165432</v>
      </c>
      <c r="AK63" s="6">
        <f t="shared" si="63"/>
        <v>9.7988243712773204E-2</v>
      </c>
      <c r="AL63" s="7"/>
      <c r="AM63" s="6">
        <f t="shared" si="80"/>
        <v>0.1799182560461712</v>
      </c>
      <c r="AN63" s="6">
        <f t="shared" si="29"/>
        <v>0.30642195743909151</v>
      </c>
      <c r="AO63" s="6">
        <f t="shared" si="30"/>
        <v>0.99999999999999989</v>
      </c>
      <c r="AP63" s="7">
        <f t="shared" si="31"/>
        <v>0.69357804256090838</v>
      </c>
      <c r="AQ63" s="7">
        <f t="shared" si="32"/>
        <v>0</v>
      </c>
      <c r="AR63" s="24"/>
      <c r="AS63">
        <f t="shared" si="33"/>
        <v>2012</v>
      </c>
      <c r="AT63" s="1" t="b">
        <f t="shared" si="34"/>
        <v>1</v>
      </c>
      <c r="AV63" s="1" t="b">
        <f t="shared" si="71"/>
        <v>1</v>
      </c>
      <c r="AW63" s="1" t="b">
        <f t="shared" si="57"/>
        <v>1</v>
      </c>
      <c r="AY63" s="1" t="b">
        <f t="shared" si="50"/>
        <v>1</v>
      </c>
      <c r="AZ63" s="1" t="b">
        <f t="shared" si="36"/>
        <v>1</v>
      </c>
      <c r="BA63" s="1" t="b">
        <f t="shared" si="37"/>
        <v>1</v>
      </c>
      <c r="BC63">
        <f t="shared" si="38"/>
        <v>2012</v>
      </c>
      <c r="BD63" s="2">
        <f t="shared" si="39"/>
        <v>93678.263470800259</v>
      </c>
      <c r="BE63" s="2"/>
      <c r="BF63" s="2">
        <f t="shared" si="64"/>
        <v>89741.343455108901</v>
      </c>
      <c r="BG63" s="2">
        <f t="shared" si="64"/>
        <v>43238.38245939248</v>
      </c>
      <c r="BH63" s="2"/>
      <c r="BI63" s="2">
        <f>X63</f>
        <v>79390.894984856001</v>
      </c>
      <c r="BJ63" s="2">
        <f t="shared" ref="BJ63:BJ64" si="95">Y63</f>
        <v>135212.03450225765</v>
      </c>
      <c r="BK63" s="2">
        <f t="shared" si="40"/>
        <v>441260.91887241532</v>
      </c>
      <c r="BL63" s="2">
        <f t="shared" si="41"/>
        <v>0</v>
      </c>
      <c r="BM63" s="2"/>
    </row>
    <row r="64" spans="1:65" x14ac:dyDescent="0.2">
      <c r="A64">
        <f t="shared" si="6"/>
        <v>2013</v>
      </c>
      <c r="B64" s="2">
        <f t="shared" si="60"/>
        <v>123823.92865570378</v>
      </c>
      <c r="C64" s="2"/>
      <c r="D64" s="2">
        <f t="shared" si="66"/>
        <v>121150.81366439702</v>
      </c>
      <c r="E64" s="2">
        <f t="shared" si="67"/>
        <v>59504.661940615923</v>
      </c>
      <c r="F64" s="2"/>
      <c r="G64" s="2">
        <f t="shared" si="54"/>
        <v>91331.285590578336</v>
      </c>
      <c r="H64" s="2">
        <f t="shared" si="13"/>
        <v>132156.24252250663</v>
      </c>
      <c r="I64" s="2">
        <f t="shared" si="42"/>
        <v>527966.93237380171</v>
      </c>
      <c r="J64" s="2">
        <f t="shared" si="14"/>
        <v>76602.505389252212</v>
      </c>
      <c r="K64" s="6">
        <f t="shared" si="15"/>
        <v>0.16971320912685564</v>
      </c>
      <c r="L64" s="7">
        <f t="shared" si="16"/>
        <v>1.1697132091268556</v>
      </c>
      <c r="N64">
        <f t="shared" si="17"/>
        <v>2013</v>
      </c>
      <c r="O64" s="2">
        <f t="shared" si="18"/>
        <v>10220.263413827573</v>
      </c>
      <c r="P64" s="2"/>
      <c r="Q64" s="2"/>
      <c r="R64">
        <f t="shared" si="19"/>
        <v>2013</v>
      </c>
      <c r="S64" s="2">
        <f t="shared" si="68"/>
        <v>121779.87597293827</v>
      </c>
      <c r="T64" s="2"/>
      <c r="U64" s="2">
        <f t="shared" si="69"/>
        <v>119106.76098163151</v>
      </c>
      <c r="V64" s="2">
        <f t="shared" si="69"/>
        <v>57460.60925785041</v>
      </c>
      <c r="W64" s="2"/>
      <c r="X64" s="2">
        <f t="shared" si="70"/>
        <v>89287.232907812824</v>
      </c>
      <c r="Y64" s="2">
        <f t="shared" si="70"/>
        <v>130112.18983974111</v>
      </c>
      <c r="Z64" s="2">
        <f t="shared" si="22"/>
        <v>517746.66895997408</v>
      </c>
      <c r="AA64" s="2">
        <f t="shared" si="78"/>
        <v>76485.750087558758</v>
      </c>
      <c r="AB64" s="6">
        <f t="shared" si="79"/>
        <v>0.17333452117855375</v>
      </c>
      <c r="AC64" s="7">
        <f t="shared" si="25"/>
        <v>1.1733345211785537</v>
      </c>
      <c r="AD64" s="2">
        <f t="shared" si="26"/>
        <v>0</v>
      </c>
      <c r="AE64" s="2"/>
      <c r="AG64">
        <f t="shared" si="27"/>
        <v>2013</v>
      </c>
      <c r="AH64" s="6">
        <f t="shared" si="74"/>
        <v>0.23521131718252122</v>
      </c>
      <c r="AI64" s="7"/>
      <c r="AJ64" s="6">
        <f t="shared" si="63"/>
        <v>0.23004833854535026</v>
      </c>
      <c r="AK64" s="6">
        <f t="shared" si="63"/>
        <v>0.11098209356570977</v>
      </c>
      <c r="AL64" s="7"/>
      <c r="AM64" s="6">
        <f t="shared" si="80"/>
        <v>0.17245351493457012</v>
      </c>
      <c r="AN64" s="6">
        <f t="shared" si="29"/>
        <v>0.2513047357718487</v>
      </c>
      <c r="AO64" s="6">
        <f t="shared" si="30"/>
        <v>1.0000000000000002</v>
      </c>
      <c r="AP64" s="7">
        <f t="shared" si="31"/>
        <v>0.74869526422815147</v>
      </c>
      <c r="AQ64" s="7">
        <f t="shared" si="32"/>
        <v>0</v>
      </c>
      <c r="AR64" s="24"/>
      <c r="AS64">
        <f t="shared" si="33"/>
        <v>2013</v>
      </c>
      <c r="AT64" s="1" t="b">
        <f t="shared" si="34"/>
        <v>1</v>
      </c>
      <c r="AV64" s="1" t="b">
        <f t="shared" si="71"/>
        <v>1</v>
      </c>
      <c r="AW64" s="1" t="b">
        <f t="shared" si="57"/>
        <v>1</v>
      </c>
      <c r="AY64" s="1" t="b">
        <f t="shared" si="50"/>
        <v>1</v>
      </c>
      <c r="AZ64" s="1" t="b">
        <f t="shared" si="36"/>
        <v>1</v>
      </c>
      <c r="BA64" s="1" t="b">
        <f t="shared" si="37"/>
        <v>1</v>
      </c>
      <c r="BC64">
        <f t="shared" si="38"/>
        <v>2013</v>
      </c>
      <c r="BD64" s="2">
        <f t="shared" si="39"/>
        <v>121779.87597293827</v>
      </c>
      <c r="BE64" s="2"/>
      <c r="BF64" s="2">
        <f t="shared" si="64"/>
        <v>119106.76098163151</v>
      </c>
      <c r="BG64" s="2">
        <f t="shared" si="64"/>
        <v>57460.60925785041</v>
      </c>
      <c r="BH64" s="2"/>
      <c r="BI64" s="2">
        <f>X64</f>
        <v>89287.232907812824</v>
      </c>
      <c r="BJ64" s="2">
        <f t="shared" si="95"/>
        <v>130112.18983974111</v>
      </c>
      <c r="BK64" s="2">
        <f t="shared" si="40"/>
        <v>517746.66895997408</v>
      </c>
      <c r="BL64" s="2">
        <f t="shared" si="41"/>
        <v>0</v>
      </c>
      <c r="BM64" s="2"/>
    </row>
    <row r="65" spans="1:62" x14ac:dyDescent="0.2">
      <c r="A65" s="9" t="s">
        <v>78</v>
      </c>
      <c r="B65" s="10">
        <f>BD64</f>
        <v>121779.87597293827</v>
      </c>
      <c r="C65" s="10"/>
      <c r="D65" s="10">
        <f>BF64</f>
        <v>119106.76098163151</v>
      </c>
      <c r="E65" s="10">
        <f>BG64</f>
        <v>57460.60925785041</v>
      </c>
      <c r="F65" s="10"/>
      <c r="G65" s="10">
        <f>BI64</f>
        <v>89287.232907812824</v>
      </c>
      <c r="H65" s="10">
        <f>BJ64</f>
        <v>130112.18983974111</v>
      </c>
      <c r="I65" s="10">
        <f>SUM(B65:H65)</f>
        <v>517746.66895997408</v>
      </c>
      <c r="J65" s="10"/>
      <c r="K65" s="10"/>
      <c r="L65" s="74"/>
      <c r="N65" t="s">
        <v>40</v>
      </c>
      <c r="O65" s="2">
        <f>O64</f>
        <v>10220.263413827573</v>
      </c>
      <c r="P65" s="2"/>
      <c r="R65" s="9" t="s">
        <v>78</v>
      </c>
      <c r="S65" s="10">
        <f>S64</f>
        <v>121779.87597293827</v>
      </c>
      <c r="T65" s="10"/>
      <c r="U65" s="10">
        <f>U64</f>
        <v>119106.76098163151</v>
      </c>
      <c r="V65" s="10">
        <f>V64</f>
        <v>57460.60925785041</v>
      </c>
      <c r="W65" s="10"/>
      <c r="X65" s="10">
        <f>X64</f>
        <v>89287.232907812824</v>
      </c>
      <c r="Y65" s="10">
        <f>Y64</f>
        <v>130112.18983974111</v>
      </c>
      <c r="Z65" s="10">
        <f>SUM(S65:Y65)</f>
        <v>517746.66895997408</v>
      </c>
      <c r="AA65" s="10"/>
      <c r="AB65" s="10"/>
      <c r="AC65" s="74"/>
      <c r="AD65" s="10"/>
      <c r="AE65" s="43"/>
      <c r="AK65" s="7"/>
      <c r="BC65" s="21"/>
      <c r="BD65" s="22"/>
      <c r="BF65" s="22"/>
      <c r="BG65" s="22"/>
      <c r="BI65" s="22"/>
      <c r="BJ65" s="22"/>
    </row>
    <row r="66" spans="1:62" x14ac:dyDescent="0.2">
      <c r="A66" s="11" t="s">
        <v>11</v>
      </c>
      <c r="I66" s="6">
        <f>(Z65-Z39)/Z39</f>
        <v>4.1774666895997408</v>
      </c>
      <c r="K66" s="6"/>
      <c r="N66" t="s">
        <v>70</v>
      </c>
      <c r="O66" s="2">
        <f>SUM(O40:O64)</f>
        <v>197323.81127815042</v>
      </c>
      <c r="P66" s="2"/>
      <c r="AB66" s="6"/>
      <c r="AN66" s="80"/>
      <c r="BC66" s="21" t="s">
        <v>160</v>
      </c>
      <c r="BD66">
        <f>COUNTA(BD43,BD47,BD49:BD50,BD52:BD54,BD57,BD59,BD61)</f>
        <v>10</v>
      </c>
      <c r="BF66" s="22"/>
    </row>
    <row r="67" spans="1:62" x14ac:dyDescent="0.2">
      <c r="A67" s="1" t="s">
        <v>12</v>
      </c>
      <c r="I67" s="12">
        <f>STDEV(AC40:AC64)</f>
        <v>0.13692613382004259</v>
      </c>
    </row>
    <row r="68" spans="1:62" x14ac:dyDescent="0.2">
      <c r="A68" s="1" t="s">
        <v>13</v>
      </c>
      <c r="I68" s="13">
        <f>((1+I66)^(1/I75))-1</f>
        <v>6.7983867645745821E-2</v>
      </c>
    </row>
    <row r="69" spans="1:62" x14ac:dyDescent="0.2">
      <c r="A69" s="1" t="s">
        <v>82</v>
      </c>
      <c r="I69" s="31">
        <f>J60</f>
        <v>68653.794199912285</v>
      </c>
      <c r="O69" s="2"/>
      <c r="P69" s="2"/>
    </row>
    <row r="70" spans="1:62" x14ac:dyDescent="0.2">
      <c r="A70" s="1" t="s">
        <v>83</v>
      </c>
      <c r="I70" s="32">
        <f>K60</f>
        <v>0.22293329417603641</v>
      </c>
    </row>
    <row r="71" spans="1:62" x14ac:dyDescent="0.2">
      <c r="A71" s="1" t="s">
        <v>42</v>
      </c>
      <c r="I71" s="2">
        <f>O66</f>
        <v>197323.81127815042</v>
      </c>
    </row>
    <row r="72" spans="1:62" x14ac:dyDescent="0.2">
      <c r="A72" s="3" t="s">
        <v>5</v>
      </c>
      <c r="B72" s="3"/>
      <c r="C72" s="3"/>
      <c r="D72" s="3"/>
      <c r="E72" s="3"/>
      <c r="F72" s="3"/>
      <c r="G72" s="3"/>
      <c r="H72" s="3"/>
      <c r="I72" s="33">
        <f>I65-Z65</f>
        <v>0</v>
      </c>
      <c r="Z72" s="2"/>
    </row>
    <row r="73" spans="1:62" x14ac:dyDescent="0.2">
      <c r="A73" s="3" t="s">
        <v>148</v>
      </c>
      <c r="B73" s="3"/>
      <c r="C73" s="3"/>
      <c r="D73" s="3"/>
      <c r="E73" s="3"/>
      <c r="F73" s="3"/>
      <c r="G73" s="3"/>
      <c r="H73" s="3"/>
      <c r="I73" s="33">
        <f>((SUM(AA40:AA64)))-(I65-I39)</f>
        <v>0</v>
      </c>
    </row>
    <row r="74" spans="1:62" x14ac:dyDescent="0.2">
      <c r="A74" s="3" t="s">
        <v>147</v>
      </c>
      <c r="B74" s="3"/>
      <c r="C74" s="3"/>
      <c r="D74" s="3"/>
      <c r="E74" s="3"/>
      <c r="F74" s="3"/>
      <c r="G74" s="3"/>
      <c r="H74" s="3"/>
      <c r="I74" s="33">
        <f>(SUM(O40:O64))-I71</f>
        <v>0</v>
      </c>
      <c r="Z74" s="73"/>
    </row>
    <row r="75" spans="1:62" x14ac:dyDescent="0.2">
      <c r="A75" s="3" t="s">
        <v>159</v>
      </c>
      <c r="B75" s="3"/>
      <c r="C75" s="3"/>
      <c r="D75" s="3"/>
      <c r="E75" s="3"/>
      <c r="F75" s="3"/>
      <c r="G75" s="3"/>
      <c r="H75" s="3"/>
      <c r="I75" s="75">
        <f>COUNTA(I40:I64)</f>
        <v>25</v>
      </c>
    </row>
    <row r="76" spans="1:62" x14ac:dyDescent="0.2">
      <c r="A76" s="1" t="s">
        <v>105</v>
      </c>
      <c r="B76" s="63"/>
      <c r="C76" s="63"/>
      <c r="D76" s="63"/>
      <c r="E76" s="63"/>
      <c r="G76" s="63"/>
      <c r="H76" s="63"/>
      <c r="I76" s="83">
        <f>(SUM(B65:G65)/I65)</f>
        <v>0.74869526422815136</v>
      </c>
    </row>
    <row r="77" spans="1:62" x14ac:dyDescent="0.2">
      <c r="A77" s="1" t="s">
        <v>106</v>
      </c>
      <c r="B77" s="63"/>
      <c r="C77" s="63"/>
      <c r="D77" s="63"/>
      <c r="E77" s="63"/>
      <c r="G77" s="63"/>
      <c r="H77" s="63"/>
      <c r="I77" s="83">
        <f>(H65/I65)</f>
        <v>0.2513047357718487</v>
      </c>
    </row>
    <row r="78" spans="1:62" x14ac:dyDescent="0.2">
      <c r="A78" s="3" t="s">
        <v>107</v>
      </c>
      <c r="I78" s="3">
        <f>100%-(I76+I77)</f>
        <v>0</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38D6-8225-4F04-97ED-DF255C76E813}">
  <dimension ref="A1:BM78"/>
  <sheetViews>
    <sheetView topLeftCell="A59" zoomScaleNormal="100" workbookViewId="0">
      <pane xSplit="30000" topLeftCell="AV1"/>
      <selection activeCell="A76" sqref="A76:I78"/>
      <selection pane="topRight" activeCell="A30" sqref="A30"/>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332031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10.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
      <c r="A4" s="17">
        <f>'Non-Rebalanced Portfolio'!A4</f>
        <v>1989</v>
      </c>
      <c r="B4" s="17">
        <f>'Non-Rebalanced Portfolio'!B4</f>
        <v>31.36</v>
      </c>
      <c r="C4" s="19">
        <f>'Non-Rebalanced Portfolio'!C4</f>
        <v>24.096</v>
      </c>
      <c r="D4" s="17"/>
      <c r="E4" s="17"/>
      <c r="F4" s="17">
        <f>'Non-Rebalanced Portfolio'!F4</f>
        <v>25.971</v>
      </c>
      <c r="G4" s="17"/>
      <c r="H4" s="17">
        <f>'Non-Rebalanced Portfolio'!H4</f>
        <v>13.64</v>
      </c>
      <c r="N4" s="49">
        <f>'4.5% Withdrawals-No Rebalancing'!N4</f>
        <v>1989</v>
      </c>
      <c r="O4" s="50">
        <f>'4.5% Withdrawals-No Rebalancing'!O4</f>
        <v>4.5999999999999999E-2</v>
      </c>
      <c r="P4" s="44"/>
    </row>
    <row r="5" spans="1:16" x14ac:dyDescent="0.2">
      <c r="A5" s="17">
        <f>'Non-Rebalanced Portfolio'!A5</f>
        <v>1990</v>
      </c>
      <c r="B5" s="17">
        <f>'Non-Rebalanced Portfolio'!B5</f>
        <v>-3.32</v>
      </c>
      <c r="C5" s="19">
        <f>'Non-Rebalanced Portfolio'!C5</f>
        <v>-14.045</v>
      </c>
      <c r="D5" s="17"/>
      <c r="E5" s="17"/>
      <c r="F5" s="17">
        <f>'Non-Rebalanced Portfolio'!F5</f>
        <v>-12.26</v>
      </c>
      <c r="G5" s="17"/>
      <c r="H5" s="17">
        <f>'Non-Rebalanced Portfolio'!H5</f>
        <v>8.65</v>
      </c>
      <c r="N5" s="49">
        <f>'4.5% Withdrawals-No Rebalancing'!N5</f>
        <v>1990</v>
      </c>
      <c r="O5" s="50">
        <f>'4.5% Withdrawals-No Rebalancing'!O5</f>
        <v>6.3E-2</v>
      </c>
      <c r="P5" s="44"/>
    </row>
    <row r="6" spans="1:16" x14ac:dyDescent="0.2">
      <c r="A6" s="17">
        <f>'Non-Rebalanced Portfolio'!A6</f>
        <v>1991</v>
      </c>
      <c r="B6" s="17">
        <f>'Non-Rebalanced Portfolio'!B6</f>
        <v>30.22</v>
      </c>
      <c r="C6" s="19">
        <f>'Non-Rebalanced Portfolio'!C6</f>
        <v>41.85</v>
      </c>
      <c r="D6" s="17"/>
      <c r="E6" s="17"/>
      <c r="F6" s="17">
        <f>'Non-Rebalanced Portfolio'!F6</f>
        <v>9.9559999999999995</v>
      </c>
      <c r="G6" s="17"/>
      <c r="H6" s="17">
        <f>'Non-Rebalanced Portfolio'!H6</f>
        <v>15.25</v>
      </c>
      <c r="N6" s="49">
        <f>'4.5% Withdrawals-No Rebalancing'!N6</f>
        <v>1991</v>
      </c>
      <c r="O6" s="50">
        <f>'4.5% Withdrawals-No Rebalancing'!O6</f>
        <v>0.03</v>
      </c>
      <c r="P6" s="44"/>
    </row>
    <row r="7" spans="1:16" x14ac:dyDescent="0.2">
      <c r="A7" s="17">
        <f>'Non-Rebalanced Portfolio'!A7</f>
        <v>1992</v>
      </c>
      <c r="B7" s="17">
        <f>'Non-Rebalanced Portfolio'!B7</f>
        <v>7.42</v>
      </c>
      <c r="C7" s="19">
        <f>'Non-Rebalanced Portfolio'!C7</f>
        <v>12.465999999999999</v>
      </c>
      <c r="D7" s="17"/>
      <c r="E7" s="17"/>
      <c r="F7" s="17">
        <f>'Non-Rebalanced Portfolio'!F7</f>
        <v>-8.7210000000000001</v>
      </c>
      <c r="G7" s="17"/>
      <c r="H7" s="17">
        <f>'Non-Rebalanced Portfolio'!H7</f>
        <v>7.14</v>
      </c>
      <c r="N7" s="49">
        <f>'4.5% Withdrawals-No Rebalancing'!N7</f>
        <v>1992</v>
      </c>
      <c r="O7" s="50">
        <f>'4.5% Withdrawals-No Rebalancing'!O7</f>
        <v>0.03</v>
      </c>
      <c r="P7" s="44"/>
    </row>
    <row r="8" spans="1:16" x14ac:dyDescent="0.2">
      <c r="A8" s="17">
        <f>'Non-Rebalanced Portfolio'!A8</f>
        <v>1993</v>
      </c>
      <c r="B8" s="17">
        <f>'Non-Rebalanced Portfolio'!B8</f>
        <v>9.89</v>
      </c>
      <c r="C8" s="19">
        <f>'Non-Rebalanced Portfolio'!C8</f>
        <v>14.49</v>
      </c>
      <c r="D8" s="17"/>
      <c r="E8" s="17"/>
      <c r="F8" s="17">
        <f>'Non-Rebalanced Portfolio'!F8</f>
        <v>30.494</v>
      </c>
      <c r="G8" s="17"/>
      <c r="H8" s="17">
        <f>'Non-Rebalanced Portfolio'!H8</f>
        <v>9.68</v>
      </c>
      <c r="N8" s="49">
        <f>'4.5% Withdrawals-No Rebalancing'!N8</f>
        <v>1993</v>
      </c>
      <c r="O8" s="50">
        <f>'4.5% Withdrawals-No Rebalancing'!O8</f>
        <v>2.8000000000000001E-2</v>
      </c>
      <c r="P8" s="44"/>
    </row>
    <row r="9" spans="1:16" x14ac:dyDescent="0.2">
      <c r="A9" s="17">
        <f>'Non-Rebalanced Portfolio'!A9</f>
        <v>1994</v>
      </c>
      <c r="B9" s="17">
        <f>'Non-Rebalanced Portfolio'!B9</f>
        <v>1.18</v>
      </c>
      <c r="C9" s="19">
        <f>'Non-Rebalanced Portfolio'!C9</f>
        <v>-1.764</v>
      </c>
      <c r="D9" s="17"/>
      <c r="E9" s="17"/>
      <c r="F9" s="17">
        <f>'Non-Rebalanced Portfolio'!F9</f>
        <v>5.2549999999999999</v>
      </c>
      <c r="G9" s="17"/>
      <c r="H9" s="17">
        <f>'Non-Rebalanced Portfolio'!H9</f>
        <v>-2.66</v>
      </c>
      <c r="N9" s="49">
        <f>'4.5% Withdrawals-No Rebalancing'!N9</f>
        <v>1994</v>
      </c>
      <c r="O9" s="50">
        <f>'4.5% Withdrawals-No Rebalancing'!O9</f>
        <v>2.5999999999999999E-2</v>
      </c>
      <c r="P9" s="44"/>
    </row>
    <row r="10" spans="1:16" x14ac:dyDescent="0.2">
      <c r="A10" s="17">
        <f>'Non-Rebalanced Portfolio'!A10</f>
        <v>1995</v>
      </c>
      <c r="B10" s="17">
        <f>'Non-Rebalanced Portfolio'!B10</f>
        <v>37.450000000000003</v>
      </c>
      <c r="C10" s="19">
        <f>'Non-Rebalanced Portfolio'!C10</f>
        <v>33.796999999999997</v>
      </c>
      <c r="D10" s="17"/>
      <c r="E10" s="17"/>
      <c r="F10" s="17">
        <f>'Non-Rebalanced Portfolio'!F10</f>
        <v>9.6460000000000008</v>
      </c>
      <c r="G10" s="17"/>
      <c r="H10" s="17">
        <f>'Non-Rebalanced Portfolio'!H10</f>
        <v>18.18</v>
      </c>
      <c r="N10" s="49">
        <f>'4.5% Withdrawals-No Rebalancing'!N10</f>
        <v>1995</v>
      </c>
      <c r="O10" s="50">
        <f>'4.5% Withdrawals-No Rebalancing'!O10</f>
        <v>2.5000000000000001E-2</v>
      </c>
      <c r="P10" s="44"/>
    </row>
    <row r="11" spans="1:16" x14ac:dyDescent="0.2">
      <c r="A11" s="17">
        <f>'Non-Rebalanced Portfolio'!A11</f>
        <v>1996</v>
      </c>
      <c r="B11" s="17">
        <f>'Non-Rebalanced Portfolio'!B11</f>
        <v>22.88</v>
      </c>
      <c r="C11" s="19">
        <f>'Non-Rebalanced Portfolio'!C11</f>
        <v>17.646999999999998</v>
      </c>
      <c r="D11" s="17"/>
      <c r="E11" s="17"/>
      <c r="F11" s="17">
        <f>'Non-Rebalanced Portfolio'!F11</f>
        <v>10.218999999999999</v>
      </c>
      <c r="G11" s="17"/>
      <c r="H11" s="17">
        <f>'Non-Rebalanced Portfolio'!H11</f>
        <v>3.58</v>
      </c>
      <c r="N11" s="49">
        <f>'4.5% Withdrawals-No Rebalancing'!N11</f>
        <v>1996</v>
      </c>
      <c r="O11" s="50">
        <f>'4.5% Withdrawals-No Rebalancing'!O11</f>
        <v>3.4000000000000002E-2</v>
      </c>
      <c r="P11" s="44"/>
    </row>
    <row r="12" spans="1:16" x14ac:dyDescent="0.2">
      <c r="A12" s="17">
        <f>'Non-Rebalanced Portfolio'!A12</f>
        <v>1997</v>
      </c>
      <c r="B12" s="17">
        <f>'Non-Rebalanced Portfolio'!B12</f>
        <v>33.19</v>
      </c>
      <c r="C12" s="19">
        <f>'Non-Rebalanced Portfolio'!C12</f>
        <v>26.687000000000001</v>
      </c>
      <c r="D12" s="17"/>
      <c r="E12" s="17"/>
      <c r="F12" s="17">
        <f>'Non-Rebalanced Portfolio'!F12</f>
        <v>0</v>
      </c>
      <c r="G12" s="17">
        <f>'Non-Rebalanced Portfolio'!G12</f>
        <v>-0.77500000000000002</v>
      </c>
      <c r="H12" s="17">
        <f>'Non-Rebalanced Portfolio'!H12</f>
        <v>9.44</v>
      </c>
      <c r="N12" s="49">
        <f>'4.5% Withdrawals-No Rebalancing'!N12</f>
        <v>1997</v>
      </c>
      <c r="O12" s="50">
        <f>'4.5% Withdrawals-No Rebalancing'!O12</f>
        <v>1.7000000000000001E-2</v>
      </c>
      <c r="P12" s="44"/>
    </row>
    <row r="13" spans="1:16" x14ac:dyDescent="0.2">
      <c r="A13" s="17">
        <f>'Non-Rebalanced Portfolio'!A13</f>
        <v>1998</v>
      </c>
      <c r="B13" s="17">
        <f>'Non-Rebalanced Portfolio'!B13</f>
        <v>28.66</v>
      </c>
      <c r="C13" s="19">
        <f>'Non-Rebalanced Portfolio'!C13</f>
        <v>8.3529999999999998</v>
      </c>
      <c r="D13" s="17"/>
      <c r="E13" s="17"/>
      <c r="F13" s="17"/>
      <c r="G13" s="17">
        <f>'Non-Rebalanced Portfolio'!G13</f>
        <v>15.603</v>
      </c>
      <c r="H13" s="17">
        <f>'Non-Rebalanced Portfolio'!H13</f>
        <v>8.58</v>
      </c>
      <c r="N13" s="49">
        <f>'4.5% Withdrawals-No Rebalancing'!N13</f>
        <v>1998</v>
      </c>
      <c r="O13" s="50">
        <f>'4.5% Withdrawals-No Rebalancing'!O13</f>
        <v>1.6E-2</v>
      </c>
      <c r="P13" s="44"/>
    </row>
    <row r="14" spans="1:16" x14ac:dyDescent="0.2">
      <c r="A14" s="17">
        <f>'Non-Rebalanced Portfolio'!A14</f>
        <v>1999</v>
      </c>
      <c r="B14" s="17">
        <f>'Non-Rebalanced Portfolio'!B14</f>
        <v>21.07</v>
      </c>
      <c r="C14" s="19">
        <f>'Non-Rebalanced Portfolio'!C14</f>
        <v>0</v>
      </c>
      <c r="D14" s="17">
        <f>'Non-Rebalanced Portfolio'!D14</f>
        <v>15.319000000000001</v>
      </c>
      <c r="E14" s="17">
        <f>'Non-Rebalanced Portfolio'!E14</f>
        <v>23.132999999999999</v>
      </c>
      <c r="F14" s="17"/>
      <c r="G14" s="17">
        <f>'Non-Rebalanced Portfolio'!G14</f>
        <v>29.919</v>
      </c>
      <c r="H14" s="17">
        <f>'Non-Rebalanced Portfolio'!H14</f>
        <v>-0.76</v>
      </c>
      <c r="N14" s="49">
        <f>'4.5% Withdrawals-No Rebalancing'!N14</f>
        <v>1999</v>
      </c>
      <c r="O14" s="50">
        <f>'4.5% Withdrawals-No Rebalancing'!O14</f>
        <v>2.7E-2</v>
      </c>
      <c r="P14" s="44"/>
    </row>
    <row r="15" spans="1:16" x14ac:dyDescent="0.2">
      <c r="A15" s="17">
        <f>'Non-Rebalanced Portfolio'!A15</f>
        <v>2000</v>
      </c>
      <c r="B15" s="17">
        <f>'Non-Rebalanced Portfolio'!B15</f>
        <v>-9.06</v>
      </c>
      <c r="C15" s="17"/>
      <c r="D15" s="17">
        <f>'Non-Rebalanced Portfolio'!D15</f>
        <v>18.097999999999999</v>
      </c>
      <c r="E15" s="17">
        <f>'Non-Rebalanced Portfolio'!E15</f>
        <v>-2.665</v>
      </c>
      <c r="F15" s="17"/>
      <c r="G15" s="17">
        <f>'Non-Rebalanced Portfolio'!G15</f>
        <v>-15.614000000000001</v>
      </c>
      <c r="H15" s="17">
        <f>'Non-Rebalanced Portfolio'!H15</f>
        <v>11.39</v>
      </c>
      <c r="N15" s="49">
        <f>'4.5% Withdrawals-No Rebalancing'!N15</f>
        <v>2000</v>
      </c>
      <c r="O15" s="50">
        <f>'4.5% Withdrawals-No Rebalancing'!O15</f>
        <v>3.4000000000000002E-2</v>
      </c>
      <c r="P15" s="44"/>
    </row>
    <row r="16" spans="1:16"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c r="N16" s="49">
        <f>'4.5% Withdrawals-No Rebalancing'!N16</f>
        <v>2001</v>
      </c>
      <c r="O16" s="50">
        <f>'4.5% Withdrawals-No Rebalancing'!O16</f>
        <v>1.6E-2</v>
      </c>
      <c r="P16" s="44"/>
    </row>
    <row r="17" spans="1:16"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c r="N17" s="49">
        <f>'4.5% Withdrawals-No Rebalancing'!N17</f>
        <v>2002</v>
      </c>
      <c r="O17" s="50">
        <f>'4.5% Withdrawals-No Rebalancing'!O17</f>
        <v>2.5000000000000001E-2</v>
      </c>
      <c r="P17" s="44"/>
    </row>
    <row r="18" spans="1:16"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c r="N18" s="49">
        <f>'4.5% Withdrawals-No Rebalancing'!N18</f>
        <v>2003</v>
      </c>
      <c r="O18" s="50">
        <f>'4.5% Withdrawals-No Rebalancing'!O18</f>
        <v>0.02</v>
      </c>
      <c r="P18" s="44"/>
    </row>
    <row r="19" spans="1:16"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c r="N19" s="49">
        <f>'4.5% Withdrawals-No Rebalancing'!N19</f>
        <v>2004</v>
      </c>
      <c r="O19" s="50">
        <f>'4.5% Withdrawals-No Rebalancing'!O19</f>
        <v>3.3000000000000002E-2</v>
      </c>
      <c r="P19" s="44"/>
    </row>
    <row r="20" spans="1:16"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c r="N20" s="49">
        <f>'4.5% Withdrawals-No Rebalancing'!N20</f>
        <v>2005</v>
      </c>
      <c r="O20" s="50">
        <f>'4.5% Withdrawals-No Rebalancing'!O20</f>
        <v>3.3000000000000002E-2</v>
      </c>
      <c r="P20" s="44"/>
    </row>
    <row r="21" spans="1:16"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c r="N21" s="49">
        <f>'4.5% Withdrawals-No Rebalancing'!N21</f>
        <v>2006</v>
      </c>
      <c r="O21" s="50">
        <f>'4.5% Withdrawals-No Rebalancing'!O21</f>
        <v>2.5000000000000001E-2</v>
      </c>
      <c r="P21" s="44"/>
    </row>
    <row r="22" spans="1:16"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c r="N22" s="49">
        <f>'4.5% Withdrawals-No Rebalancing'!N22</f>
        <v>2007</v>
      </c>
      <c r="O22" s="50">
        <f>'4.5% Withdrawals-No Rebalancing'!O22</f>
        <v>4.1000000000000002E-2</v>
      </c>
      <c r="P22" s="44"/>
    </row>
    <row r="23" spans="1:16"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c r="N23" s="49">
        <f>'4.5% Withdrawals-No Rebalancing'!N23</f>
        <v>2008</v>
      </c>
      <c r="O23" s="50">
        <f>'4.5% Withdrawals-No Rebalancing'!O23</f>
        <v>0</v>
      </c>
      <c r="P23" s="44"/>
    </row>
    <row r="24" spans="1:16"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c r="N24" s="49">
        <f>'4.5% Withdrawals-No Rebalancing'!N24</f>
        <v>2009</v>
      </c>
      <c r="O24" s="50">
        <f>'4.5% Withdrawals-No Rebalancing'!O24</f>
        <v>2.8000000000000001E-2</v>
      </c>
      <c r="P24" s="44"/>
    </row>
    <row r="25" spans="1:16"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c r="N25" s="49">
        <f>'4.5% Withdrawals-No Rebalancing'!N25</f>
        <v>2010</v>
      </c>
      <c r="O25" s="50">
        <f>'4.5% Withdrawals-No Rebalancing'!O25</f>
        <v>1.4E-2</v>
      </c>
      <c r="P25" s="44"/>
    </row>
    <row r="26" spans="1:16"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c r="N26" s="49">
        <f>'4.5% Withdrawals-No Rebalancing'!N26</f>
        <v>2011</v>
      </c>
      <c r="O26" s="50">
        <f>'4.5% Withdrawals-No Rebalancing'!O26</f>
        <v>0.03</v>
      </c>
      <c r="P26" s="44"/>
    </row>
    <row r="27" spans="1:16"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c r="N27" s="49">
        <f>'4.5% Withdrawals-No Rebalancing'!N27</f>
        <v>2012</v>
      </c>
      <c r="O27" s="50">
        <f>'4.5% Withdrawals-No Rebalancing'!O27</f>
        <v>1.7999999999999999E-2</v>
      </c>
    </row>
    <row r="28" spans="1:16" x14ac:dyDescent="0.2">
      <c r="A28" s="17">
        <f>'Non-Rebalanced Portfolio'!A28</f>
        <v>2013</v>
      </c>
      <c r="B28" s="17">
        <f>'Non-Rebalanced Portfolio'!B28</f>
        <v>32.18</v>
      </c>
      <c r="C28" s="17"/>
      <c r="D28" s="17">
        <f>'Non-Rebalanced Portfolio'!D28</f>
        <v>35</v>
      </c>
      <c r="E28" s="17">
        <f>'Non-Rebalanced Portfolio'!E28</f>
        <v>37.619999999999997</v>
      </c>
      <c r="F28" s="17"/>
      <c r="G28" s="17">
        <f>'Non-Rebalanced Portfolio'!G28</f>
        <v>15.04</v>
      </c>
      <c r="H28" s="17">
        <f>'Non-Rebalanced Portfolio'!H28</f>
        <v>-2.2599999999999998</v>
      </c>
      <c r="N28" s="49">
        <f>'4.5% Withdrawals-No Rebalancing'!N28</f>
        <v>2013</v>
      </c>
      <c r="O28" s="50">
        <f>'4.5% Withdrawals-No Rebalancing'!O28</f>
        <v>1.15559170535223E-2</v>
      </c>
    </row>
    <row r="29" spans="1:16" x14ac:dyDescent="0.2">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2014</v>
      </c>
      <c r="O29" s="50">
        <f>'4.5% Withdrawals-No Rebalancing'!O29</f>
        <v>1.29E-2</v>
      </c>
    </row>
    <row r="30" spans="1:16" x14ac:dyDescent="0.2">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2015</v>
      </c>
      <c r="O30" s="50">
        <f>'4.5% Withdrawals-No Rebalancing'!O30</f>
        <v>4.4000000000000003E-3</v>
      </c>
    </row>
    <row r="31" spans="1:16" x14ac:dyDescent="0.2">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2016</v>
      </c>
      <c r="O31" s="50">
        <f>'4.5% Withdrawals-No Rebalancing'!O31</f>
        <v>1.7000000000000001E-2</v>
      </c>
    </row>
    <row r="32" spans="1:16" x14ac:dyDescent="0.2">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2017</v>
      </c>
      <c r="O32" s="50">
        <f>'4.5% Withdrawals-No Rebalancing'!O32</f>
        <v>2.23E-2</v>
      </c>
    </row>
    <row r="33" spans="1:65"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65" x14ac:dyDescent="0.2">
      <c r="A36" s="20" t="s">
        <v>156</v>
      </c>
      <c r="N36" s="20" t="s">
        <v>25</v>
      </c>
      <c r="R36" s="20" t="s">
        <v>157</v>
      </c>
      <c r="AG36" s="20" t="s">
        <v>158</v>
      </c>
      <c r="AS36" s="20" t="s">
        <v>7</v>
      </c>
      <c r="BC36" s="20" t="s">
        <v>155</v>
      </c>
    </row>
    <row r="37" spans="1:65"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88</v>
      </c>
    </row>
    <row r="38" spans="1:65"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72</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87</v>
      </c>
    </row>
    <row r="39" spans="1:65" x14ac:dyDescent="0.2">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86</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65" x14ac:dyDescent="0.2">
      <c r="A40">
        <f t="shared" ref="A40:A64" si="6">A4</f>
        <v>1989</v>
      </c>
      <c r="B40" s="2">
        <f>B39*(1+(B4/100))</f>
        <v>26272.000000000004</v>
      </c>
      <c r="C40" s="2">
        <f>C39*(1+(C4/100))</f>
        <v>37228.800000000003</v>
      </c>
      <c r="D40" s="2"/>
      <c r="E40" s="2"/>
      <c r="F40" s="2">
        <f>F39*(1+(F4/100))</f>
        <v>25194.2</v>
      </c>
      <c r="G40" s="2"/>
      <c r="H40" s="2">
        <f>H39*(1+(H4/100))</f>
        <v>34092</v>
      </c>
      <c r="I40" s="2">
        <f>SUM(B40:H40)</f>
        <v>122787</v>
      </c>
      <c r="J40" s="2">
        <f>I40-I39</f>
        <v>22787</v>
      </c>
      <c r="K40" s="6">
        <f>(J40/I39)</f>
        <v>0.22786999999999999</v>
      </c>
      <c r="L40" s="7">
        <f>K40+1</f>
        <v>1.22787</v>
      </c>
      <c r="N40">
        <f>A40</f>
        <v>1989</v>
      </c>
      <c r="O40" s="2">
        <f>I40*0.04</f>
        <v>4911.4800000000005</v>
      </c>
      <c r="P40" s="2"/>
      <c r="Q40" s="2"/>
      <c r="R40">
        <f>A40</f>
        <v>1989</v>
      </c>
      <c r="S40" s="2">
        <f>B40-($O40/4)</f>
        <v>25044.130000000005</v>
      </c>
      <c r="T40" s="2">
        <f>C40-($O40/4)</f>
        <v>36000.93</v>
      </c>
      <c r="U40" s="2"/>
      <c r="V40" s="2"/>
      <c r="W40" s="2">
        <f t="shared" ref="W40:W47" si="7">F40-($O40/4)</f>
        <v>23966.33</v>
      </c>
      <c r="X40" s="2"/>
      <c r="Y40" s="2">
        <f>H40-($O40/4)</f>
        <v>32864.129999999997</v>
      </c>
      <c r="Z40" s="2">
        <f>SUM(S40:Y40)</f>
        <v>117875.52000000002</v>
      </c>
      <c r="AA40" s="2">
        <f>Z40-Z39</f>
        <v>17875.520000000019</v>
      </c>
      <c r="AB40" s="6">
        <f>(AA40/Z39)</f>
        <v>0.1787552000000002</v>
      </c>
      <c r="AC40" s="7">
        <f>AB40+1</f>
        <v>1.1787552000000001</v>
      </c>
      <c r="AD40" s="2">
        <f>Z40-(I40-O40)</f>
        <v>0</v>
      </c>
      <c r="AE40" s="2"/>
      <c r="AG40">
        <f>A40</f>
        <v>1989</v>
      </c>
      <c r="AH40" s="6">
        <f t="shared" si="5"/>
        <v>0.21246251978358188</v>
      </c>
      <c r="AI40" s="6">
        <f t="shared" si="5"/>
        <v>0.30541481386465991</v>
      </c>
      <c r="AJ40" s="7"/>
      <c r="AK40" s="7"/>
      <c r="AL40" s="6">
        <f>W40/$Z40</f>
        <v>0.20331897581448632</v>
      </c>
      <c r="AM40" s="7"/>
      <c r="AN40" s="6">
        <f>Y40/$Z40</f>
        <v>0.27880369053727178</v>
      </c>
      <c r="AO40" s="6">
        <f>SUM(AH40:AN40)</f>
        <v>1</v>
      </c>
      <c r="AP40" s="7">
        <f>SUM(AH40:AM40)</f>
        <v>0.72119630946272817</v>
      </c>
      <c r="AQ40" s="7">
        <f>AO40-(AP40+AN40)</f>
        <v>0</v>
      </c>
      <c r="AR40" s="24"/>
      <c r="AS40">
        <f>AG40</f>
        <v>1989</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1989</v>
      </c>
      <c r="BD40" s="2">
        <f t="shared" ref="BD40:BE50" si="9">$BK40*BD$39</f>
        <v>23575.104000000007</v>
      </c>
      <c r="BE40" s="2">
        <f t="shared" si="9"/>
        <v>35362.656000000003</v>
      </c>
      <c r="BF40" s="2"/>
      <c r="BG40" s="2"/>
      <c r="BH40" s="2">
        <f t="shared" ref="BH40:BH47" si="10">$BK40*BH$39</f>
        <v>23575.104000000007</v>
      </c>
      <c r="BI40" s="2"/>
      <c r="BJ40" s="2">
        <f t="shared" ref="BJ40:BJ64" si="11">$BK40*BJ$39</f>
        <v>35362.656000000003</v>
      </c>
      <c r="BK40" s="2">
        <f>Z40</f>
        <v>117875.52000000002</v>
      </c>
      <c r="BL40" s="2">
        <f>SUM(BD40:BJ40)-Z40</f>
        <v>0</v>
      </c>
      <c r="BM40" s="2"/>
    </row>
    <row r="41" spans="1:65" x14ac:dyDescent="0.2">
      <c r="A41">
        <f t="shared" si="6"/>
        <v>1990</v>
      </c>
      <c r="B41" s="2">
        <f t="shared" ref="B41:B50" si="12">BD40*(1+(B5/100))</f>
        <v>22792.410547200005</v>
      </c>
      <c r="C41" s="2">
        <f t="shared" ref="C41:C49" si="13">BE40*(1+(C5/100))</f>
        <v>30395.970964800003</v>
      </c>
      <c r="D41" s="2"/>
      <c r="E41" s="2"/>
      <c r="F41" s="2">
        <f t="shared" ref="F41:F47" si="14">BH40*(1+(F5/100))</f>
        <v>20684.796249600004</v>
      </c>
      <c r="G41" s="2"/>
      <c r="H41" s="2">
        <f t="shared" ref="H41:H64" si="15">BJ40*(1+(H5/100))</f>
        <v>38421.525744000006</v>
      </c>
      <c r="I41" s="2">
        <f>SUM(B41:H41)</f>
        <v>112294.70350560002</v>
      </c>
      <c r="J41" s="2">
        <f t="shared" ref="J41:J64" si="16">I41-I40</f>
        <v>-10492.296494399983</v>
      </c>
      <c r="K41" s="6">
        <f t="shared" ref="K41:K64" si="17">(J41/I40)</f>
        <v>-8.5451199999999866E-2</v>
      </c>
      <c r="L41" s="7">
        <f t="shared" ref="L41:L64" si="18">K41+1</f>
        <v>0.91454880000000016</v>
      </c>
      <c r="N41">
        <f t="shared" ref="N41:N64" si="19">A41</f>
        <v>1990</v>
      </c>
      <c r="O41" s="2">
        <f t="shared" ref="O41:O64" si="20">O40*(1+O5)</f>
        <v>5220.9032400000006</v>
      </c>
      <c r="P41" s="2"/>
      <c r="Q41" s="2"/>
      <c r="R41">
        <f t="shared" ref="R41:R64" si="21">A41</f>
        <v>1990</v>
      </c>
      <c r="S41" s="2">
        <f t="shared" ref="S41:T49" si="22">B41-($O41/4)</f>
        <v>21487.184737200005</v>
      </c>
      <c r="T41" s="2">
        <f t="shared" si="22"/>
        <v>29090.745154800003</v>
      </c>
      <c r="U41" s="2"/>
      <c r="V41" s="2"/>
      <c r="W41" s="2">
        <f t="shared" si="7"/>
        <v>19379.570439600004</v>
      </c>
      <c r="X41" s="2"/>
      <c r="Y41" s="2">
        <f t="shared" ref="Y41:Y49" si="23">H41-($O41/4)</f>
        <v>37116.299934000002</v>
      </c>
      <c r="Z41" s="2">
        <f t="shared" ref="Z41:Z64" si="24">SUM(S41:Y41)</f>
        <v>107073.8002656</v>
      </c>
      <c r="AA41" s="2">
        <f t="shared" ref="AA41:AA55" si="25">Z41-Z40</f>
        <v>-10801.719734400016</v>
      </c>
      <c r="AB41" s="6">
        <f t="shared" ref="AB41:AB55" si="26">(AA41/Z40)</f>
        <v>-9.1636666666666783E-2</v>
      </c>
      <c r="AC41" s="7">
        <f t="shared" ref="AC41:AC64" si="27">AB41+1</f>
        <v>0.90836333333333319</v>
      </c>
      <c r="AD41" s="2">
        <f t="shared" ref="AD41:AD64" si="28">Z41-(I41-O41)</f>
        <v>0</v>
      </c>
      <c r="AE41" s="2"/>
      <c r="AG41">
        <f t="shared" ref="AG41:AG64" si="29">A41</f>
        <v>1990</v>
      </c>
      <c r="AH41" s="6">
        <f t="shared" si="5"/>
        <v>0.20067639967854276</v>
      </c>
      <c r="AI41" s="6">
        <f t="shared" si="5"/>
        <v>0.27168873321615067</v>
      </c>
      <c r="AJ41" s="7"/>
      <c r="AK41" s="7"/>
      <c r="AL41" s="6">
        <f t="shared" ref="AL41:AM56" si="30">W41/$Z41</f>
        <v>0.1809926461144403</v>
      </c>
      <c r="AM41" s="7"/>
      <c r="AN41" s="6">
        <f t="shared" ref="AN41:AN64" si="31">Y41/$Z41</f>
        <v>0.34664222099086639</v>
      </c>
      <c r="AO41" s="6">
        <f t="shared" ref="AO41:AO64" si="32">SUM(AH41:AN41)</f>
        <v>1</v>
      </c>
      <c r="AP41" s="7">
        <f t="shared" ref="AP41:AP64" si="33">SUM(AH41:AM41)</f>
        <v>0.65335777900913372</v>
      </c>
      <c r="AQ41" s="7">
        <f t="shared" ref="AQ41:AQ64" si="34">AO41-(AP41+AN41)</f>
        <v>0</v>
      </c>
      <c r="AR41" s="24"/>
      <c r="AS41">
        <f t="shared" ref="AS41:AS64" si="35">AG41</f>
        <v>1990</v>
      </c>
      <c r="AT41" s="1" t="b">
        <f t="shared" ref="AT41:AT64" si="36">AND((S41/$Z41)&gt;0.15,(S41/$Z41)&lt;0.25)</f>
        <v>1</v>
      </c>
      <c r="AU41" s="1" t="b">
        <f t="shared" ref="AU41:AU50" si="37">AND((T41/$Z41)&gt;0.25,(T41/$Z41)&lt;0.35)</f>
        <v>1</v>
      </c>
      <c r="AX41" s="1" t="b">
        <f t="shared" si="8"/>
        <v>1</v>
      </c>
      <c r="AZ41" s="1" t="b">
        <f t="shared" ref="AZ41:AZ64" si="38">AND((Y41/$Z41)&gt;0.25,(Y41/$Z41)&lt;0.35)</f>
        <v>1</v>
      </c>
      <c r="BA41" s="1" t="b">
        <f t="shared" ref="BA41:BA64" si="39">AND((Z41/$Z41)&gt;0.999,(Z41/$Z41)&lt;1.01)</f>
        <v>1</v>
      </c>
      <c r="BC41">
        <f t="shared" ref="BC41:BC64" si="40">AS41</f>
        <v>1990</v>
      </c>
      <c r="BD41" s="2">
        <f t="shared" si="9"/>
        <v>21414.760053120001</v>
      </c>
      <c r="BE41" s="2">
        <f t="shared" si="9"/>
        <v>32122.140079680001</v>
      </c>
      <c r="BF41" s="2"/>
      <c r="BG41" s="2"/>
      <c r="BH41" s="2">
        <f t="shared" si="10"/>
        <v>21414.760053120001</v>
      </c>
      <c r="BI41" s="2"/>
      <c r="BJ41" s="2">
        <f t="shared" si="11"/>
        <v>32122.140079680001</v>
      </c>
      <c r="BK41" s="2">
        <f t="shared" ref="BK41:BK64" si="41">Z41</f>
        <v>107073.8002656</v>
      </c>
      <c r="BL41" s="2">
        <f t="shared" ref="BL41:BL64" si="42">SUM(BD41:BJ41)-Z41</f>
        <v>0</v>
      </c>
      <c r="BM41" s="2"/>
    </row>
    <row r="42" spans="1:65" x14ac:dyDescent="0.2">
      <c r="A42">
        <f t="shared" si="6"/>
        <v>1991</v>
      </c>
      <c r="B42" s="2">
        <f t="shared" si="12"/>
        <v>27886.300541172866</v>
      </c>
      <c r="C42" s="2">
        <f t="shared" si="13"/>
        <v>45565.255703026087</v>
      </c>
      <c r="D42" s="2"/>
      <c r="E42" s="2"/>
      <c r="F42" s="2">
        <f t="shared" si="14"/>
        <v>23546.813564008629</v>
      </c>
      <c r="G42" s="2"/>
      <c r="H42" s="2">
        <f t="shared" si="15"/>
        <v>37020.766441831205</v>
      </c>
      <c r="I42" s="2">
        <f t="shared" ref="I42:I64" si="43">SUM(B42:H42)</f>
        <v>134019.13625003881</v>
      </c>
      <c r="J42" s="2">
        <f t="shared" si="16"/>
        <v>21724.432744438789</v>
      </c>
      <c r="K42" s="6">
        <f t="shared" si="17"/>
        <v>0.19345910418077211</v>
      </c>
      <c r="L42" s="7">
        <f t="shared" si="18"/>
        <v>1.1934591041807721</v>
      </c>
      <c r="N42">
        <f t="shared" si="19"/>
        <v>1991</v>
      </c>
      <c r="O42" s="2">
        <f t="shared" si="20"/>
        <v>5377.5303372000008</v>
      </c>
      <c r="P42" s="2"/>
      <c r="Q42" s="2"/>
      <c r="R42">
        <f t="shared" si="21"/>
        <v>1991</v>
      </c>
      <c r="S42" s="2">
        <f t="shared" si="22"/>
        <v>26541.917956872865</v>
      </c>
      <c r="T42" s="2">
        <f t="shared" si="22"/>
        <v>44220.873118726086</v>
      </c>
      <c r="U42" s="2"/>
      <c r="V42" s="2"/>
      <c r="W42" s="2">
        <f t="shared" si="7"/>
        <v>22202.430979708628</v>
      </c>
      <c r="X42" s="2"/>
      <c r="Y42" s="2">
        <f t="shared" si="23"/>
        <v>35676.383857531204</v>
      </c>
      <c r="Z42" s="2">
        <f t="shared" si="24"/>
        <v>128641.60591283877</v>
      </c>
      <c r="AA42" s="2">
        <f t="shared" si="25"/>
        <v>21567.805647238769</v>
      </c>
      <c r="AB42" s="6">
        <f t="shared" si="26"/>
        <v>0.20142934680322483</v>
      </c>
      <c r="AC42" s="7">
        <f t="shared" si="27"/>
        <v>1.2014293468032249</v>
      </c>
      <c r="AD42" s="2">
        <f t="shared" si="28"/>
        <v>0</v>
      </c>
      <c r="AE42" s="2"/>
      <c r="AG42">
        <f t="shared" si="29"/>
        <v>1991</v>
      </c>
      <c r="AH42" s="6">
        <f t="shared" si="5"/>
        <v>0.20632452283638594</v>
      </c>
      <c r="AI42" s="6">
        <f t="shared" si="5"/>
        <v>0.34375249597465363</v>
      </c>
      <c r="AJ42" s="7"/>
      <c r="AK42" s="7"/>
      <c r="AL42" s="6">
        <f t="shared" si="30"/>
        <v>0.17259136981508069</v>
      </c>
      <c r="AM42" s="7"/>
      <c r="AN42" s="6">
        <f t="shared" si="31"/>
        <v>0.27733161137387985</v>
      </c>
      <c r="AO42" s="6">
        <f t="shared" si="32"/>
        <v>1</v>
      </c>
      <c r="AP42" s="7">
        <f t="shared" si="33"/>
        <v>0.72266838862612026</v>
      </c>
      <c r="AQ42" s="7">
        <f t="shared" si="34"/>
        <v>0</v>
      </c>
      <c r="AR42" s="24"/>
      <c r="AS42">
        <f t="shared" si="35"/>
        <v>1991</v>
      </c>
      <c r="AT42" s="1" t="b">
        <f t="shared" si="36"/>
        <v>1</v>
      </c>
      <c r="AU42" s="1" t="b">
        <f t="shared" si="37"/>
        <v>1</v>
      </c>
      <c r="AX42" s="1" t="b">
        <f t="shared" si="8"/>
        <v>1</v>
      </c>
      <c r="AZ42" s="1" t="b">
        <f t="shared" si="38"/>
        <v>1</v>
      </c>
      <c r="BA42" s="1" t="b">
        <f t="shared" si="39"/>
        <v>1</v>
      </c>
      <c r="BC42">
        <f t="shared" si="40"/>
        <v>1991</v>
      </c>
      <c r="BD42" s="2">
        <f t="shared" si="9"/>
        <v>25728.321182567757</v>
      </c>
      <c r="BE42" s="2">
        <f t="shared" si="9"/>
        <v>38592.481773851629</v>
      </c>
      <c r="BF42" s="2"/>
      <c r="BG42" s="2"/>
      <c r="BH42" s="2">
        <f t="shared" si="10"/>
        <v>25728.321182567757</v>
      </c>
      <c r="BI42" s="2"/>
      <c r="BJ42" s="2">
        <f t="shared" si="11"/>
        <v>38592.481773851629</v>
      </c>
      <c r="BK42" s="2">
        <f t="shared" si="41"/>
        <v>128641.60591283877</v>
      </c>
      <c r="BL42" s="2">
        <f t="shared" si="42"/>
        <v>0</v>
      </c>
      <c r="BM42" s="2"/>
    </row>
    <row r="43" spans="1:65" x14ac:dyDescent="0.2">
      <c r="A43">
        <f t="shared" si="6"/>
        <v>1992</v>
      </c>
      <c r="B43" s="2">
        <f t="shared" si="12"/>
        <v>27637.362614314286</v>
      </c>
      <c r="C43" s="2">
        <f t="shared" si="13"/>
        <v>43403.420551779971</v>
      </c>
      <c r="D43" s="2"/>
      <c r="E43" s="2"/>
      <c r="F43" s="2">
        <f t="shared" si="14"/>
        <v>23484.554292236022</v>
      </c>
      <c r="G43" s="2"/>
      <c r="H43" s="2">
        <f t="shared" si="15"/>
        <v>41347.98497250463</v>
      </c>
      <c r="I43" s="2">
        <f t="shared" si="43"/>
        <v>135873.3224308349</v>
      </c>
      <c r="J43" s="2">
        <f t="shared" si="16"/>
        <v>1854.1861807960959</v>
      </c>
      <c r="K43" s="6">
        <f t="shared" si="17"/>
        <v>1.3835234524543945E-2</v>
      </c>
      <c r="L43" s="7">
        <f t="shared" si="18"/>
        <v>1.013835234524544</v>
      </c>
      <c r="N43">
        <f t="shared" si="19"/>
        <v>1992</v>
      </c>
      <c r="O43" s="2">
        <f t="shared" si="20"/>
        <v>5538.8562473160009</v>
      </c>
      <c r="P43" s="2"/>
      <c r="Q43" s="2"/>
      <c r="R43">
        <f t="shared" si="21"/>
        <v>1992</v>
      </c>
      <c r="S43" s="2">
        <f t="shared" si="22"/>
        <v>26252.648552485287</v>
      </c>
      <c r="T43" s="2">
        <f t="shared" si="22"/>
        <v>42018.706489950971</v>
      </c>
      <c r="U43" s="2"/>
      <c r="V43" s="2"/>
      <c r="W43" s="2">
        <f t="shared" si="7"/>
        <v>22099.840230407022</v>
      </c>
      <c r="X43" s="2"/>
      <c r="Y43" s="2">
        <f t="shared" si="23"/>
        <v>39963.27091067563</v>
      </c>
      <c r="Z43" s="2">
        <f t="shared" si="24"/>
        <v>130334.4661835189</v>
      </c>
      <c r="AA43" s="2">
        <f t="shared" si="25"/>
        <v>1692.8602706801321</v>
      </c>
      <c r="AB43" s="6">
        <f t="shared" si="26"/>
        <v>1.3159508221835562E-2</v>
      </c>
      <c r="AC43" s="7">
        <f t="shared" si="27"/>
        <v>1.0131595082218356</v>
      </c>
      <c r="AD43" s="2">
        <f t="shared" si="28"/>
        <v>0</v>
      </c>
      <c r="AE43" s="2"/>
      <c r="AG43">
        <f t="shared" si="29"/>
        <v>1992</v>
      </c>
      <c r="AH43" s="6">
        <f t="shared" si="5"/>
        <v>0.20142522021396819</v>
      </c>
      <c r="AI43" s="6">
        <f t="shared" si="5"/>
        <v>0.32239136523401307</v>
      </c>
      <c r="AJ43" s="7"/>
      <c r="AK43" s="7"/>
      <c r="AL43" s="6">
        <f t="shared" si="30"/>
        <v>0.16956251770954503</v>
      </c>
      <c r="AM43" s="7"/>
      <c r="AN43" s="6">
        <f t="shared" si="31"/>
        <v>0.30662089684247373</v>
      </c>
      <c r="AO43" s="6">
        <f t="shared" si="32"/>
        <v>1</v>
      </c>
      <c r="AP43" s="7">
        <f t="shared" si="33"/>
        <v>0.69337910315752627</v>
      </c>
      <c r="AQ43" s="7">
        <f t="shared" si="34"/>
        <v>0</v>
      </c>
      <c r="AR43" s="24"/>
      <c r="AS43">
        <f t="shared" si="35"/>
        <v>1992</v>
      </c>
      <c r="AT43" s="1" t="b">
        <f t="shared" si="36"/>
        <v>1</v>
      </c>
      <c r="AU43" s="1" t="b">
        <f t="shared" si="37"/>
        <v>1</v>
      </c>
      <c r="AX43" s="1" t="b">
        <f t="shared" si="8"/>
        <v>1</v>
      </c>
      <c r="AZ43" s="1" t="b">
        <f t="shared" si="38"/>
        <v>1</v>
      </c>
      <c r="BA43" s="1" t="b">
        <f t="shared" si="39"/>
        <v>1</v>
      </c>
      <c r="BC43">
        <f t="shared" si="40"/>
        <v>1992</v>
      </c>
      <c r="BD43" s="2">
        <f t="shared" si="9"/>
        <v>26066.893236703781</v>
      </c>
      <c r="BE43" s="2">
        <f t="shared" si="9"/>
        <v>39100.339855055667</v>
      </c>
      <c r="BF43" s="2"/>
      <c r="BG43" s="2"/>
      <c r="BH43" s="2">
        <f t="shared" si="10"/>
        <v>26066.893236703781</v>
      </c>
      <c r="BI43" s="2"/>
      <c r="BJ43" s="2">
        <f t="shared" si="11"/>
        <v>39100.339855055667</v>
      </c>
      <c r="BK43" s="2">
        <f t="shared" si="41"/>
        <v>130334.4661835189</v>
      </c>
      <c r="BL43" s="2">
        <f t="shared" si="42"/>
        <v>0</v>
      </c>
      <c r="BM43" s="2"/>
    </row>
    <row r="44" spans="1:65" x14ac:dyDescent="0.2">
      <c r="A44">
        <f t="shared" si="6"/>
        <v>1993</v>
      </c>
      <c r="B44" s="2">
        <f t="shared" si="12"/>
        <v>28644.908977813786</v>
      </c>
      <c r="C44" s="2">
        <f t="shared" si="13"/>
        <v>44765.979100053235</v>
      </c>
      <c r="D44" s="2"/>
      <c r="E44" s="2"/>
      <c r="F44" s="2">
        <f t="shared" si="14"/>
        <v>34015.731660304235</v>
      </c>
      <c r="G44" s="2"/>
      <c r="H44" s="2">
        <f t="shared" si="15"/>
        <v>42885.252753025052</v>
      </c>
      <c r="I44" s="2">
        <f t="shared" si="43"/>
        <v>150311.87249119632</v>
      </c>
      <c r="J44" s="2">
        <f t="shared" si="16"/>
        <v>14438.55006036142</v>
      </c>
      <c r="K44" s="6">
        <f t="shared" si="17"/>
        <v>0.10626478989436086</v>
      </c>
      <c r="L44" s="7">
        <f t="shared" si="18"/>
        <v>1.1062647898943609</v>
      </c>
      <c r="N44">
        <f t="shared" si="19"/>
        <v>1993</v>
      </c>
      <c r="O44" s="2">
        <f t="shared" si="20"/>
        <v>5693.9442222408488</v>
      </c>
      <c r="P44" s="2"/>
      <c r="Q44" s="2"/>
      <c r="R44">
        <f t="shared" si="21"/>
        <v>1993</v>
      </c>
      <c r="S44" s="2">
        <f t="shared" si="22"/>
        <v>27221.422922253572</v>
      </c>
      <c r="T44" s="2">
        <f t="shared" si="22"/>
        <v>43342.493044493021</v>
      </c>
      <c r="U44" s="2"/>
      <c r="V44" s="2"/>
      <c r="W44" s="2">
        <f t="shared" si="7"/>
        <v>32592.245604744021</v>
      </c>
      <c r="X44" s="2"/>
      <c r="Y44" s="2">
        <f t="shared" si="23"/>
        <v>41461.766697464838</v>
      </c>
      <c r="Z44" s="2">
        <f t="shared" si="24"/>
        <v>144617.92826895547</v>
      </c>
      <c r="AA44" s="2">
        <f t="shared" si="25"/>
        <v>14283.462085436564</v>
      </c>
      <c r="AB44" s="6">
        <f t="shared" si="26"/>
        <v>0.10959082814920633</v>
      </c>
      <c r="AC44" s="7">
        <f t="shared" si="27"/>
        <v>1.1095908281492064</v>
      </c>
      <c r="AD44" s="2">
        <f t="shared" si="28"/>
        <v>0</v>
      </c>
      <c r="AE44" s="2"/>
      <c r="AG44">
        <f t="shared" si="29"/>
        <v>1993</v>
      </c>
      <c r="AH44" s="6">
        <f t="shared" si="5"/>
        <v>0.18822993281737588</v>
      </c>
      <c r="AI44" s="38">
        <f t="shared" si="5"/>
        <v>0.29970345698692447</v>
      </c>
      <c r="AJ44" s="7"/>
      <c r="AK44" s="7"/>
      <c r="AL44" s="38">
        <f t="shared" si="30"/>
        <v>0.22536794707866425</v>
      </c>
      <c r="AM44" s="7"/>
      <c r="AN44" s="6">
        <f t="shared" si="31"/>
        <v>0.28669866311703529</v>
      </c>
      <c r="AO44" s="6">
        <f t="shared" si="32"/>
        <v>0.99999999999999989</v>
      </c>
      <c r="AP44" s="7">
        <f t="shared" si="33"/>
        <v>0.7133013368829646</v>
      </c>
      <c r="AQ44" s="7">
        <f t="shared" si="34"/>
        <v>0</v>
      </c>
      <c r="AR44" s="24"/>
      <c r="AS44">
        <f t="shared" si="35"/>
        <v>1993</v>
      </c>
      <c r="AT44" s="1" t="b">
        <f t="shared" si="36"/>
        <v>1</v>
      </c>
      <c r="AU44" s="1" t="b">
        <f t="shared" si="37"/>
        <v>1</v>
      </c>
      <c r="AV44" s="1"/>
      <c r="AW44" s="1"/>
      <c r="AX44" s="1" t="b">
        <f t="shared" si="8"/>
        <v>1</v>
      </c>
      <c r="AY44" s="1"/>
      <c r="AZ44" s="1" t="b">
        <f t="shared" si="38"/>
        <v>1</v>
      </c>
      <c r="BA44" s="1" t="b">
        <f t="shared" si="39"/>
        <v>1</v>
      </c>
      <c r="BC44">
        <f t="shared" si="40"/>
        <v>1993</v>
      </c>
      <c r="BD44" s="2">
        <f t="shared" si="9"/>
        <v>28923.585653791095</v>
      </c>
      <c r="BE44" s="2">
        <f t="shared" si="9"/>
        <v>43385.378480686639</v>
      </c>
      <c r="BF44" s="2"/>
      <c r="BG44" s="2"/>
      <c r="BH44" s="2">
        <f t="shared" si="10"/>
        <v>28923.585653791095</v>
      </c>
      <c r="BI44" s="2"/>
      <c r="BJ44" s="2">
        <f t="shared" si="11"/>
        <v>43385.378480686639</v>
      </c>
      <c r="BK44" s="2">
        <f t="shared" si="41"/>
        <v>144617.92826895547</v>
      </c>
      <c r="BL44" s="2">
        <f t="shared" si="42"/>
        <v>0</v>
      </c>
      <c r="BM44" s="2"/>
    </row>
    <row r="45" spans="1:65" x14ac:dyDescent="0.2">
      <c r="A45">
        <f t="shared" si="6"/>
        <v>1994</v>
      </c>
      <c r="B45" s="2">
        <f t="shared" si="12"/>
        <v>29264.883964505832</v>
      </c>
      <c r="C45" s="2">
        <f t="shared" si="13"/>
        <v>42620.060404287324</v>
      </c>
      <c r="D45" s="2"/>
      <c r="E45" s="2"/>
      <c r="F45" s="2">
        <f t="shared" si="14"/>
        <v>30443.520079897819</v>
      </c>
      <c r="G45" s="2"/>
      <c r="H45" s="2">
        <f t="shared" si="15"/>
        <v>42231.327413100378</v>
      </c>
      <c r="I45" s="2">
        <f t="shared" si="43"/>
        <v>144559.79186179137</v>
      </c>
      <c r="J45" s="2">
        <f t="shared" si="16"/>
        <v>-5752.0806294049544</v>
      </c>
      <c r="K45" s="6">
        <f t="shared" si="17"/>
        <v>-3.8267640034501268E-2</v>
      </c>
      <c r="L45" s="7">
        <f t="shared" si="18"/>
        <v>0.96173235996549877</v>
      </c>
      <c r="N45">
        <f t="shared" si="19"/>
        <v>1994</v>
      </c>
      <c r="O45" s="2">
        <f t="shared" si="20"/>
        <v>5841.9867720191114</v>
      </c>
      <c r="P45" s="2"/>
      <c r="Q45" s="2"/>
      <c r="R45">
        <f t="shared" si="21"/>
        <v>1994</v>
      </c>
      <c r="S45" s="2">
        <f t="shared" si="22"/>
        <v>27804.387271501055</v>
      </c>
      <c r="T45" s="2">
        <f t="shared" si="22"/>
        <v>41159.563711282542</v>
      </c>
      <c r="U45" s="2"/>
      <c r="V45" s="2"/>
      <c r="W45" s="2">
        <f t="shared" si="7"/>
        <v>28983.023386893041</v>
      </c>
      <c r="X45" s="2"/>
      <c r="Y45" s="2">
        <f t="shared" si="23"/>
        <v>40770.830720095597</v>
      </c>
      <c r="Z45" s="2">
        <f t="shared" si="24"/>
        <v>138717.80508977224</v>
      </c>
      <c r="AA45" s="2">
        <f t="shared" si="25"/>
        <v>-5900.1231791832251</v>
      </c>
      <c r="AB45" s="6">
        <f t="shared" si="26"/>
        <v>-4.0798006511408309E-2</v>
      </c>
      <c r="AC45" s="7">
        <f t="shared" si="27"/>
        <v>0.9592019934885917</v>
      </c>
      <c r="AD45" s="2">
        <f t="shared" si="28"/>
        <v>0</v>
      </c>
      <c r="AE45" s="2"/>
      <c r="AG45">
        <f t="shared" si="29"/>
        <v>1994</v>
      </c>
      <c r="AH45" s="6">
        <f t="shared" si="5"/>
        <v>0.20043848915795087</v>
      </c>
      <c r="AI45" s="6">
        <f t="shared" si="5"/>
        <v>0.29671435245566224</v>
      </c>
      <c r="AJ45" s="7"/>
      <c r="AK45" s="7"/>
      <c r="AL45" s="6">
        <f t="shared" si="30"/>
        <v>0.20893513538609168</v>
      </c>
      <c r="AM45" s="7"/>
      <c r="AN45" s="6">
        <f t="shared" si="31"/>
        <v>0.29391202300029512</v>
      </c>
      <c r="AO45" s="6">
        <f t="shared" si="32"/>
        <v>1</v>
      </c>
      <c r="AP45" s="7">
        <f t="shared" si="33"/>
        <v>0.70608797699970482</v>
      </c>
      <c r="AQ45" s="7">
        <f t="shared" si="34"/>
        <v>0</v>
      </c>
      <c r="AR45" s="24"/>
      <c r="AS45">
        <f t="shared" si="35"/>
        <v>1994</v>
      </c>
      <c r="AT45" s="1" t="b">
        <f t="shared" si="36"/>
        <v>1</v>
      </c>
      <c r="AU45" s="1" t="b">
        <f t="shared" si="37"/>
        <v>1</v>
      </c>
      <c r="AV45" s="1"/>
      <c r="AW45" s="1"/>
      <c r="AX45" s="1" t="b">
        <f t="shared" si="8"/>
        <v>1</v>
      </c>
      <c r="AY45" s="1"/>
      <c r="AZ45" s="1" t="b">
        <f t="shared" si="38"/>
        <v>1</v>
      </c>
      <c r="BA45" s="1" t="b">
        <f t="shared" si="39"/>
        <v>1</v>
      </c>
      <c r="BC45">
        <f t="shared" si="40"/>
        <v>1994</v>
      </c>
      <c r="BD45" s="2">
        <f t="shared" si="9"/>
        <v>27743.561017954449</v>
      </c>
      <c r="BE45" s="2">
        <f t="shared" si="9"/>
        <v>41615.341526931668</v>
      </c>
      <c r="BF45" s="2"/>
      <c r="BG45" s="2"/>
      <c r="BH45" s="2">
        <f t="shared" si="10"/>
        <v>27743.561017954449</v>
      </c>
      <c r="BI45" s="2"/>
      <c r="BJ45" s="2">
        <f t="shared" si="11"/>
        <v>41615.341526931668</v>
      </c>
      <c r="BK45" s="2">
        <f t="shared" si="41"/>
        <v>138717.80508977224</v>
      </c>
      <c r="BL45" s="2">
        <f t="shared" si="42"/>
        <v>0</v>
      </c>
      <c r="BM45" s="2"/>
    </row>
    <row r="46" spans="1:65" x14ac:dyDescent="0.2">
      <c r="A46">
        <f t="shared" si="6"/>
        <v>1995</v>
      </c>
      <c r="B46" s="2">
        <f t="shared" si="12"/>
        <v>38133.524619178395</v>
      </c>
      <c r="C46" s="2">
        <f t="shared" si="13"/>
        <v>55680.078502788761</v>
      </c>
      <c r="D46" s="2"/>
      <c r="E46" s="2"/>
      <c r="F46" s="2">
        <f t="shared" si="14"/>
        <v>30419.704913746336</v>
      </c>
      <c r="G46" s="2"/>
      <c r="H46" s="2">
        <f t="shared" si="15"/>
        <v>49181.010616527841</v>
      </c>
      <c r="I46" s="2">
        <f t="shared" si="43"/>
        <v>173414.31865224132</v>
      </c>
      <c r="J46" s="2">
        <f t="shared" si="16"/>
        <v>28854.526790449949</v>
      </c>
      <c r="K46" s="6">
        <f t="shared" si="17"/>
        <v>0.19960271399696514</v>
      </c>
      <c r="L46" s="7">
        <f t="shared" si="18"/>
        <v>1.1996027139969652</v>
      </c>
      <c r="N46">
        <f t="shared" si="19"/>
        <v>1995</v>
      </c>
      <c r="O46" s="2">
        <f t="shared" si="20"/>
        <v>5988.0364413195884</v>
      </c>
      <c r="P46" s="2"/>
      <c r="Q46" s="2"/>
      <c r="R46">
        <f t="shared" si="21"/>
        <v>1995</v>
      </c>
      <c r="S46" s="2">
        <f t="shared" si="22"/>
        <v>36636.515508848497</v>
      </c>
      <c r="T46" s="2">
        <f t="shared" si="22"/>
        <v>54183.069392458863</v>
      </c>
      <c r="U46" s="2"/>
      <c r="V46" s="2"/>
      <c r="W46" s="2">
        <f t="shared" si="7"/>
        <v>28922.695803416438</v>
      </c>
      <c r="X46" s="2"/>
      <c r="Y46" s="2">
        <f t="shared" si="23"/>
        <v>47684.001506197943</v>
      </c>
      <c r="Z46" s="2">
        <f t="shared" si="24"/>
        <v>167426.28221092175</v>
      </c>
      <c r="AA46" s="2">
        <f t="shared" si="25"/>
        <v>28708.47712114951</v>
      </c>
      <c r="AB46" s="6">
        <f t="shared" si="26"/>
        <v>0.20695596432318555</v>
      </c>
      <c r="AC46" s="7">
        <f t="shared" si="27"/>
        <v>1.2069559643231855</v>
      </c>
      <c r="AD46" s="2">
        <f t="shared" si="28"/>
        <v>0</v>
      </c>
      <c r="AE46" s="2"/>
      <c r="AG46">
        <f t="shared" si="29"/>
        <v>1995</v>
      </c>
      <c r="AH46" s="6">
        <f t="shared" si="5"/>
        <v>0.21882177054313506</v>
      </c>
      <c r="AI46" s="6">
        <f t="shared" si="5"/>
        <v>0.32362343998178039</v>
      </c>
      <c r="AJ46" s="7"/>
      <c r="AK46" s="7"/>
      <c r="AL46" s="6">
        <f t="shared" si="30"/>
        <v>0.1727488386021733</v>
      </c>
      <c r="AM46" s="7"/>
      <c r="AN46" s="6">
        <f t="shared" si="31"/>
        <v>0.28480595087291116</v>
      </c>
      <c r="AO46" s="6">
        <f t="shared" si="32"/>
        <v>0.99999999999999989</v>
      </c>
      <c r="AP46" s="7">
        <f t="shared" si="33"/>
        <v>0.71519404912708873</v>
      </c>
      <c r="AQ46" s="7">
        <f t="shared" si="34"/>
        <v>0</v>
      </c>
      <c r="AR46" s="24"/>
      <c r="AS46">
        <f t="shared" si="35"/>
        <v>1995</v>
      </c>
      <c r="AT46" s="1" t="b">
        <f t="shared" si="36"/>
        <v>1</v>
      </c>
      <c r="AU46" s="1" t="b">
        <f t="shared" si="37"/>
        <v>1</v>
      </c>
      <c r="AV46" s="1"/>
      <c r="AW46" s="1"/>
      <c r="AX46" s="1" t="b">
        <f t="shared" si="8"/>
        <v>1</v>
      </c>
      <c r="AY46" s="1"/>
      <c r="AZ46" s="1" t="b">
        <f t="shared" si="38"/>
        <v>1</v>
      </c>
      <c r="BA46" s="1" t="b">
        <f t="shared" si="39"/>
        <v>1</v>
      </c>
      <c r="BC46">
        <f t="shared" si="40"/>
        <v>1995</v>
      </c>
      <c r="BD46" s="2">
        <f t="shared" si="9"/>
        <v>33485.256442184349</v>
      </c>
      <c r="BE46" s="2">
        <f t="shared" si="9"/>
        <v>50227.884663276527</v>
      </c>
      <c r="BF46" s="2"/>
      <c r="BG46" s="2"/>
      <c r="BH46" s="2">
        <f t="shared" si="10"/>
        <v>33485.256442184349</v>
      </c>
      <c r="BI46" s="2"/>
      <c r="BJ46" s="2">
        <f t="shared" si="11"/>
        <v>50227.884663276527</v>
      </c>
      <c r="BK46" s="2">
        <f t="shared" si="41"/>
        <v>167426.28221092175</v>
      </c>
      <c r="BL46" s="2">
        <f t="shared" si="42"/>
        <v>0</v>
      </c>
      <c r="BM46" s="2"/>
    </row>
    <row r="47" spans="1:65" x14ac:dyDescent="0.2">
      <c r="A47">
        <f t="shared" si="6"/>
        <v>1996</v>
      </c>
      <c r="B47" s="2">
        <f t="shared" si="12"/>
        <v>41146.683116156135</v>
      </c>
      <c r="C47" s="2">
        <f t="shared" si="13"/>
        <v>59091.599469804933</v>
      </c>
      <c r="D47" s="2"/>
      <c r="E47" s="2"/>
      <c r="F47" s="2">
        <f t="shared" si="14"/>
        <v>36907.114798011171</v>
      </c>
      <c r="G47" s="2"/>
      <c r="H47" s="2">
        <f t="shared" si="15"/>
        <v>52026.042934221827</v>
      </c>
      <c r="I47" s="2">
        <f t="shared" si="43"/>
        <v>189171.44031819407</v>
      </c>
      <c r="J47" s="2">
        <f t="shared" si="16"/>
        <v>15757.121665952756</v>
      </c>
      <c r="K47" s="6">
        <f t="shared" si="17"/>
        <v>9.0864017391502183E-2</v>
      </c>
      <c r="L47" s="7">
        <f t="shared" si="18"/>
        <v>1.0908640173915023</v>
      </c>
      <c r="N47">
        <f t="shared" si="19"/>
        <v>1996</v>
      </c>
      <c r="O47" s="2">
        <f t="shared" si="20"/>
        <v>6191.629680324455</v>
      </c>
      <c r="P47" s="2"/>
      <c r="Q47" s="2"/>
      <c r="R47">
        <f t="shared" si="21"/>
        <v>1996</v>
      </c>
      <c r="S47" s="2">
        <f t="shared" si="22"/>
        <v>39598.775696075019</v>
      </c>
      <c r="T47" s="2">
        <f t="shared" si="22"/>
        <v>57543.692049723817</v>
      </c>
      <c r="U47" s="2"/>
      <c r="V47" s="2"/>
      <c r="W47" s="2">
        <f t="shared" si="7"/>
        <v>35359.207377930055</v>
      </c>
      <c r="X47" s="2"/>
      <c r="Y47" s="2">
        <f t="shared" si="23"/>
        <v>50478.135514140711</v>
      </c>
      <c r="Z47" s="2">
        <f t="shared" si="24"/>
        <v>182979.81063786961</v>
      </c>
      <c r="AA47" s="2">
        <f t="shared" si="25"/>
        <v>15553.528426947858</v>
      </c>
      <c r="AB47" s="6">
        <f t="shared" si="26"/>
        <v>9.2897771016343167E-2</v>
      </c>
      <c r="AC47" s="7">
        <f t="shared" si="27"/>
        <v>1.0928977710163432</v>
      </c>
      <c r="AD47" s="2">
        <f t="shared" si="28"/>
        <v>0</v>
      </c>
      <c r="AE47" s="2"/>
      <c r="AG47">
        <f t="shared" si="29"/>
        <v>1996</v>
      </c>
      <c r="AH47" s="6">
        <f t="shared" si="5"/>
        <v>0.21641062780660478</v>
      </c>
      <c r="AI47" s="6">
        <f t="shared" si="5"/>
        <v>0.31448109957664661</v>
      </c>
      <c r="AJ47" s="7"/>
      <c r="AK47" s="7"/>
      <c r="AL47" s="6">
        <f t="shared" si="30"/>
        <v>0.19324103164533549</v>
      </c>
      <c r="AM47" s="7"/>
      <c r="AN47" s="6">
        <f t="shared" si="31"/>
        <v>0.27586724097141307</v>
      </c>
      <c r="AO47" s="6">
        <f t="shared" si="32"/>
        <v>1</v>
      </c>
      <c r="AP47" s="7">
        <f t="shared" si="33"/>
        <v>0.72413275902858687</v>
      </c>
      <c r="AQ47" s="7">
        <f t="shared" si="34"/>
        <v>0</v>
      </c>
      <c r="AR47" s="24"/>
      <c r="AS47">
        <f t="shared" si="35"/>
        <v>1996</v>
      </c>
      <c r="AT47" s="1" t="b">
        <f t="shared" si="36"/>
        <v>1</v>
      </c>
      <c r="AU47" s="1" t="b">
        <f t="shared" si="37"/>
        <v>1</v>
      </c>
      <c r="AV47" s="1"/>
      <c r="AW47" s="1"/>
      <c r="AX47" s="1" t="b">
        <f t="shared" si="8"/>
        <v>1</v>
      </c>
      <c r="AY47" s="1"/>
      <c r="AZ47" s="1" t="b">
        <f t="shared" si="38"/>
        <v>1</v>
      </c>
      <c r="BA47" s="1" t="b">
        <f t="shared" si="39"/>
        <v>1</v>
      </c>
      <c r="BC47">
        <f t="shared" si="40"/>
        <v>1996</v>
      </c>
      <c r="BD47" s="2">
        <f t="shared" si="9"/>
        <v>36595.962127573926</v>
      </c>
      <c r="BE47" s="2">
        <f t="shared" si="9"/>
        <v>54893.943191360879</v>
      </c>
      <c r="BF47" s="2"/>
      <c r="BG47" s="2"/>
      <c r="BH47" s="2">
        <f t="shared" si="10"/>
        <v>36595.962127573926</v>
      </c>
      <c r="BI47" s="2"/>
      <c r="BJ47" s="2">
        <f t="shared" si="11"/>
        <v>54893.943191360879</v>
      </c>
      <c r="BK47" s="2">
        <f t="shared" si="41"/>
        <v>182979.81063786961</v>
      </c>
      <c r="BL47" s="2">
        <f t="shared" si="42"/>
        <v>0</v>
      </c>
      <c r="BM47" s="2"/>
    </row>
    <row r="48" spans="1:65" x14ac:dyDescent="0.2">
      <c r="A48">
        <f t="shared" si="6"/>
        <v>1997</v>
      </c>
      <c r="B48" s="2">
        <f t="shared" si="12"/>
        <v>48742.161957715718</v>
      </c>
      <c r="C48" s="2">
        <f t="shared" si="13"/>
        <v>69543.489810839354</v>
      </c>
      <c r="D48" s="2"/>
      <c r="E48" s="2"/>
      <c r="F48" s="2"/>
      <c r="G48" s="2">
        <f>BH47*(1+(G12/100))</f>
        <v>36312.343421085228</v>
      </c>
      <c r="H48" s="2">
        <f t="shared" si="15"/>
        <v>60075.93142862535</v>
      </c>
      <c r="I48" s="2">
        <f t="shared" si="43"/>
        <v>214673.92661826569</v>
      </c>
      <c r="J48" s="2">
        <f t="shared" si="16"/>
        <v>25502.486300071614</v>
      </c>
      <c r="K48" s="6">
        <f t="shared" si="17"/>
        <v>0.13481150356087257</v>
      </c>
      <c r="L48" s="7">
        <f t="shared" si="18"/>
        <v>1.1348115035608726</v>
      </c>
      <c r="N48">
        <f t="shared" si="19"/>
        <v>1997</v>
      </c>
      <c r="O48" s="2">
        <f t="shared" si="20"/>
        <v>6296.8873848899702</v>
      </c>
      <c r="P48" s="2"/>
      <c r="Q48" s="2"/>
      <c r="R48">
        <f t="shared" si="21"/>
        <v>1997</v>
      </c>
      <c r="S48" s="2">
        <f t="shared" si="22"/>
        <v>47167.940111493226</v>
      </c>
      <c r="T48" s="2">
        <f t="shared" si="22"/>
        <v>67969.267964616854</v>
      </c>
      <c r="U48" s="2"/>
      <c r="V48" s="2"/>
      <c r="W48" s="2"/>
      <c r="X48" s="2">
        <f>G48-($O48/4)</f>
        <v>34738.121574862736</v>
      </c>
      <c r="Y48" s="2">
        <f t="shared" si="23"/>
        <v>58501.709582402858</v>
      </c>
      <c r="Z48" s="2">
        <f t="shared" si="24"/>
        <v>208377.03923337569</v>
      </c>
      <c r="AA48" s="2">
        <f t="shared" si="25"/>
        <v>25397.22859550608</v>
      </c>
      <c r="AB48" s="6">
        <f t="shared" si="26"/>
        <v>0.13879798272263516</v>
      </c>
      <c r="AC48" s="7">
        <f t="shared" si="27"/>
        <v>1.1387979827226351</v>
      </c>
      <c r="AD48" s="2">
        <f t="shared" si="28"/>
        <v>0</v>
      </c>
      <c r="AE48" s="2"/>
      <c r="AG48">
        <f t="shared" si="29"/>
        <v>1997</v>
      </c>
      <c r="AH48" s="6">
        <f t="shared" si="5"/>
        <v>0.22635862513943594</v>
      </c>
      <c r="AI48" s="6">
        <f t="shared" si="5"/>
        <v>0.32618405662484445</v>
      </c>
      <c r="AJ48" s="7"/>
      <c r="AK48" s="7"/>
      <c r="AL48" s="6">
        <f t="shared" si="30"/>
        <v>0</v>
      </c>
      <c r="AM48" s="6"/>
      <c r="AN48" s="38">
        <f t="shared" si="31"/>
        <v>0.28074930806979553</v>
      </c>
      <c r="AO48" s="6">
        <f t="shared" si="32"/>
        <v>0.83329198983407604</v>
      </c>
      <c r="AP48" s="7">
        <f t="shared" si="33"/>
        <v>0.55254268176428045</v>
      </c>
      <c r="AQ48" s="7">
        <f t="shared" si="34"/>
        <v>0</v>
      </c>
      <c r="AR48" s="24"/>
      <c r="AS48">
        <f t="shared" si="35"/>
        <v>1997</v>
      </c>
      <c r="AT48" s="1" t="b">
        <f t="shared" si="36"/>
        <v>1</v>
      </c>
      <c r="AU48" s="1" t="b">
        <f t="shared" si="37"/>
        <v>1</v>
      </c>
      <c r="AV48" s="1"/>
      <c r="AW48" s="1"/>
      <c r="AX48" s="1" t="b">
        <f t="shared" si="8"/>
        <v>0</v>
      </c>
      <c r="AY48" s="1"/>
      <c r="AZ48" s="1" t="b">
        <f t="shared" si="38"/>
        <v>1</v>
      </c>
      <c r="BA48" s="1" t="b">
        <f t="shared" si="39"/>
        <v>1</v>
      </c>
      <c r="BC48">
        <f t="shared" si="40"/>
        <v>1997</v>
      </c>
      <c r="BD48" s="2">
        <f t="shared" si="9"/>
        <v>41675.407846675138</v>
      </c>
      <c r="BE48" s="2">
        <f t="shared" si="9"/>
        <v>62513.111770012707</v>
      </c>
      <c r="BF48" s="2"/>
      <c r="BG48" s="2"/>
      <c r="BH48" s="2"/>
      <c r="BI48" s="2">
        <f>$BK48*BI$39</f>
        <v>41675.407846675138</v>
      </c>
      <c r="BJ48" s="2">
        <f t="shared" si="11"/>
        <v>62513.111770012707</v>
      </c>
      <c r="BK48" s="2">
        <f t="shared" si="41"/>
        <v>208377.03923337569</v>
      </c>
      <c r="BL48" s="2">
        <f t="shared" si="42"/>
        <v>0</v>
      </c>
      <c r="BM48" s="2"/>
    </row>
    <row r="49" spans="1:65" x14ac:dyDescent="0.2">
      <c r="A49">
        <f t="shared" si="6"/>
        <v>1998</v>
      </c>
      <c r="B49" s="2">
        <f t="shared" si="12"/>
        <v>53619.579735532228</v>
      </c>
      <c r="C49" s="2">
        <f t="shared" si="13"/>
        <v>67734.831996161869</v>
      </c>
      <c r="D49" s="2"/>
      <c r="E49" s="2"/>
      <c r="F49" s="2"/>
      <c r="G49" s="2">
        <f t="shared" ref="G49:G64" si="44">BI48*(1+(G13/100))</f>
        <v>48178.021732991852</v>
      </c>
      <c r="H49" s="2">
        <f t="shared" si="15"/>
        <v>67876.736759879801</v>
      </c>
      <c r="I49" s="2">
        <f t="shared" si="43"/>
        <v>237409.17022456575</v>
      </c>
      <c r="J49" s="2">
        <f t="shared" si="16"/>
        <v>22735.243606300064</v>
      </c>
      <c r="K49" s="6">
        <f t="shared" si="17"/>
        <v>0.10590593820332916</v>
      </c>
      <c r="L49" s="7">
        <f t="shared" si="18"/>
        <v>1.1059059382033292</v>
      </c>
      <c r="N49">
        <f t="shared" si="19"/>
        <v>1998</v>
      </c>
      <c r="O49" s="2">
        <f t="shared" si="20"/>
        <v>6397.6375830482102</v>
      </c>
      <c r="P49" s="2"/>
      <c r="Q49" s="2"/>
      <c r="R49">
        <f t="shared" si="21"/>
        <v>1998</v>
      </c>
      <c r="S49" s="2">
        <f t="shared" si="22"/>
        <v>52020.170339770179</v>
      </c>
      <c r="T49" s="2">
        <f t="shared" si="22"/>
        <v>66135.422600399819</v>
      </c>
      <c r="U49" s="2"/>
      <c r="V49" s="2"/>
      <c r="W49" s="2"/>
      <c r="X49" s="2">
        <f>G49-($O49/4)</f>
        <v>46578.612337229803</v>
      </c>
      <c r="Y49" s="2">
        <f t="shared" si="23"/>
        <v>66277.327364117751</v>
      </c>
      <c r="Z49" s="2">
        <f t="shared" si="24"/>
        <v>231011.53264151755</v>
      </c>
      <c r="AA49" s="2">
        <f t="shared" si="25"/>
        <v>22634.493408141861</v>
      </c>
      <c r="AB49" s="6">
        <f t="shared" si="26"/>
        <v>0.10862278056840967</v>
      </c>
      <c r="AC49" s="7">
        <f t="shared" si="27"/>
        <v>1.1086227805684097</v>
      </c>
      <c r="AD49" s="2">
        <f t="shared" si="28"/>
        <v>0</v>
      </c>
      <c r="AE49" s="2"/>
      <c r="AG49">
        <f t="shared" si="29"/>
        <v>1998</v>
      </c>
      <c r="AH49" s="6">
        <f t="shared" si="5"/>
        <v>0.22518430030285458</v>
      </c>
      <c r="AI49" s="6">
        <f t="shared" si="5"/>
        <v>0.28628623793872843</v>
      </c>
      <c r="AJ49" s="7"/>
      <c r="AK49" s="7"/>
      <c r="AL49" s="6"/>
      <c r="AM49" s="6">
        <f t="shared" si="30"/>
        <v>0.20162894815087107</v>
      </c>
      <c r="AN49" s="6">
        <f t="shared" si="31"/>
        <v>0.28690051360754593</v>
      </c>
      <c r="AO49" s="6">
        <f t="shared" si="32"/>
        <v>1</v>
      </c>
      <c r="AP49" s="7">
        <f t="shared" si="33"/>
        <v>0.71309948639245402</v>
      </c>
      <c r="AQ49" s="7">
        <f t="shared" si="34"/>
        <v>0</v>
      </c>
      <c r="AR49" s="24"/>
      <c r="AS49">
        <f t="shared" si="35"/>
        <v>1998</v>
      </c>
      <c r="AT49" s="1" t="b">
        <f t="shared" si="36"/>
        <v>1</v>
      </c>
      <c r="AU49" s="1" t="b">
        <f t="shared" si="37"/>
        <v>1</v>
      </c>
      <c r="AV49" s="1"/>
      <c r="AW49" s="1"/>
      <c r="AX49" s="1"/>
      <c r="AY49" s="1" t="b">
        <f t="shared" ref="AY49:AY64" si="45">AND((X49/$Z49)&gt;0.15,(X49/$Z49)&lt;0.25)</f>
        <v>1</v>
      </c>
      <c r="AZ49" s="1" t="b">
        <f t="shared" si="38"/>
        <v>1</v>
      </c>
      <c r="BA49" s="1" t="b">
        <f t="shared" si="39"/>
        <v>1</v>
      </c>
      <c r="BC49">
        <f t="shared" si="40"/>
        <v>1998</v>
      </c>
      <c r="BD49" s="2">
        <f t="shared" si="9"/>
        <v>46202.30652830351</v>
      </c>
      <c r="BE49" s="2">
        <f t="shared" si="9"/>
        <v>69303.459792455265</v>
      </c>
      <c r="BF49" s="2"/>
      <c r="BG49" s="2"/>
      <c r="BH49" s="2"/>
      <c r="BI49" s="2">
        <f>$BK49*BI$39</f>
        <v>46202.30652830351</v>
      </c>
      <c r="BJ49" s="2">
        <f t="shared" si="11"/>
        <v>69303.459792455265</v>
      </c>
      <c r="BK49" s="2">
        <f t="shared" si="41"/>
        <v>231011.53264151755</v>
      </c>
      <c r="BL49" s="2">
        <f t="shared" si="42"/>
        <v>0</v>
      </c>
      <c r="BM49" s="2"/>
    </row>
    <row r="50" spans="1:65" x14ac:dyDescent="0.2">
      <c r="A50">
        <f t="shared" si="6"/>
        <v>1999</v>
      </c>
      <c r="B50" s="2">
        <f t="shared" si="12"/>
        <v>55937.132513817065</v>
      </c>
      <c r="C50" s="2"/>
      <c r="D50" s="2">
        <f>($BE49*0.67)*(1+(D14/100))</f>
        <v>53546.438054701197</v>
      </c>
      <c r="E50" s="2">
        <f>($BE49*0.33)*(1+(E14/100))</f>
        <v>28160.691618260502</v>
      </c>
      <c r="F50" s="2"/>
      <c r="G50" s="2">
        <f t="shared" si="44"/>
        <v>60025.574618506638</v>
      </c>
      <c r="H50" s="2">
        <f t="shared" si="15"/>
        <v>68776.753498032602</v>
      </c>
      <c r="I50" s="2">
        <f t="shared" si="43"/>
        <v>266446.59030331799</v>
      </c>
      <c r="J50" s="2">
        <f t="shared" si="16"/>
        <v>29037.420078752242</v>
      </c>
      <c r="K50" s="6">
        <f t="shared" si="17"/>
        <v>0.12230959760857467</v>
      </c>
      <c r="L50" s="7">
        <f t="shared" si="18"/>
        <v>1.1223095976085746</v>
      </c>
      <c r="N50">
        <f t="shared" si="19"/>
        <v>1999</v>
      </c>
      <c r="O50" s="2">
        <f t="shared" si="20"/>
        <v>6570.3737977905112</v>
      </c>
      <c r="P50" s="2"/>
      <c r="Q50" s="2"/>
      <c r="R50">
        <f t="shared" si="21"/>
        <v>1999</v>
      </c>
      <c r="S50" s="2">
        <f>B50-($O50/5)</f>
        <v>54623.05775425896</v>
      </c>
      <c r="T50" s="2"/>
      <c r="U50" s="2">
        <f>D50-($O50/5)</f>
        <v>52232.363295143092</v>
      </c>
      <c r="V50" s="2">
        <f>E50-($O50/5)</f>
        <v>26846.6168587024</v>
      </c>
      <c r="W50" s="2"/>
      <c r="X50" s="2">
        <f>G50-($O50/5)</f>
        <v>58711.499858948533</v>
      </c>
      <c r="Y50" s="2">
        <f>H50-($O50/5)</f>
        <v>67462.678738474497</v>
      </c>
      <c r="Z50" s="2">
        <f t="shared" si="24"/>
        <v>259876.2165055275</v>
      </c>
      <c r="AA50" s="2">
        <f t="shared" si="25"/>
        <v>28864.683864009945</v>
      </c>
      <c r="AB50" s="6">
        <f t="shared" si="26"/>
        <v>0.1249491033367672</v>
      </c>
      <c r="AC50" s="7">
        <f t="shared" si="27"/>
        <v>1.1249491033367671</v>
      </c>
      <c r="AD50" s="2">
        <f t="shared" si="28"/>
        <v>0</v>
      </c>
      <c r="AE50" s="2"/>
      <c r="AG50">
        <f t="shared" si="29"/>
        <v>1999</v>
      </c>
      <c r="AH50" s="38">
        <f t="shared" si="5"/>
        <v>0.21018875250978244</v>
      </c>
      <c r="AI50" s="6">
        <f t="shared" si="5"/>
        <v>0</v>
      </c>
      <c r="AJ50" s="7"/>
      <c r="AK50" s="7"/>
      <c r="AL50" s="7"/>
      <c r="AM50" s="6">
        <f t="shared" si="30"/>
        <v>0.22592101981636997</v>
      </c>
      <c r="AN50" s="6">
        <f t="shared" si="31"/>
        <v>0.25959543218545966</v>
      </c>
      <c r="AO50" s="6">
        <f t="shared" si="32"/>
        <v>0.69570520451161211</v>
      </c>
      <c r="AP50" s="7">
        <f t="shared" si="33"/>
        <v>0.43610977232615245</v>
      </c>
      <c r="AQ50" s="7">
        <f t="shared" si="34"/>
        <v>0</v>
      </c>
      <c r="AR50" s="24"/>
      <c r="AS50">
        <f t="shared" si="35"/>
        <v>1999</v>
      </c>
      <c r="AT50" s="1" t="b">
        <f t="shared" si="36"/>
        <v>1</v>
      </c>
      <c r="AU50" s="1" t="b">
        <f t="shared" si="37"/>
        <v>0</v>
      </c>
      <c r="AV50" s="1"/>
      <c r="AW50" s="1"/>
      <c r="AX50" s="1"/>
      <c r="AY50" s="1" t="b">
        <f t="shared" si="45"/>
        <v>1</v>
      </c>
      <c r="AZ50" s="1" t="b">
        <f t="shared" si="38"/>
        <v>1</v>
      </c>
      <c r="BA50" s="1" t="b">
        <f t="shared" si="39"/>
        <v>1</v>
      </c>
      <c r="BC50">
        <f t="shared" si="40"/>
        <v>1999</v>
      </c>
      <c r="BD50" s="2">
        <f t="shared" si="9"/>
        <v>51975.243301105504</v>
      </c>
      <c r="BE50" s="2"/>
      <c r="BF50" s="2">
        <f t="shared" ref="BF50:BG64" si="46">$BK50*BF$39</f>
        <v>51975.243301105504</v>
      </c>
      <c r="BG50" s="2">
        <f t="shared" si="46"/>
        <v>25987.621650552752</v>
      </c>
      <c r="BH50" s="2"/>
      <c r="BI50" s="2">
        <f>$BK50*BI$39</f>
        <v>51975.243301105504</v>
      </c>
      <c r="BJ50" s="2">
        <f t="shared" si="11"/>
        <v>77962.864951658252</v>
      </c>
      <c r="BK50" s="2">
        <f t="shared" si="41"/>
        <v>259876.2165055275</v>
      </c>
      <c r="BL50" s="2">
        <f t="shared" si="42"/>
        <v>0</v>
      </c>
      <c r="BM50" s="2"/>
    </row>
    <row r="51" spans="1:65" x14ac:dyDescent="0.2">
      <c r="A51">
        <f t="shared" si="6"/>
        <v>2000</v>
      </c>
      <c r="B51" s="2">
        <f t="shared" ref="B51:B64" si="47">BD50*(1+(B15/100))</f>
        <v>47266.286258025342</v>
      </c>
      <c r="C51" s="2"/>
      <c r="D51" s="2">
        <f t="shared" ref="D51" si="48">BF50*(1+(D15/100))</f>
        <v>61381.722833739572</v>
      </c>
      <c r="E51" s="2">
        <f t="shared" ref="E51" si="49">BG50*(1+(E15/100))</f>
        <v>25295.051533565522</v>
      </c>
      <c r="F51" s="2"/>
      <c r="G51" s="2">
        <f t="shared" si="44"/>
        <v>43859.828812070897</v>
      </c>
      <c r="H51" s="2">
        <f t="shared" si="15"/>
        <v>86842.835269652132</v>
      </c>
      <c r="I51" s="2">
        <f t="shared" si="43"/>
        <v>264645.72470705345</v>
      </c>
      <c r="J51" s="2">
        <f t="shared" si="16"/>
        <v>-1800.8655962645425</v>
      </c>
      <c r="K51" s="6">
        <f t="shared" si="17"/>
        <v>-6.7588239512259085E-3</v>
      </c>
      <c r="L51" s="7">
        <f t="shared" si="18"/>
        <v>0.99324117604877404</v>
      </c>
      <c r="N51">
        <f t="shared" si="19"/>
        <v>2000</v>
      </c>
      <c r="O51" s="2">
        <f t="shared" si="20"/>
        <v>6793.7665069153891</v>
      </c>
      <c r="P51" s="2"/>
      <c r="Q51" s="2"/>
      <c r="R51">
        <f t="shared" si="21"/>
        <v>2000</v>
      </c>
      <c r="S51" s="2">
        <f>B51-($O51/5)</f>
        <v>45907.532956642266</v>
      </c>
      <c r="T51" s="2"/>
      <c r="U51" s="2">
        <f>D51-($O51/5)</f>
        <v>60022.969532356496</v>
      </c>
      <c r="V51" s="2">
        <f>E51-($O51/5)</f>
        <v>23936.298232182446</v>
      </c>
      <c r="W51" s="2"/>
      <c r="X51" s="2">
        <f>G51-($O51/5)</f>
        <v>42501.07551068782</v>
      </c>
      <c r="Y51" s="2">
        <f>H51-($O51/5)</f>
        <v>85484.081968269049</v>
      </c>
      <c r="Z51" s="2">
        <f t="shared" si="24"/>
        <v>257851.95820013809</v>
      </c>
      <c r="AA51" s="2">
        <f t="shared" si="25"/>
        <v>-2024.258305389405</v>
      </c>
      <c r="AB51" s="6">
        <f t="shared" si="26"/>
        <v>-7.7893172857792072E-3</v>
      </c>
      <c r="AC51" s="7">
        <f t="shared" si="27"/>
        <v>0.99221068271422075</v>
      </c>
      <c r="AD51" s="2">
        <f t="shared" si="28"/>
        <v>0</v>
      </c>
      <c r="AE51" s="2"/>
      <c r="AG51">
        <f t="shared" si="29"/>
        <v>2000</v>
      </c>
      <c r="AH51" s="6">
        <f t="shared" si="5"/>
        <v>0.17803833361238239</v>
      </c>
      <c r="AI51" s="7"/>
      <c r="AJ51" s="6">
        <f t="shared" ref="AJ51:AK64" si="50">U51/$Z51</f>
        <v>0.23278073958146248</v>
      </c>
      <c r="AK51" s="6">
        <f t="shared" si="50"/>
        <v>9.2829615874406912E-2</v>
      </c>
      <c r="AL51" s="7"/>
      <c r="AM51" s="6">
        <f t="shared" si="30"/>
        <v>0.16482742969009984</v>
      </c>
      <c r="AN51" s="6">
        <f t="shared" si="31"/>
        <v>0.33152388124164833</v>
      </c>
      <c r="AO51" s="6">
        <f t="shared" si="32"/>
        <v>1</v>
      </c>
      <c r="AP51" s="7">
        <f t="shared" si="33"/>
        <v>0.66847611875835167</v>
      </c>
      <c r="AQ51" s="7">
        <f t="shared" si="34"/>
        <v>0</v>
      </c>
      <c r="AR51" s="24"/>
      <c r="AS51">
        <f t="shared" si="35"/>
        <v>2000</v>
      </c>
      <c r="AT51" s="1" t="b">
        <f t="shared" si="36"/>
        <v>1</v>
      </c>
      <c r="AU51" s="1"/>
      <c r="AV51" s="1" t="b">
        <f>AND((U51/$Z51)&gt;0.15,(U51/$Z51)&lt;0.25)</f>
        <v>1</v>
      </c>
      <c r="AW51" s="1" t="b">
        <f>AND((V51/$Z51)&gt;0.05,(V51/$Z51)&lt;0.15)</f>
        <v>1</v>
      </c>
      <c r="AX51" s="1"/>
      <c r="AY51" s="1" t="b">
        <f t="shared" si="45"/>
        <v>1</v>
      </c>
      <c r="AZ51" s="1" t="b">
        <f t="shared" si="38"/>
        <v>1</v>
      </c>
      <c r="BA51" s="1" t="b">
        <f t="shared" si="39"/>
        <v>1</v>
      </c>
      <c r="BC51">
        <f t="shared" si="40"/>
        <v>2000</v>
      </c>
      <c r="BD51" s="2">
        <f>$BK51*BD$39</f>
        <v>51570.391640027621</v>
      </c>
      <c r="BE51" s="2"/>
      <c r="BF51" s="2">
        <f t="shared" si="46"/>
        <v>51570.391640027621</v>
      </c>
      <c r="BG51" s="2">
        <f t="shared" si="46"/>
        <v>25785.195820013811</v>
      </c>
      <c r="BH51" s="2"/>
      <c r="BI51" s="2">
        <f>$BK51*BI$39</f>
        <v>51570.391640027621</v>
      </c>
      <c r="BJ51" s="2">
        <f t="shared" si="11"/>
        <v>77355.587460041424</v>
      </c>
      <c r="BK51" s="2">
        <f t="shared" si="41"/>
        <v>257851.95820013809</v>
      </c>
      <c r="BL51" s="2">
        <f t="shared" si="42"/>
        <v>0</v>
      </c>
      <c r="BM51" s="2"/>
    </row>
    <row r="52" spans="1:65" x14ac:dyDescent="0.2">
      <c r="A52">
        <f t="shared" si="6"/>
        <v>2001</v>
      </c>
      <c r="B52" s="2">
        <f t="shared" si="47"/>
        <v>45371.630564896303</v>
      </c>
      <c r="C52" s="2"/>
      <c r="D52" s="2">
        <f t="shared" ref="D52:D64" si="51">BF51*(1+(D16/100))</f>
        <v>51313.055385743879</v>
      </c>
      <c r="E52" s="2">
        <f t="shared" ref="E52:E64" si="52">BG51*(1+(E16/100))</f>
        <v>26584.536890434236</v>
      </c>
      <c r="F52" s="2"/>
      <c r="G52" s="2">
        <f t="shared" si="44"/>
        <v>41177.410612812855</v>
      </c>
      <c r="H52" s="2">
        <f t="shared" si="15"/>
        <v>83876.663482922915</v>
      </c>
      <c r="I52" s="2">
        <f t="shared" si="43"/>
        <v>248323.29693681019</v>
      </c>
      <c r="J52" s="2">
        <f t="shared" si="16"/>
        <v>-16322.427770243259</v>
      </c>
      <c r="K52" s="6">
        <f t="shared" si="17"/>
        <v>-6.1676521652904777E-2</v>
      </c>
      <c r="L52" s="7">
        <f t="shared" si="18"/>
        <v>0.93832347834709517</v>
      </c>
      <c r="N52">
        <f t="shared" si="19"/>
        <v>2001</v>
      </c>
      <c r="O52" s="2">
        <f t="shared" si="20"/>
        <v>6902.4667710260355</v>
      </c>
      <c r="P52" s="2"/>
      <c r="Q52" s="2"/>
      <c r="R52">
        <f t="shared" si="21"/>
        <v>2001</v>
      </c>
      <c r="S52" s="2">
        <f t="shared" ref="S52:S64" si="53">B52-($O52/5)</f>
        <v>43991.137210691093</v>
      </c>
      <c r="T52" s="2"/>
      <c r="U52" s="2">
        <f t="shared" ref="U52:V64" si="54">D52-($O52/5)</f>
        <v>49932.56203153867</v>
      </c>
      <c r="V52" s="2">
        <f t="shared" si="54"/>
        <v>25204.04353622903</v>
      </c>
      <c r="W52" s="2"/>
      <c r="X52" s="2">
        <f t="shared" ref="X52:Y64" si="55">G52-($O52/5)</f>
        <v>39796.917258607646</v>
      </c>
      <c r="Y52" s="2">
        <f t="shared" si="55"/>
        <v>82496.170128717713</v>
      </c>
      <c r="Z52" s="2">
        <f t="shared" si="24"/>
        <v>241420.83016578417</v>
      </c>
      <c r="AA52" s="2">
        <f t="shared" si="25"/>
        <v>-16431.128034353926</v>
      </c>
      <c r="AB52" s="6">
        <f t="shared" si="26"/>
        <v>-6.3723107433609261E-2</v>
      </c>
      <c r="AC52" s="7">
        <f t="shared" si="27"/>
        <v>0.93627689256639068</v>
      </c>
      <c r="AD52" s="2">
        <f t="shared" si="28"/>
        <v>0</v>
      </c>
      <c r="AE52" s="2"/>
      <c r="AG52">
        <f t="shared" si="29"/>
        <v>2001</v>
      </c>
      <c r="AH52" s="6">
        <f t="shared" si="5"/>
        <v>0.18221765363196826</v>
      </c>
      <c r="AI52" s="7"/>
      <c r="AJ52" s="6">
        <f t="shared" si="50"/>
        <v>0.20682789466530241</v>
      </c>
      <c r="AK52" s="6">
        <f t="shared" si="50"/>
        <v>0.10439879408467514</v>
      </c>
      <c r="AL52" s="7"/>
      <c r="AM52" s="6">
        <f t="shared" si="30"/>
        <v>0.16484458789773451</v>
      </c>
      <c r="AN52" s="6">
        <f t="shared" si="31"/>
        <v>0.34171106972031962</v>
      </c>
      <c r="AO52" s="6">
        <f t="shared" si="32"/>
        <v>0.99999999999999989</v>
      </c>
      <c r="AP52" s="7">
        <f t="shared" si="33"/>
        <v>0.65828893027968027</v>
      </c>
      <c r="AQ52" s="7">
        <f t="shared" si="34"/>
        <v>0</v>
      </c>
      <c r="AR52" s="24"/>
      <c r="AS52">
        <f t="shared" si="35"/>
        <v>2001</v>
      </c>
      <c r="AT52" s="1" t="b">
        <f t="shared" si="36"/>
        <v>1</v>
      </c>
      <c r="AU52" s="1"/>
      <c r="AV52" s="1" t="b">
        <f t="shared" ref="AV52:AV64" si="56">AND((U52/$Z52)&gt;0.15,(U52/$Z52)&lt;0.25)</f>
        <v>1</v>
      </c>
      <c r="AW52" s="1" t="b">
        <f t="shared" ref="AW52:AW64" si="57">AND((V52/$Z52)&gt;0.05,(V52/$Z52)&lt;0.15)</f>
        <v>1</v>
      </c>
      <c r="AX52" s="1"/>
      <c r="AY52" s="1" t="b">
        <f t="shared" si="45"/>
        <v>1</v>
      </c>
      <c r="AZ52" s="1" t="b">
        <f t="shared" si="38"/>
        <v>1</v>
      </c>
      <c r="BA52" s="1" t="b">
        <f t="shared" si="39"/>
        <v>1</v>
      </c>
      <c r="BC52">
        <f t="shared" si="40"/>
        <v>2001</v>
      </c>
      <c r="BD52" s="2">
        <f>$BK52*BD$39</f>
        <v>48284.166033156835</v>
      </c>
      <c r="BE52" s="2"/>
      <c r="BF52" s="2">
        <f t="shared" si="46"/>
        <v>48284.166033156835</v>
      </c>
      <c r="BG52" s="2">
        <f t="shared" si="46"/>
        <v>24142.083016578417</v>
      </c>
      <c r="BH52" s="2"/>
      <c r="BI52" s="2">
        <f>$BK52*BI$39</f>
        <v>48284.166033156835</v>
      </c>
      <c r="BJ52" s="2">
        <f t="shared" si="11"/>
        <v>72426.249049735241</v>
      </c>
      <c r="BK52" s="2">
        <f t="shared" si="41"/>
        <v>241420.83016578417</v>
      </c>
      <c r="BL52" s="2">
        <f t="shared" si="42"/>
        <v>0</v>
      </c>
      <c r="BM52" s="2"/>
    </row>
    <row r="53" spans="1:65" x14ac:dyDescent="0.2">
      <c r="A53">
        <f t="shared" si="6"/>
        <v>2002</v>
      </c>
      <c r="B53" s="2">
        <f t="shared" si="47"/>
        <v>37589.223256812591</v>
      </c>
      <c r="C53" s="2"/>
      <c r="D53" s="2">
        <f t="shared" si="51"/>
        <v>41230.815059033288</v>
      </c>
      <c r="E53" s="2">
        <f t="shared" si="52"/>
        <v>19308.355154999088</v>
      </c>
      <c r="F53" s="2"/>
      <c r="G53" s="2">
        <f t="shared" si="44"/>
        <v>41001.465270375789</v>
      </c>
      <c r="H53" s="2">
        <f t="shared" si="15"/>
        <v>78408.657221243368</v>
      </c>
      <c r="I53" s="2">
        <f t="shared" si="43"/>
        <v>217538.51596246415</v>
      </c>
      <c r="J53" s="2">
        <f t="shared" si="16"/>
        <v>-30784.780974346038</v>
      </c>
      <c r="K53" s="6">
        <f t="shared" si="17"/>
        <v>-0.12397057124358217</v>
      </c>
      <c r="L53" s="7">
        <f t="shared" si="18"/>
        <v>0.87602942875641787</v>
      </c>
      <c r="N53">
        <f t="shared" si="19"/>
        <v>2002</v>
      </c>
      <c r="O53" s="2">
        <f t="shared" si="20"/>
        <v>7075.0284403016858</v>
      </c>
      <c r="P53" s="2"/>
      <c r="Q53" s="2"/>
      <c r="R53">
        <f t="shared" si="21"/>
        <v>2002</v>
      </c>
      <c r="S53" s="2">
        <f t="shared" si="53"/>
        <v>36174.217568752254</v>
      </c>
      <c r="T53" s="2"/>
      <c r="U53" s="2">
        <f t="shared" si="54"/>
        <v>39815.809370972951</v>
      </c>
      <c r="V53" s="2">
        <f t="shared" si="54"/>
        <v>17893.349466938751</v>
      </c>
      <c r="W53" s="2"/>
      <c r="X53" s="2">
        <f t="shared" si="55"/>
        <v>39586.459582315452</v>
      </c>
      <c r="Y53" s="2">
        <f t="shared" si="55"/>
        <v>76993.651533183031</v>
      </c>
      <c r="Z53" s="2">
        <f t="shared" si="24"/>
        <v>210463.48752216247</v>
      </c>
      <c r="AA53" s="2">
        <f t="shared" si="25"/>
        <v>-30957.342643621698</v>
      </c>
      <c r="AB53" s="6">
        <f t="shared" si="26"/>
        <v>-0.12822979120054898</v>
      </c>
      <c r="AC53" s="7">
        <f t="shared" si="27"/>
        <v>0.871770208799451</v>
      </c>
      <c r="AD53" s="2">
        <f t="shared" si="28"/>
        <v>0</v>
      </c>
      <c r="AE53" s="2"/>
      <c r="AG53">
        <f t="shared" si="29"/>
        <v>2002</v>
      </c>
      <c r="AH53" s="6">
        <f t="shared" si="5"/>
        <v>0.17187882798408438</v>
      </c>
      <c r="AI53" s="7"/>
      <c r="AJ53" s="6">
        <f t="shared" si="50"/>
        <v>0.1891815527706687</v>
      </c>
      <c r="AK53" s="6">
        <f t="shared" si="50"/>
        <v>8.5018782486223535E-2</v>
      </c>
      <c r="AL53" s="7"/>
      <c r="AM53" s="6">
        <f t="shared" si="30"/>
        <v>0.18809181605976605</v>
      </c>
      <c r="AN53" s="59">
        <f t="shared" si="31"/>
        <v>0.36582902069925721</v>
      </c>
      <c r="AO53" s="6">
        <f t="shared" si="32"/>
        <v>0.99999999999999978</v>
      </c>
      <c r="AP53" s="7">
        <f t="shared" si="33"/>
        <v>0.63417097930074262</v>
      </c>
      <c r="AQ53" s="7">
        <f t="shared" si="34"/>
        <v>0</v>
      </c>
      <c r="AR53" s="24"/>
      <c r="AS53">
        <f t="shared" si="35"/>
        <v>2002</v>
      </c>
      <c r="AT53" s="1" t="b">
        <f t="shared" si="36"/>
        <v>1</v>
      </c>
      <c r="AU53" s="1"/>
      <c r="AV53" s="1" t="b">
        <f t="shared" si="56"/>
        <v>1</v>
      </c>
      <c r="AW53" s="1" t="b">
        <f t="shared" si="57"/>
        <v>1</v>
      </c>
      <c r="AX53" s="1"/>
      <c r="AY53" s="1" t="b">
        <f t="shared" si="45"/>
        <v>1</v>
      </c>
      <c r="AZ53" s="1" t="b">
        <f t="shared" si="38"/>
        <v>0</v>
      </c>
      <c r="BA53" s="1" t="b">
        <f t="shared" si="39"/>
        <v>1</v>
      </c>
      <c r="BC53">
        <f t="shared" si="40"/>
        <v>2002</v>
      </c>
      <c r="BD53" s="2">
        <f t="shared" ref="BD53:BD64" si="58">$BK53*BD$39</f>
        <v>42092.697504432494</v>
      </c>
      <c r="BE53" s="2"/>
      <c r="BF53" s="2">
        <f t="shared" si="46"/>
        <v>42092.697504432494</v>
      </c>
      <c r="BG53" s="2">
        <f t="shared" si="46"/>
        <v>21046.348752216247</v>
      </c>
      <c r="BH53" s="2"/>
      <c r="BI53" s="2">
        <f t="shared" ref="BI53:BI64" si="59">$BK53*BI$39</f>
        <v>42092.697504432494</v>
      </c>
      <c r="BJ53" s="2">
        <f t="shared" si="11"/>
        <v>63139.04625664874</v>
      </c>
      <c r="BK53" s="2">
        <f t="shared" si="41"/>
        <v>210463.48752216247</v>
      </c>
      <c r="BL53" s="2">
        <f t="shared" si="42"/>
        <v>0</v>
      </c>
      <c r="BM53" s="2"/>
    </row>
    <row r="54" spans="1:65" x14ac:dyDescent="0.2">
      <c r="A54">
        <f t="shared" si="6"/>
        <v>2003</v>
      </c>
      <c r="B54" s="2">
        <f t="shared" si="47"/>
        <v>54089.116293195751</v>
      </c>
      <c r="C54" s="2"/>
      <c r="D54" s="2">
        <f t="shared" si="51"/>
        <v>56463.986286395841</v>
      </c>
      <c r="E54" s="2">
        <f t="shared" si="52"/>
        <v>30649.376760877476</v>
      </c>
      <c r="F54" s="2"/>
      <c r="G54" s="2">
        <f t="shared" si="44"/>
        <v>59072.89167772056</v>
      </c>
      <c r="H54" s="2">
        <f t="shared" si="15"/>
        <v>65645.666393037696</v>
      </c>
      <c r="I54" s="2">
        <f t="shared" si="43"/>
        <v>265921.0374112273</v>
      </c>
      <c r="J54" s="2">
        <f t="shared" si="16"/>
        <v>48382.521448763146</v>
      </c>
      <c r="K54" s="6">
        <f t="shared" si="17"/>
        <v>0.22240898920681915</v>
      </c>
      <c r="L54" s="7">
        <f t="shared" si="18"/>
        <v>1.2224089892068191</v>
      </c>
      <c r="N54">
        <f t="shared" si="19"/>
        <v>2003</v>
      </c>
      <c r="O54" s="2">
        <f t="shared" si="20"/>
        <v>7216.5290091077195</v>
      </c>
      <c r="P54" s="2"/>
      <c r="Q54" s="2"/>
      <c r="R54">
        <f t="shared" si="21"/>
        <v>2003</v>
      </c>
      <c r="S54" s="2">
        <f t="shared" si="53"/>
        <v>52645.810491374206</v>
      </c>
      <c r="T54" s="2"/>
      <c r="U54" s="2">
        <f t="shared" si="54"/>
        <v>55020.680484574295</v>
      </c>
      <c r="V54" s="2">
        <f t="shared" si="54"/>
        <v>29206.070959055931</v>
      </c>
      <c r="W54" s="2"/>
      <c r="X54" s="2">
        <f t="shared" si="55"/>
        <v>57629.585875899014</v>
      </c>
      <c r="Y54" s="2">
        <f t="shared" si="55"/>
        <v>64202.360591216151</v>
      </c>
      <c r="Z54" s="2">
        <f t="shared" si="24"/>
        <v>258704.50840211959</v>
      </c>
      <c r="AA54" s="2">
        <f t="shared" si="25"/>
        <v>48241.020879957126</v>
      </c>
      <c r="AB54" s="6">
        <f t="shared" si="26"/>
        <v>0.22921325426994643</v>
      </c>
      <c r="AC54" s="7">
        <f t="shared" si="27"/>
        <v>1.2292132542699465</v>
      </c>
      <c r="AD54" s="2">
        <f t="shared" si="28"/>
        <v>0</v>
      </c>
      <c r="AE54" s="2"/>
      <c r="AG54">
        <f t="shared" si="29"/>
        <v>2003</v>
      </c>
      <c r="AH54" s="6">
        <f t="shared" si="5"/>
        <v>0.2034978470863899</v>
      </c>
      <c r="AI54" s="7"/>
      <c r="AJ54" s="6">
        <f t="shared" si="50"/>
        <v>0.21267770254336821</v>
      </c>
      <c r="AK54" s="6">
        <f t="shared" si="50"/>
        <v>0.11289355233678117</v>
      </c>
      <c r="AL54" s="7"/>
      <c r="AM54" s="38">
        <f t="shared" si="30"/>
        <v>0.22276220167884345</v>
      </c>
      <c r="AN54" s="38">
        <f t="shared" si="31"/>
        <v>0.24816869635461727</v>
      </c>
      <c r="AO54" s="6">
        <f t="shared" si="32"/>
        <v>0.99999999999999989</v>
      </c>
      <c r="AP54" s="7">
        <f t="shared" si="33"/>
        <v>0.75183130364538264</v>
      </c>
      <c r="AQ54" s="7">
        <f t="shared" si="34"/>
        <v>0</v>
      </c>
      <c r="AR54" s="24"/>
      <c r="AS54">
        <f t="shared" si="35"/>
        <v>2003</v>
      </c>
      <c r="AT54" s="1" t="b">
        <f t="shared" si="36"/>
        <v>1</v>
      </c>
      <c r="AU54" s="1"/>
      <c r="AV54" s="1" t="b">
        <f t="shared" si="56"/>
        <v>1</v>
      </c>
      <c r="AW54" s="1" t="b">
        <f t="shared" si="57"/>
        <v>1</v>
      </c>
      <c r="AX54" s="1"/>
      <c r="AY54" s="1" t="b">
        <f t="shared" si="45"/>
        <v>1</v>
      </c>
      <c r="AZ54" s="39" t="b">
        <f t="shared" si="38"/>
        <v>0</v>
      </c>
      <c r="BA54" s="1" t="b">
        <f t="shared" si="39"/>
        <v>1</v>
      </c>
      <c r="BC54">
        <f t="shared" si="40"/>
        <v>2003</v>
      </c>
      <c r="BD54" s="2">
        <f t="shared" si="58"/>
        <v>51740.901680423922</v>
      </c>
      <c r="BE54" s="2"/>
      <c r="BF54" s="2">
        <f t="shared" si="46"/>
        <v>51740.901680423922</v>
      </c>
      <c r="BG54" s="2">
        <f t="shared" si="46"/>
        <v>25870.450840211961</v>
      </c>
      <c r="BH54" s="2"/>
      <c r="BI54" s="2">
        <f t="shared" si="59"/>
        <v>51740.901680423922</v>
      </c>
      <c r="BJ54" s="2">
        <f t="shared" si="11"/>
        <v>77611.352520635875</v>
      </c>
      <c r="BK54" s="2">
        <f t="shared" si="41"/>
        <v>258704.50840211959</v>
      </c>
      <c r="BL54" s="2">
        <f t="shared" si="42"/>
        <v>0</v>
      </c>
      <c r="BM54" s="2"/>
    </row>
    <row r="55" spans="1:65" x14ac:dyDescent="0.2">
      <c r="A55">
        <f t="shared" si="6"/>
        <v>2004</v>
      </c>
      <c r="B55" s="2">
        <f t="shared" si="47"/>
        <v>57297.874520901445</v>
      </c>
      <c r="C55" s="2"/>
      <c r="D55" s="2">
        <f t="shared" si="51"/>
        <v>62271.727399440599</v>
      </c>
      <c r="E55" s="2">
        <f t="shared" si="52"/>
        <v>31017.894443888938</v>
      </c>
      <c r="F55" s="2"/>
      <c r="G55" s="2">
        <f t="shared" si="44"/>
        <v>62522.153363573852</v>
      </c>
      <c r="H55" s="2">
        <f t="shared" si="15"/>
        <v>80902.07386751083</v>
      </c>
      <c r="I55" s="2">
        <f t="shared" si="43"/>
        <v>294011.72359531571</v>
      </c>
      <c r="J55" s="2">
        <f t="shared" si="16"/>
        <v>28090.686184088408</v>
      </c>
      <c r="K55" s="6">
        <f t="shared" si="17"/>
        <v>0.1056354414737343</v>
      </c>
      <c r="L55" s="7">
        <f t="shared" si="18"/>
        <v>1.1056354414737344</v>
      </c>
      <c r="N55">
        <f t="shared" si="19"/>
        <v>2004</v>
      </c>
      <c r="O55" s="2">
        <f t="shared" si="20"/>
        <v>7454.6744664082735</v>
      </c>
      <c r="P55" s="2"/>
      <c r="Q55" s="2"/>
      <c r="R55">
        <f t="shared" si="21"/>
        <v>2004</v>
      </c>
      <c r="S55" s="2">
        <f t="shared" si="53"/>
        <v>55806.939627619788</v>
      </c>
      <c r="T55" s="2"/>
      <c r="U55" s="2">
        <f t="shared" si="54"/>
        <v>60780.792506158941</v>
      </c>
      <c r="V55" s="2">
        <f t="shared" si="54"/>
        <v>29526.959550607284</v>
      </c>
      <c r="W55" s="2"/>
      <c r="X55" s="2">
        <f t="shared" si="55"/>
        <v>61031.218470292195</v>
      </c>
      <c r="Y55" s="2">
        <f t="shared" si="55"/>
        <v>79411.138974229179</v>
      </c>
      <c r="Z55" s="2">
        <f t="shared" si="24"/>
        <v>286557.04912890738</v>
      </c>
      <c r="AA55" s="2">
        <f t="shared" si="25"/>
        <v>27852.540726787789</v>
      </c>
      <c r="AB55" s="6">
        <f t="shared" si="26"/>
        <v>0.10766159777739533</v>
      </c>
      <c r="AC55" s="7">
        <f t="shared" si="27"/>
        <v>1.1076615977773954</v>
      </c>
      <c r="AD55" s="2">
        <f t="shared" si="28"/>
        <v>0</v>
      </c>
      <c r="AE55" s="2"/>
      <c r="AG55">
        <f t="shared" si="29"/>
        <v>2004</v>
      </c>
      <c r="AH55" s="6">
        <f t="shared" ref="AH55:AH64" si="60">S55/$Z55</f>
        <v>0.19474984055448971</v>
      </c>
      <c r="AI55" s="7"/>
      <c r="AJ55" s="6">
        <f t="shared" si="50"/>
        <v>0.21210712732743409</v>
      </c>
      <c r="AK55" s="6">
        <f t="shared" si="50"/>
        <v>0.10304042298161932</v>
      </c>
      <c r="AL55" s="7"/>
      <c r="AM55" s="6">
        <f t="shared" si="30"/>
        <v>0.21298104044489014</v>
      </c>
      <c r="AN55" s="38">
        <f t="shared" si="31"/>
        <v>0.27712156869156679</v>
      </c>
      <c r="AO55" s="6">
        <f t="shared" si="32"/>
        <v>1</v>
      </c>
      <c r="AP55" s="7">
        <f t="shared" si="33"/>
        <v>0.72287843130843332</v>
      </c>
      <c r="AQ55" s="7">
        <f t="shared" si="34"/>
        <v>0</v>
      </c>
      <c r="AR55" s="24"/>
      <c r="AS55">
        <f t="shared" si="35"/>
        <v>2004</v>
      </c>
      <c r="AT55" s="1" t="b">
        <f t="shared" si="36"/>
        <v>1</v>
      </c>
      <c r="AV55" s="1" t="b">
        <f t="shared" si="56"/>
        <v>1</v>
      </c>
      <c r="AW55" s="1" t="b">
        <f t="shared" si="57"/>
        <v>1</v>
      </c>
      <c r="AY55" s="1" t="b">
        <f t="shared" si="45"/>
        <v>1</v>
      </c>
      <c r="AZ55" s="39" t="b">
        <f t="shared" si="38"/>
        <v>1</v>
      </c>
      <c r="BA55" s="1" t="b">
        <f t="shared" si="39"/>
        <v>1</v>
      </c>
      <c r="BC55">
        <f t="shared" si="40"/>
        <v>2004</v>
      </c>
      <c r="BD55" s="2">
        <f t="shared" si="58"/>
        <v>57311.409825781477</v>
      </c>
      <c r="BE55" s="2"/>
      <c r="BF55" s="2">
        <f t="shared" si="46"/>
        <v>57311.409825781477</v>
      </c>
      <c r="BG55" s="2">
        <f t="shared" si="46"/>
        <v>28655.704912890738</v>
      </c>
      <c r="BH55" s="2"/>
      <c r="BI55" s="2">
        <f t="shared" si="59"/>
        <v>57311.409825781477</v>
      </c>
      <c r="BJ55" s="2">
        <f t="shared" si="11"/>
        <v>85967.114738672215</v>
      </c>
      <c r="BK55" s="2">
        <f t="shared" si="41"/>
        <v>286557.04912890738</v>
      </c>
      <c r="BL55" s="2">
        <f t="shared" si="42"/>
        <v>0</v>
      </c>
      <c r="BM55" s="2"/>
    </row>
    <row r="56" spans="1:65" x14ac:dyDescent="0.2">
      <c r="A56">
        <f t="shared" si="6"/>
        <v>2005</v>
      </c>
      <c r="B56" s="2">
        <f t="shared" si="47"/>
        <v>60045.164074471257</v>
      </c>
      <c r="C56" s="2"/>
      <c r="D56" s="2">
        <f t="shared" si="51"/>
        <v>65295.462328611095</v>
      </c>
      <c r="E56" s="2">
        <f t="shared" si="52"/>
        <v>30765.624465626886</v>
      </c>
      <c r="F56" s="2"/>
      <c r="G56" s="2">
        <f t="shared" si="44"/>
        <v>66235.369449753911</v>
      </c>
      <c r="H56" s="2">
        <f t="shared" si="15"/>
        <v>88030.325492400356</v>
      </c>
      <c r="I56" s="2">
        <f t="shared" si="43"/>
        <v>310371.94581086352</v>
      </c>
      <c r="J56" s="2">
        <f>I56-I55</f>
        <v>16360.222215547808</v>
      </c>
      <c r="K56" s="6">
        <f>(J56/I55)</f>
        <v>5.564479543702272E-2</v>
      </c>
      <c r="L56" s="7">
        <f t="shared" si="18"/>
        <v>1.0556447954370227</v>
      </c>
      <c r="N56">
        <f t="shared" si="19"/>
        <v>2005</v>
      </c>
      <c r="O56" s="2">
        <f t="shared" si="20"/>
        <v>7700.678723799746</v>
      </c>
      <c r="P56" s="2"/>
      <c r="Q56" s="2"/>
      <c r="R56">
        <f t="shared" si="21"/>
        <v>2005</v>
      </c>
      <c r="S56" s="2">
        <f t="shared" si="53"/>
        <v>58505.028329711306</v>
      </c>
      <c r="T56" s="2"/>
      <c r="U56" s="2">
        <f t="shared" si="54"/>
        <v>63755.326583851143</v>
      </c>
      <c r="V56" s="2">
        <f t="shared" si="54"/>
        <v>29225.488720866939</v>
      </c>
      <c r="W56" s="2"/>
      <c r="X56" s="2">
        <f t="shared" si="55"/>
        <v>64695.23370499396</v>
      </c>
      <c r="Y56" s="2">
        <f t="shared" si="55"/>
        <v>86490.189747640412</v>
      </c>
      <c r="Z56" s="2">
        <f t="shared" si="24"/>
        <v>302671.26708706375</v>
      </c>
      <c r="AA56" s="2">
        <f>Z56-Z55</f>
        <v>16114.217958156369</v>
      </c>
      <c r="AB56" s="6">
        <f>(AA56/Z55)</f>
        <v>5.6233891321610469E-2</v>
      </c>
      <c r="AC56" s="7">
        <f t="shared" si="27"/>
        <v>1.0562338913216105</v>
      </c>
      <c r="AD56" s="2">
        <f t="shared" si="28"/>
        <v>0</v>
      </c>
      <c r="AE56" s="2"/>
      <c r="AG56">
        <f t="shared" si="29"/>
        <v>2005</v>
      </c>
      <c r="AH56" s="6">
        <f t="shared" si="60"/>
        <v>0.19329561372894463</v>
      </c>
      <c r="AI56" s="7"/>
      <c r="AJ56" s="6">
        <f t="shared" si="50"/>
        <v>0.21064215046719928</v>
      </c>
      <c r="AK56" s="6">
        <f t="shared" si="50"/>
        <v>9.6558517107143152E-2</v>
      </c>
      <c r="AL56" s="7"/>
      <c r="AM56" s="6">
        <f t="shared" si="30"/>
        <v>0.21374752327046723</v>
      </c>
      <c r="AN56" s="6">
        <f t="shared" si="31"/>
        <v>0.28575619542624575</v>
      </c>
      <c r="AO56" s="6">
        <f t="shared" si="32"/>
        <v>1</v>
      </c>
      <c r="AP56" s="7">
        <f t="shared" si="33"/>
        <v>0.71424380457375425</v>
      </c>
      <c r="AQ56" s="7">
        <f t="shared" si="34"/>
        <v>0</v>
      </c>
      <c r="AR56" s="24"/>
      <c r="AS56">
        <f t="shared" si="35"/>
        <v>2005</v>
      </c>
      <c r="AT56" s="1" t="b">
        <f t="shared" si="36"/>
        <v>1</v>
      </c>
      <c r="AV56" s="1" t="b">
        <f t="shared" si="56"/>
        <v>1</v>
      </c>
      <c r="AW56" s="1" t="b">
        <f t="shared" si="57"/>
        <v>1</v>
      </c>
      <c r="AY56" s="1" t="b">
        <f t="shared" si="45"/>
        <v>1</v>
      </c>
      <c r="AZ56" s="1" t="b">
        <f t="shared" si="38"/>
        <v>1</v>
      </c>
      <c r="BA56" s="1" t="b">
        <f t="shared" si="39"/>
        <v>1</v>
      </c>
      <c r="BC56">
        <f t="shared" si="40"/>
        <v>2005</v>
      </c>
      <c r="BD56" s="2">
        <f t="shared" si="58"/>
        <v>60534.25341741275</v>
      </c>
      <c r="BE56" s="2"/>
      <c r="BF56" s="2">
        <f t="shared" si="46"/>
        <v>60534.25341741275</v>
      </c>
      <c r="BG56" s="2">
        <f t="shared" si="46"/>
        <v>30267.126708706375</v>
      </c>
      <c r="BH56" s="2"/>
      <c r="BI56" s="2">
        <f t="shared" si="59"/>
        <v>60534.25341741275</v>
      </c>
      <c r="BJ56" s="2">
        <f t="shared" si="11"/>
        <v>90801.380126119126</v>
      </c>
      <c r="BK56" s="2">
        <f t="shared" si="41"/>
        <v>302671.26708706375</v>
      </c>
      <c r="BL56" s="2">
        <f t="shared" si="42"/>
        <v>0</v>
      </c>
      <c r="BM56" s="2"/>
    </row>
    <row r="57" spans="1:65" x14ac:dyDescent="0.2">
      <c r="A57">
        <f t="shared" si="6"/>
        <v>2006</v>
      </c>
      <c r="B57" s="2">
        <f t="shared" si="47"/>
        <v>70001.810651896114</v>
      </c>
      <c r="C57" s="2"/>
      <c r="D57" s="2">
        <f t="shared" si="51"/>
        <v>68765.095854578351</v>
      </c>
      <c r="E57" s="2">
        <f t="shared" si="52"/>
        <v>35005.748066221444</v>
      </c>
      <c r="F57" s="2"/>
      <c r="G57" s="2">
        <f t="shared" si="44"/>
        <v>76658.762500208992</v>
      </c>
      <c r="H57" s="2">
        <f t="shared" si="15"/>
        <v>94678.599057504412</v>
      </c>
      <c r="I57" s="2">
        <f t="shared" si="43"/>
        <v>345110.01613040932</v>
      </c>
      <c r="J57" s="2">
        <f t="shared" si="16"/>
        <v>34738.070319545805</v>
      </c>
      <c r="K57" s="6">
        <f t="shared" si="17"/>
        <v>0.11192400211556078</v>
      </c>
      <c r="L57" s="7">
        <f t="shared" si="18"/>
        <v>1.1119240021155608</v>
      </c>
      <c r="N57">
        <f t="shared" si="19"/>
        <v>2006</v>
      </c>
      <c r="O57" s="2">
        <f t="shared" si="20"/>
        <v>7893.195691894739</v>
      </c>
      <c r="P57" s="2"/>
      <c r="Q57" s="2"/>
      <c r="R57">
        <f t="shared" si="21"/>
        <v>2006</v>
      </c>
      <c r="S57" s="2">
        <f t="shared" si="53"/>
        <v>68423.171513517169</v>
      </c>
      <c r="T57" s="2"/>
      <c r="U57" s="2">
        <f t="shared" si="54"/>
        <v>67186.456716199405</v>
      </c>
      <c r="V57" s="2">
        <f t="shared" si="54"/>
        <v>33427.108927842499</v>
      </c>
      <c r="W57" s="2"/>
      <c r="X57" s="2">
        <f t="shared" si="55"/>
        <v>75080.123361830047</v>
      </c>
      <c r="Y57" s="2">
        <f t="shared" si="55"/>
        <v>93099.959919125467</v>
      </c>
      <c r="Z57" s="2">
        <f t="shared" si="24"/>
        <v>337216.82043851458</v>
      </c>
      <c r="AA57" s="2">
        <f t="shared" ref="AA57:AA64" si="61">Z57-Z56</f>
        <v>34545.553351450828</v>
      </c>
      <c r="AB57" s="6">
        <f t="shared" ref="AB57:AB64" si="62">(AA57/Z56)</f>
        <v>0.11413555599089542</v>
      </c>
      <c r="AC57" s="7">
        <f t="shared" si="27"/>
        <v>1.1141355559908954</v>
      </c>
      <c r="AD57" s="2">
        <f t="shared" si="28"/>
        <v>0</v>
      </c>
      <c r="AE57" s="2"/>
      <c r="AG57">
        <f t="shared" si="29"/>
        <v>2006</v>
      </c>
      <c r="AH57" s="6">
        <f t="shared" si="60"/>
        <v>0.20290557103450568</v>
      </c>
      <c r="AI57" s="7"/>
      <c r="AJ57" s="6">
        <f t="shared" si="50"/>
        <v>0.19923815374580239</v>
      </c>
      <c r="AK57" s="6">
        <f t="shared" si="50"/>
        <v>9.9126457821333169E-2</v>
      </c>
      <c r="AL57" s="7"/>
      <c r="AM57" s="6">
        <f t="shared" ref="AM57:AM64" si="63">X57/$Z57</f>
        <v>0.22264643639126999</v>
      </c>
      <c r="AN57" s="6">
        <f t="shared" si="31"/>
        <v>0.27608338100708879</v>
      </c>
      <c r="AO57" s="6">
        <f t="shared" si="32"/>
        <v>1</v>
      </c>
      <c r="AP57" s="7">
        <f t="shared" si="33"/>
        <v>0.72391661899291126</v>
      </c>
      <c r="AQ57" s="7">
        <f t="shared" si="34"/>
        <v>0</v>
      </c>
      <c r="AR57" s="24"/>
      <c r="AS57">
        <f t="shared" si="35"/>
        <v>2006</v>
      </c>
      <c r="AT57" s="1" t="b">
        <f t="shared" si="36"/>
        <v>1</v>
      </c>
      <c r="AV57" s="1" t="b">
        <f t="shared" si="56"/>
        <v>1</v>
      </c>
      <c r="AW57" s="1" t="b">
        <f t="shared" si="57"/>
        <v>1</v>
      </c>
      <c r="AY57" s="1" t="b">
        <f t="shared" si="45"/>
        <v>1</v>
      </c>
      <c r="AZ57" s="1" t="b">
        <f t="shared" si="38"/>
        <v>1</v>
      </c>
      <c r="BA57" s="1" t="b">
        <f t="shared" si="39"/>
        <v>1</v>
      </c>
      <c r="BC57">
        <f t="shared" si="40"/>
        <v>2006</v>
      </c>
      <c r="BD57" s="2">
        <f t="shared" si="58"/>
        <v>67443.364087702925</v>
      </c>
      <c r="BE57" s="2"/>
      <c r="BF57" s="2">
        <f t="shared" si="46"/>
        <v>67443.364087702925</v>
      </c>
      <c r="BG57" s="2">
        <f t="shared" si="46"/>
        <v>33721.682043851462</v>
      </c>
      <c r="BH57" s="2"/>
      <c r="BI57" s="2">
        <f t="shared" si="59"/>
        <v>67443.364087702925</v>
      </c>
      <c r="BJ57" s="2">
        <f t="shared" si="11"/>
        <v>101165.04613155437</v>
      </c>
      <c r="BK57" s="2">
        <f t="shared" si="41"/>
        <v>337216.82043851458</v>
      </c>
      <c r="BL57" s="2">
        <f t="shared" si="42"/>
        <v>0</v>
      </c>
      <c r="BM57" s="2"/>
    </row>
    <row r="58" spans="1:65" x14ac:dyDescent="0.2">
      <c r="A58">
        <f t="shared" si="6"/>
        <v>2007</v>
      </c>
      <c r="B58" s="2">
        <f t="shared" si="47"/>
        <v>71078.561412030118</v>
      </c>
      <c r="C58" s="2"/>
      <c r="D58" s="2">
        <f t="shared" si="51"/>
        <v>71504.129039423526</v>
      </c>
      <c r="E58" s="2">
        <f t="shared" si="52"/>
        <v>34111.504688278386</v>
      </c>
      <c r="F58" s="2"/>
      <c r="G58" s="2">
        <f t="shared" si="44"/>
        <v>77911.92306139617</v>
      </c>
      <c r="H58" s="2">
        <f t="shared" si="15"/>
        <v>108165.66732385792</v>
      </c>
      <c r="I58" s="2">
        <f t="shared" si="43"/>
        <v>362771.7855249861</v>
      </c>
      <c r="J58" s="2">
        <f t="shared" si="16"/>
        <v>17661.769394576782</v>
      </c>
      <c r="K58" s="6">
        <f t="shared" si="17"/>
        <v>5.1177214711446671E-2</v>
      </c>
      <c r="L58" s="7">
        <f t="shared" si="18"/>
        <v>1.0511772147114467</v>
      </c>
      <c r="N58">
        <f t="shared" si="19"/>
        <v>2007</v>
      </c>
      <c r="O58" s="2">
        <f t="shared" si="20"/>
        <v>8216.8167152624228</v>
      </c>
      <c r="P58" s="2"/>
      <c r="Q58" s="2"/>
      <c r="R58">
        <f t="shared" si="21"/>
        <v>2007</v>
      </c>
      <c r="S58" s="2">
        <f t="shared" si="53"/>
        <v>69435.198068977639</v>
      </c>
      <c r="T58" s="2"/>
      <c r="U58" s="2">
        <f t="shared" si="54"/>
        <v>69860.765696371047</v>
      </c>
      <c r="V58" s="2">
        <f t="shared" si="54"/>
        <v>32468.1413452259</v>
      </c>
      <c r="W58" s="2"/>
      <c r="X58" s="2">
        <f t="shared" si="55"/>
        <v>76268.559718343691</v>
      </c>
      <c r="Y58" s="2">
        <f t="shared" si="55"/>
        <v>106522.30398080545</v>
      </c>
      <c r="Z58" s="2">
        <f t="shared" si="24"/>
        <v>354554.96880972374</v>
      </c>
      <c r="AA58" s="2">
        <f t="shared" si="61"/>
        <v>17338.148371209158</v>
      </c>
      <c r="AB58" s="6">
        <f t="shared" si="62"/>
        <v>5.1415431616556796E-2</v>
      </c>
      <c r="AC58" s="7">
        <f t="shared" si="27"/>
        <v>1.0514154316165567</v>
      </c>
      <c r="AD58" s="2">
        <f t="shared" si="28"/>
        <v>0</v>
      </c>
      <c r="AE58" s="2"/>
      <c r="AG58">
        <f t="shared" si="29"/>
        <v>2007</v>
      </c>
      <c r="AH58" s="6">
        <f t="shared" si="60"/>
        <v>0.19583761102567113</v>
      </c>
      <c r="AI58" s="7"/>
      <c r="AJ58" s="6">
        <f t="shared" si="50"/>
        <v>0.19703789776490957</v>
      </c>
      <c r="AK58" s="6">
        <f t="shared" si="50"/>
        <v>9.1574351515153418E-2</v>
      </c>
      <c r="AL58" s="7"/>
      <c r="AM58" s="38">
        <f t="shared" si="63"/>
        <v>0.21511067797014613</v>
      </c>
      <c r="AN58" s="38">
        <f t="shared" si="31"/>
        <v>0.30043946172411967</v>
      </c>
      <c r="AO58" s="6">
        <f t="shared" si="32"/>
        <v>1</v>
      </c>
      <c r="AP58" s="7">
        <f t="shared" si="33"/>
        <v>0.69956053827588027</v>
      </c>
      <c r="AQ58" s="7">
        <f t="shared" si="34"/>
        <v>0</v>
      </c>
      <c r="AR58" s="24"/>
      <c r="AS58">
        <f t="shared" si="35"/>
        <v>2007</v>
      </c>
      <c r="AT58" s="1" t="b">
        <f t="shared" si="36"/>
        <v>1</v>
      </c>
      <c r="AV58" s="1" t="b">
        <f t="shared" si="56"/>
        <v>1</v>
      </c>
      <c r="AW58" s="1" t="b">
        <f t="shared" si="57"/>
        <v>1</v>
      </c>
      <c r="AY58" s="1" t="b">
        <f t="shared" si="45"/>
        <v>1</v>
      </c>
      <c r="AZ58" s="1" t="b">
        <f t="shared" si="38"/>
        <v>1</v>
      </c>
      <c r="BA58" s="1" t="b">
        <f t="shared" si="39"/>
        <v>1</v>
      </c>
      <c r="BC58">
        <f t="shared" si="40"/>
        <v>2007</v>
      </c>
      <c r="BD58" s="2">
        <f t="shared" si="58"/>
        <v>70910.993761944745</v>
      </c>
      <c r="BE58" s="2"/>
      <c r="BF58" s="2">
        <f t="shared" si="46"/>
        <v>70910.993761944745</v>
      </c>
      <c r="BG58" s="2">
        <f t="shared" si="46"/>
        <v>35455.496880972372</v>
      </c>
      <c r="BH58" s="2"/>
      <c r="BI58" s="2">
        <f t="shared" si="59"/>
        <v>70910.993761944745</v>
      </c>
      <c r="BJ58" s="2">
        <f t="shared" si="11"/>
        <v>106366.49064291712</v>
      </c>
      <c r="BK58" s="2">
        <f t="shared" si="41"/>
        <v>354554.96880972374</v>
      </c>
      <c r="BL58" s="2">
        <f t="shared" si="42"/>
        <v>0</v>
      </c>
      <c r="BM58" s="2"/>
    </row>
    <row r="59" spans="1:65" x14ac:dyDescent="0.2">
      <c r="A59">
        <f t="shared" si="6"/>
        <v>2008</v>
      </c>
      <c r="B59" s="2">
        <f t="shared" si="47"/>
        <v>44659.743871272796</v>
      </c>
      <c r="C59" s="2"/>
      <c r="D59" s="2">
        <f t="shared" si="51"/>
        <v>41253.179730948978</v>
      </c>
      <c r="E59" s="2">
        <f t="shared" si="52"/>
        <v>22666.699156005638</v>
      </c>
      <c r="F59" s="2"/>
      <c r="G59" s="2">
        <f t="shared" si="44"/>
        <v>39638.536402989492</v>
      </c>
      <c r="H59" s="2">
        <f t="shared" si="15"/>
        <v>111737.99842038444</v>
      </c>
      <c r="I59" s="2">
        <f t="shared" si="43"/>
        <v>259956.15758160135</v>
      </c>
      <c r="J59" s="2">
        <f t="shared" si="16"/>
        <v>-102815.62794338475</v>
      </c>
      <c r="K59" s="6">
        <f t="shared" si="17"/>
        <v>-0.28341682580026134</v>
      </c>
      <c r="L59" s="7">
        <f t="shared" si="18"/>
        <v>0.7165831741997386</v>
      </c>
      <c r="N59">
        <f t="shared" si="19"/>
        <v>2008</v>
      </c>
      <c r="O59" s="2">
        <f t="shared" si="20"/>
        <v>8216.8167152624228</v>
      </c>
      <c r="P59" s="2"/>
      <c r="Q59" s="2"/>
      <c r="R59">
        <f t="shared" si="21"/>
        <v>2008</v>
      </c>
      <c r="S59" s="2">
        <f t="shared" si="53"/>
        <v>43016.38052822031</v>
      </c>
      <c r="T59" s="2"/>
      <c r="U59" s="2">
        <f t="shared" si="54"/>
        <v>39609.816387896492</v>
      </c>
      <c r="V59" s="2">
        <f t="shared" si="54"/>
        <v>21023.335812953152</v>
      </c>
      <c r="W59" s="2"/>
      <c r="X59" s="2">
        <f t="shared" si="55"/>
        <v>37995.173059937006</v>
      </c>
      <c r="Y59" s="2">
        <f t="shared" si="55"/>
        <v>110094.63507733196</v>
      </c>
      <c r="Z59" s="2">
        <f t="shared" si="24"/>
        <v>251739.34086633893</v>
      </c>
      <c r="AA59" s="2">
        <f t="shared" si="61"/>
        <v>-102815.62794338481</v>
      </c>
      <c r="AB59" s="6">
        <f t="shared" si="62"/>
        <v>-0.28998501498525625</v>
      </c>
      <c r="AC59" s="7">
        <f t="shared" si="27"/>
        <v>0.71001498501474369</v>
      </c>
      <c r="AD59" s="2">
        <f t="shared" si="28"/>
        <v>0</v>
      </c>
      <c r="AE59" s="2"/>
      <c r="AG59">
        <f t="shared" si="29"/>
        <v>2008</v>
      </c>
      <c r="AH59" s="6">
        <f t="shared" si="60"/>
        <v>0.1708766710049498</v>
      </c>
      <c r="AI59" s="7"/>
      <c r="AJ59" s="6">
        <f t="shared" si="50"/>
        <v>0.15734456224276577</v>
      </c>
      <c r="AK59" s="6">
        <f t="shared" si="50"/>
        <v>8.3512317703713604E-2</v>
      </c>
      <c r="AL59" s="7"/>
      <c r="AM59" s="6">
        <f t="shared" si="63"/>
        <v>0.15093061310631839</v>
      </c>
      <c r="AN59" s="6">
        <f t="shared" si="31"/>
        <v>0.43733583594225239</v>
      </c>
      <c r="AO59" s="6">
        <f t="shared" si="32"/>
        <v>1</v>
      </c>
      <c r="AP59" s="7">
        <f t="shared" si="33"/>
        <v>0.56266416405774755</v>
      </c>
      <c r="AQ59" s="7">
        <f t="shared" si="34"/>
        <v>0</v>
      </c>
      <c r="AR59" s="24"/>
      <c r="AS59">
        <f t="shared" si="35"/>
        <v>2008</v>
      </c>
      <c r="AT59" s="1" t="b">
        <f t="shared" si="36"/>
        <v>1</v>
      </c>
      <c r="AV59" s="1" t="b">
        <f t="shared" si="56"/>
        <v>1</v>
      </c>
      <c r="AW59" s="1" t="b">
        <f t="shared" si="57"/>
        <v>1</v>
      </c>
      <c r="AY59" s="1" t="b">
        <f t="shared" si="45"/>
        <v>1</v>
      </c>
      <c r="AZ59" s="1" t="b">
        <f t="shared" si="38"/>
        <v>0</v>
      </c>
      <c r="BA59" s="1" t="b">
        <f t="shared" si="39"/>
        <v>1</v>
      </c>
      <c r="BC59">
        <f t="shared" si="40"/>
        <v>2008</v>
      </c>
      <c r="BD59" s="2">
        <f t="shared" si="58"/>
        <v>50347.868173267787</v>
      </c>
      <c r="BE59" s="2"/>
      <c r="BF59" s="2">
        <f t="shared" si="46"/>
        <v>50347.868173267787</v>
      </c>
      <c r="BG59" s="2">
        <f t="shared" si="46"/>
        <v>25173.934086633893</v>
      </c>
      <c r="BH59" s="2"/>
      <c r="BI59" s="2">
        <f t="shared" si="59"/>
        <v>50347.868173267787</v>
      </c>
      <c r="BJ59" s="2">
        <f t="shared" si="11"/>
        <v>75521.802259901669</v>
      </c>
      <c r="BK59" s="2">
        <f t="shared" si="41"/>
        <v>251739.34086633893</v>
      </c>
      <c r="BL59" s="2">
        <f t="shared" si="42"/>
        <v>0</v>
      </c>
      <c r="BM59" s="2"/>
    </row>
    <row r="60" spans="1:65" x14ac:dyDescent="0.2">
      <c r="A60">
        <f t="shared" si="6"/>
        <v>2009</v>
      </c>
      <c r="B60" s="2">
        <f t="shared" si="47"/>
        <v>63685.018452366421</v>
      </c>
      <c r="C60" s="2"/>
      <c r="D60" s="2">
        <f t="shared" si="51"/>
        <v>70596.773795192625</v>
      </c>
      <c r="E60" s="2">
        <f t="shared" si="52"/>
        <v>34266.255600044322</v>
      </c>
      <c r="F60" s="2"/>
      <c r="G60" s="2">
        <f t="shared" si="44"/>
        <v>68839.129717263844</v>
      </c>
      <c r="H60" s="2">
        <f t="shared" si="15"/>
        <v>80000.245133913835</v>
      </c>
      <c r="I60" s="2">
        <f t="shared" si="43"/>
        <v>317387.42269878107</v>
      </c>
      <c r="J60" s="2">
        <f t="shared" si="16"/>
        <v>57431.265117179719</v>
      </c>
      <c r="K60" s="6">
        <f t="shared" si="17"/>
        <v>0.22092673492125994</v>
      </c>
      <c r="L60" s="7">
        <f t="shared" si="18"/>
        <v>1.22092673492126</v>
      </c>
      <c r="N60">
        <f t="shared" si="19"/>
        <v>2009</v>
      </c>
      <c r="O60" s="2">
        <f t="shared" si="20"/>
        <v>8446.8875832897702</v>
      </c>
      <c r="P60" s="2"/>
      <c r="Q60" s="2"/>
      <c r="R60">
        <f t="shared" si="21"/>
        <v>2009</v>
      </c>
      <c r="S60" s="2">
        <f t="shared" si="53"/>
        <v>61995.64093570847</v>
      </c>
      <c r="T60" s="2"/>
      <c r="U60" s="2">
        <f t="shared" si="54"/>
        <v>68907.396278534667</v>
      </c>
      <c r="V60" s="2">
        <f t="shared" si="54"/>
        <v>32576.878083386368</v>
      </c>
      <c r="W60" s="2"/>
      <c r="X60" s="2">
        <f t="shared" si="55"/>
        <v>67149.752200605886</v>
      </c>
      <c r="Y60" s="2">
        <f t="shared" si="55"/>
        <v>78310.867617255877</v>
      </c>
      <c r="Z60" s="2">
        <f t="shared" si="24"/>
        <v>308940.53511549131</v>
      </c>
      <c r="AA60" s="2">
        <f t="shared" si="61"/>
        <v>57201.194249152381</v>
      </c>
      <c r="AB60" s="6">
        <f t="shared" si="62"/>
        <v>0.22722389775193449</v>
      </c>
      <c r="AC60" s="7">
        <f t="shared" si="27"/>
        <v>1.2272238977519345</v>
      </c>
      <c r="AD60" s="2">
        <f t="shared" si="28"/>
        <v>0</v>
      </c>
      <c r="AE60" s="2"/>
      <c r="AG60">
        <f t="shared" si="29"/>
        <v>2009</v>
      </c>
      <c r="AH60" s="6">
        <f t="shared" si="60"/>
        <v>0.20067176006066226</v>
      </c>
      <c r="AI60" s="7"/>
      <c r="AJ60" s="6">
        <f t="shared" si="50"/>
        <v>0.22304420574909342</v>
      </c>
      <c r="AK60" s="6">
        <f t="shared" si="50"/>
        <v>0.10544708246591256</v>
      </c>
      <c r="AL60" s="7"/>
      <c r="AM60" s="6">
        <f t="shared" si="63"/>
        <v>0.21735494235323727</v>
      </c>
      <c r="AN60" s="38">
        <f t="shared" si="31"/>
        <v>0.25348200937109439</v>
      </c>
      <c r="AO60" s="6">
        <f t="shared" si="32"/>
        <v>0.99999999999999978</v>
      </c>
      <c r="AP60" s="7">
        <f t="shared" si="33"/>
        <v>0.74651799062890545</v>
      </c>
      <c r="AQ60" s="7">
        <f t="shared" si="34"/>
        <v>0</v>
      </c>
      <c r="AR60" s="24"/>
      <c r="AS60">
        <f t="shared" si="35"/>
        <v>2009</v>
      </c>
      <c r="AT60" s="1" t="b">
        <f t="shared" si="36"/>
        <v>1</v>
      </c>
      <c r="AV60" s="1" t="b">
        <f t="shared" si="56"/>
        <v>1</v>
      </c>
      <c r="AW60" s="1" t="b">
        <f t="shared" si="57"/>
        <v>1</v>
      </c>
      <c r="AY60" s="1" t="b">
        <f t="shared" si="45"/>
        <v>1</v>
      </c>
      <c r="AZ60" s="39" t="b">
        <f t="shared" si="38"/>
        <v>1</v>
      </c>
      <c r="BA60" s="1" t="b">
        <f t="shared" si="39"/>
        <v>1</v>
      </c>
      <c r="BC60">
        <f t="shared" si="40"/>
        <v>2009</v>
      </c>
      <c r="BD60" s="2">
        <f t="shared" si="58"/>
        <v>61788.107023098266</v>
      </c>
      <c r="BE60" s="2"/>
      <c r="BF60" s="2">
        <f t="shared" si="46"/>
        <v>61788.107023098266</v>
      </c>
      <c r="BG60" s="2">
        <f t="shared" si="46"/>
        <v>30894.053511549133</v>
      </c>
      <c r="BH60" s="2"/>
      <c r="BI60" s="2">
        <f t="shared" si="59"/>
        <v>61788.107023098266</v>
      </c>
      <c r="BJ60" s="2">
        <f t="shared" si="11"/>
        <v>92682.160534647395</v>
      </c>
      <c r="BK60" s="2">
        <f t="shared" si="41"/>
        <v>308940.53511549131</v>
      </c>
      <c r="BL60" s="2">
        <f t="shared" si="42"/>
        <v>0</v>
      </c>
      <c r="BM60" s="2"/>
    </row>
    <row r="61" spans="1:65" x14ac:dyDescent="0.2">
      <c r="A61">
        <f t="shared" si="6"/>
        <v>2010</v>
      </c>
      <c r="B61" s="2">
        <f t="shared" si="47"/>
        <v>71000.713780242222</v>
      </c>
      <c r="C61" s="2"/>
      <c r="D61" s="2">
        <f t="shared" si="51"/>
        <v>77519.359071179075</v>
      </c>
      <c r="E61" s="2">
        <f t="shared" si="52"/>
        <v>39457.885144950553</v>
      </c>
      <c r="F61" s="2"/>
      <c r="G61" s="2">
        <f t="shared" si="44"/>
        <v>68658.944524066785</v>
      </c>
      <c r="H61" s="2">
        <f t="shared" si="15"/>
        <v>98632.355240971767</v>
      </c>
      <c r="I61" s="2">
        <f t="shared" si="43"/>
        <v>355269.25776141044</v>
      </c>
      <c r="J61" s="2">
        <f t="shared" si="16"/>
        <v>37881.835062629369</v>
      </c>
      <c r="K61" s="6">
        <f t="shared" si="17"/>
        <v>0.11935518660605972</v>
      </c>
      <c r="L61" s="7">
        <f t="shared" si="18"/>
        <v>1.1193551866060598</v>
      </c>
      <c r="N61">
        <f t="shared" si="19"/>
        <v>2010</v>
      </c>
      <c r="O61" s="2">
        <f t="shared" si="20"/>
        <v>8565.1440094558275</v>
      </c>
      <c r="P61" s="2"/>
      <c r="Q61" s="2"/>
      <c r="R61">
        <f t="shared" si="21"/>
        <v>2010</v>
      </c>
      <c r="S61" s="2">
        <f t="shared" si="53"/>
        <v>69287.684978351055</v>
      </c>
      <c r="T61" s="2"/>
      <c r="U61" s="2">
        <f t="shared" si="54"/>
        <v>75806.330269287908</v>
      </c>
      <c r="V61" s="2">
        <f t="shared" si="54"/>
        <v>37744.856343059386</v>
      </c>
      <c r="W61" s="2"/>
      <c r="X61" s="2">
        <f t="shared" si="55"/>
        <v>66945.915722175618</v>
      </c>
      <c r="Y61" s="2">
        <f t="shared" si="55"/>
        <v>96919.3264390806</v>
      </c>
      <c r="Z61" s="2">
        <f t="shared" si="24"/>
        <v>346704.11375195457</v>
      </c>
      <c r="AA61" s="2">
        <f t="shared" si="61"/>
        <v>37763.578636463266</v>
      </c>
      <c r="AB61" s="6">
        <f t="shared" si="62"/>
        <v>0.12223575201080719</v>
      </c>
      <c r="AC61" s="7">
        <f t="shared" si="27"/>
        <v>1.1222357520108073</v>
      </c>
      <c r="AD61" s="2">
        <f t="shared" si="28"/>
        <v>0</v>
      </c>
      <c r="AE61" s="2"/>
      <c r="AG61">
        <f t="shared" si="29"/>
        <v>2010</v>
      </c>
      <c r="AH61" s="6">
        <f t="shared" si="60"/>
        <v>0.19984673452107385</v>
      </c>
      <c r="AI61" s="7"/>
      <c r="AJ61" s="6">
        <f t="shared" si="50"/>
        <v>0.21864848804050438</v>
      </c>
      <c r="AK61" s="6">
        <f t="shared" si="50"/>
        <v>0.1088676333678103</v>
      </c>
      <c r="AL61" s="7"/>
      <c r="AM61" s="6">
        <f t="shared" si="63"/>
        <v>0.19309236050793241</v>
      </c>
      <c r="AN61" s="6">
        <f t="shared" si="31"/>
        <v>0.27954478356267903</v>
      </c>
      <c r="AO61" s="6">
        <f t="shared" si="32"/>
        <v>1</v>
      </c>
      <c r="AP61" s="7">
        <f t="shared" si="33"/>
        <v>0.72045521643732102</v>
      </c>
      <c r="AQ61" s="7">
        <f t="shared" si="34"/>
        <v>0</v>
      </c>
      <c r="AR61" s="24"/>
      <c r="AS61">
        <f t="shared" si="35"/>
        <v>2010</v>
      </c>
      <c r="AT61" s="1" t="b">
        <f t="shared" si="36"/>
        <v>1</v>
      </c>
      <c r="AV61" s="1" t="b">
        <f t="shared" si="56"/>
        <v>1</v>
      </c>
      <c r="AW61" s="1" t="b">
        <f t="shared" si="57"/>
        <v>1</v>
      </c>
      <c r="AY61" s="1" t="b">
        <f t="shared" si="45"/>
        <v>1</v>
      </c>
      <c r="AZ61" s="1" t="b">
        <f t="shared" si="38"/>
        <v>1</v>
      </c>
      <c r="BA61" s="1" t="b">
        <f t="shared" si="39"/>
        <v>1</v>
      </c>
      <c r="BC61">
        <f t="shared" si="40"/>
        <v>2010</v>
      </c>
      <c r="BD61" s="2">
        <f t="shared" si="58"/>
        <v>69340.822750390915</v>
      </c>
      <c r="BE61" s="2"/>
      <c r="BF61" s="2">
        <f t="shared" si="46"/>
        <v>69340.822750390915</v>
      </c>
      <c r="BG61" s="2">
        <f t="shared" si="46"/>
        <v>34670.411375195457</v>
      </c>
      <c r="BH61" s="2"/>
      <c r="BI61" s="2">
        <f t="shared" si="59"/>
        <v>69340.822750390915</v>
      </c>
      <c r="BJ61" s="2">
        <f t="shared" si="11"/>
        <v>104011.23412558637</v>
      </c>
      <c r="BK61" s="2">
        <f t="shared" si="41"/>
        <v>346704.11375195457</v>
      </c>
      <c r="BL61" s="2">
        <f t="shared" si="42"/>
        <v>0</v>
      </c>
      <c r="BM61" s="2"/>
    </row>
    <row r="62" spans="1:65" x14ac:dyDescent="0.2">
      <c r="A62">
        <f t="shared" si="6"/>
        <v>2011</v>
      </c>
      <c r="B62" s="2">
        <f t="shared" si="47"/>
        <v>70706.836958573622</v>
      </c>
      <c r="C62" s="2"/>
      <c r="D62" s="2">
        <f t="shared" si="51"/>
        <v>67877.731390357672</v>
      </c>
      <c r="E62" s="2">
        <f t="shared" si="52"/>
        <v>33699.639856689981</v>
      </c>
      <c r="F62" s="2"/>
      <c r="G62" s="2">
        <f t="shared" si="44"/>
        <v>59244.798957933999</v>
      </c>
      <c r="H62" s="2">
        <f t="shared" si="15"/>
        <v>111874.48342548071</v>
      </c>
      <c r="I62" s="2">
        <f t="shared" si="43"/>
        <v>343403.49058903597</v>
      </c>
      <c r="J62" s="2">
        <f t="shared" si="16"/>
        <v>-11865.767172374472</v>
      </c>
      <c r="K62" s="6">
        <f t="shared" si="17"/>
        <v>-3.3399363759031499E-2</v>
      </c>
      <c r="L62" s="7">
        <f t="shared" si="18"/>
        <v>0.96660063624096848</v>
      </c>
      <c r="N62">
        <f t="shared" si="19"/>
        <v>2011</v>
      </c>
      <c r="O62" s="2">
        <f t="shared" si="20"/>
        <v>8822.0983297395032</v>
      </c>
      <c r="P62" s="2"/>
      <c r="Q62" s="2"/>
      <c r="R62">
        <f t="shared" si="21"/>
        <v>2011</v>
      </c>
      <c r="S62" s="2">
        <f t="shared" si="53"/>
        <v>68942.417292625716</v>
      </c>
      <c r="T62" s="2"/>
      <c r="U62" s="2">
        <f t="shared" si="54"/>
        <v>66113.311724409767</v>
      </c>
      <c r="V62" s="2">
        <f t="shared" si="54"/>
        <v>31935.220190742079</v>
      </c>
      <c r="W62" s="2"/>
      <c r="X62" s="2">
        <f t="shared" si="55"/>
        <v>57480.379291986101</v>
      </c>
      <c r="Y62" s="2">
        <f t="shared" si="55"/>
        <v>110110.0637595328</v>
      </c>
      <c r="Z62" s="2">
        <f t="shared" si="24"/>
        <v>334581.3922592965</v>
      </c>
      <c r="AA62" s="2">
        <f t="shared" si="61"/>
        <v>-12122.721492658078</v>
      </c>
      <c r="AB62" s="6">
        <f t="shared" si="62"/>
        <v>-3.4965611920402935E-2</v>
      </c>
      <c r="AC62" s="7">
        <f t="shared" si="27"/>
        <v>0.96503438807959707</v>
      </c>
      <c r="AD62" s="2">
        <f t="shared" si="28"/>
        <v>0</v>
      </c>
      <c r="AE62" s="2"/>
      <c r="AG62">
        <f t="shared" si="29"/>
        <v>2011</v>
      </c>
      <c r="AH62" s="6">
        <f t="shared" si="60"/>
        <v>0.2060557427509184</v>
      </c>
      <c r="AI62" s="7"/>
      <c r="AJ62" s="6">
        <f t="shared" si="50"/>
        <v>0.19760008552170993</v>
      </c>
      <c r="AK62" s="6">
        <f t="shared" si="50"/>
        <v>9.5448285318846041E-2</v>
      </c>
      <c r="AL62" s="7"/>
      <c r="AM62" s="6">
        <f t="shared" si="63"/>
        <v>0.17179789618258121</v>
      </c>
      <c r="AN62" s="38">
        <f t="shared" si="31"/>
        <v>0.32909799022594433</v>
      </c>
      <c r="AO62" s="6">
        <f t="shared" si="32"/>
        <v>0.99999999999999989</v>
      </c>
      <c r="AP62" s="7">
        <f t="shared" si="33"/>
        <v>0.67090200977405556</v>
      </c>
      <c r="AQ62" s="7">
        <f t="shared" si="34"/>
        <v>0</v>
      </c>
      <c r="AR62" s="24"/>
      <c r="AS62">
        <f t="shared" si="35"/>
        <v>2011</v>
      </c>
      <c r="AT62" s="1" t="b">
        <f t="shared" si="36"/>
        <v>1</v>
      </c>
      <c r="AV62" s="1" t="b">
        <f t="shared" si="56"/>
        <v>1</v>
      </c>
      <c r="AW62" s="1" t="b">
        <f t="shared" si="57"/>
        <v>1</v>
      </c>
      <c r="AY62" s="1" t="b">
        <f t="shared" si="45"/>
        <v>1</v>
      </c>
      <c r="AZ62" s="1" t="b">
        <f t="shared" si="38"/>
        <v>1</v>
      </c>
      <c r="BA62" s="1" t="b">
        <f t="shared" si="39"/>
        <v>1</v>
      </c>
      <c r="BC62">
        <f t="shared" si="40"/>
        <v>2011</v>
      </c>
      <c r="BD62" s="2">
        <f t="shared" si="58"/>
        <v>66916.278451859296</v>
      </c>
      <c r="BE62" s="2"/>
      <c r="BF62" s="2">
        <f t="shared" si="46"/>
        <v>66916.278451859296</v>
      </c>
      <c r="BG62" s="2">
        <f t="shared" si="46"/>
        <v>33458.139225929648</v>
      </c>
      <c r="BH62" s="2"/>
      <c r="BI62" s="2">
        <f t="shared" si="59"/>
        <v>66916.278451859296</v>
      </c>
      <c r="BJ62" s="2">
        <f t="shared" si="11"/>
        <v>100374.41767778895</v>
      </c>
      <c r="BK62" s="2">
        <f t="shared" si="41"/>
        <v>334581.3922592965</v>
      </c>
      <c r="BL62" s="2">
        <f t="shared" si="42"/>
        <v>0</v>
      </c>
      <c r="BM62" s="2"/>
    </row>
    <row r="63" spans="1:65" x14ac:dyDescent="0.2">
      <c r="A63">
        <f t="shared" si="6"/>
        <v>2012</v>
      </c>
      <c r="B63" s="2">
        <f t="shared" si="47"/>
        <v>77502.433702943425</v>
      </c>
      <c r="C63" s="2"/>
      <c r="D63" s="2">
        <f t="shared" si="51"/>
        <v>77489.050447253059</v>
      </c>
      <c r="E63" s="2">
        <f t="shared" si="52"/>
        <v>39493.987542287359</v>
      </c>
      <c r="F63" s="2"/>
      <c r="G63" s="2">
        <f t="shared" si="44"/>
        <v>79054.891363026574</v>
      </c>
      <c r="H63" s="2">
        <f t="shared" si="15"/>
        <v>104439.58159373941</v>
      </c>
      <c r="I63" s="2">
        <f t="shared" si="43"/>
        <v>377979.94464924984</v>
      </c>
      <c r="J63" s="2">
        <f t="shared" si="16"/>
        <v>34576.454060213873</v>
      </c>
      <c r="K63" s="6">
        <f t="shared" si="17"/>
        <v>0.10068754397605362</v>
      </c>
      <c r="L63" s="7">
        <f t="shared" si="18"/>
        <v>1.1006875439760537</v>
      </c>
      <c r="N63">
        <f t="shared" si="19"/>
        <v>2012</v>
      </c>
      <c r="O63" s="2">
        <f t="shared" si="20"/>
        <v>8980.8960996748137</v>
      </c>
      <c r="P63" s="2"/>
      <c r="Q63" s="2"/>
      <c r="R63">
        <f t="shared" si="21"/>
        <v>2012</v>
      </c>
      <c r="S63" s="2">
        <f t="shared" si="53"/>
        <v>75706.254483008466</v>
      </c>
      <c r="T63" s="2"/>
      <c r="U63" s="2">
        <f t="shared" si="54"/>
        <v>75692.871227318101</v>
      </c>
      <c r="V63" s="2">
        <f t="shared" si="54"/>
        <v>37697.808322352394</v>
      </c>
      <c r="W63" s="2"/>
      <c r="X63" s="2">
        <f t="shared" si="55"/>
        <v>77258.712143091616</v>
      </c>
      <c r="Y63" s="2">
        <f t="shared" si="55"/>
        <v>102643.40237380445</v>
      </c>
      <c r="Z63" s="2">
        <f t="shared" si="24"/>
        <v>368999.04854957503</v>
      </c>
      <c r="AA63" s="2">
        <f t="shared" si="61"/>
        <v>34417.656290278537</v>
      </c>
      <c r="AB63" s="6">
        <f t="shared" si="62"/>
        <v>0.10286781359199221</v>
      </c>
      <c r="AC63" s="7">
        <f t="shared" si="27"/>
        <v>1.1028678135919923</v>
      </c>
      <c r="AD63" s="2">
        <f t="shared" si="28"/>
        <v>0</v>
      </c>
      <c r="AE63" s="2"/>
      <c r="AG63">
        <f t="shared" si="29"/>
        <v>2012</v>
      </c>
      <c r="AH63" s="6">
        <f t="shared" si="60"/>
        <v>0.20516653032192664</v>
      </c>
      <c r="AI63" s="7"/>
      <c r="AJ63" s="6">
        <f t="shared" si="50"/>
        <v>0.20513026124279765</v>
      </c>
      <c r="AK63" s="6">
        <f t="shared" si="50"/>
        <v>0.10216234559555427</v>
      </c>
      <c r="AL63" s="7"/>
      <c r="AM63" s="6">
        <f t="shared" si="63"/>
        <v>0.20937374350089119</v>
      </c>
      <c r="AN63" s="6">
        <f t="shared" si="31"/>
        <v>0.27816711933883026</v>
      </c>
      <c r="AO63" s="6">
        <f t="shared" si="32"/>
        <v>1</v>
      </c>
      <c r="AP63" s="7">
        <f t="shared" si="33"/>
        <v>0.7218328806611698</v>
      </c>
      <c r="AQ63" s="7">
        <f t="shared" si="34"/>
        <v>0</v>
      </c>
      <c r="AR63" s="24"/>
      <c r="AS63">
        <f t="shared" si="35"/>
        <v>2012</v>
      </c>
      <c r="AT63" s="1" t="b">
        <f t="shared" si="36"/>
        <v>1</v>
      </c>
      <c r="AV63" s="1" t="b">
        <f t="shared" si="56"/>
        <v>1</v>
      </c>
      <c r="AW63" s="1" t="b">
        <f t="shared" si="57"/>
        <v>1</v>
      </c>
      <c r="AY63" s="1" t="b">
        <f t="shared" si="45"/>
        <v>1</v>
      </c>
      <c r="AZ63" s="1" t="b">
        <f t="shared" si="38"/>
        <v>1</v>
      </c>
      <c r="BA63" s="1" t="b">
        <f t="shared" si="39"/>
        <v>1</v>
      </c>
      <c r="BC63">
        <f t="shared" si="40"/>
        <v>2012</v>
      </c>
      <c r="BD63" s="2">
        <f t="shared" si="58"/>
        <v>73799.809709915004</v>
      </c>
      <c r="BE63" s="2"/>
      <c r="BF63" s="2">
        <f t="shared" si="46"/>
        <v>73799.809709915004</v>
      </c>
      <c r="BG63" s="2">
        <f t="shared" si="46"/>
        <v>36899.904854957502</v>
      </c>
      <c r="BH63" s="2"/>
      <c r="BI63" s="2">
        <f t="shared" si="59"/>
        <v>73799.809709915004</v>
      </c>
      <c r="BJ63" s="2">
        <f t="shared" si="11"/>
        <v>110699.71456487251</v>
      </c>
      <c r="BK63" s="2">
        <f t="shared" si="41"/>
        <v>368999.04854957503</v>
      </c>
      <c r="BL63" s="2">
        <f t="shared" si="42"/>
        <v>0</v>
      </c>
      <c r="BM63" s="2"/>
    </row>
    <row r="64" spans="1:65" x14ac:dyDescent="0.2">
      <c r="A64">
        <f t="shared" si="6"/>
        <v>2013</v>
      </c>
      <c r="B64" s="2">
        <f t="shared" si="47"/>
        <v>97548.588474565651</v>
      </c>
      <c r="C64" s="2"/>
      <c r="D64" s="2">
        <f t="shared" si="51"/>
        <v>99629.743108385257</v>
      </c>
      <c r="E64" s="2">
        <f t="shared" si="52"/>
        <v>50781.649061392513</v>
      </c>
      <c r="F64" s="2"/>
      <c r="G64" s="2">
        <f t="shared" si="44"/>
        <v>84899.301090286215</v>
      </c>
      <c r="H64" s="2">
        <f t="shared" si="15"/>
        <v>108197.9010157064</v>
      </c>
      <c r="I64" s="2">
        <f t="shared" si="43"/>
        <v>441057.18275033607</v>
      </c>
      <c r="J64" s="2">
        <f t="shared" si="16"/>
        <v>63077.23810108623</v>
      </c>
      <c r="K64" s="6">
        <f t="shared" si="17"/>
        <v>0.16687985432565572</v>
      </c>
      <c r="L64" s="7">
        <f t="shared" si="18"/>
        <v>1.1668798543256558</v>
      </c>
      <c r="N64">
        <f t="shared" si="19"/>
        <v>2013</v>
      </c>
      <c r="O64" s="2">
        <f t="shared" si="20"/>
        <v>9084.6785900689574</v>
      </c>
      <c r="P64" s="2"/>
      <c r="Q64" s="2"/>
      <c r="R64">
        <f t="shared" si="21"/>
        <v>2013</v>
      </c>
      <c r="S64" s="2">
        <f t="shared" si="53"/>
        <v>95731.652756551863</v>
      </c>
      <c r="T64" s="2"/>
      <c r="U64" s="2">
        <f t="shared" si="54"/>
        <v>97812.807390371469</v>
      </c>
      <c r="V64" s="2">
        <f t="shared" si="54"/>
        <v>48964.713343378724</v>
      </c>
      <c r="W64" s="2"/>
      <c r="X64" s="2">
        <f t="shared" si="55"/>
        <v>83082.365372272427</v>
      </c>
      <c r="Y64" s="2">
        <f t="shared" si="55"/>
        <v>106380.96529769262</v>
      </c>
      <c r="Z64" s="2">
        <f t="shared" si="24"/>
        <v>431972.50416026713</v>
      </c>
      <c r="AA64" s="2">
        <f t="shared" si="61"/>
        <v>62973.455610692094</v>
      </c>
      <c r="AB64" s="6">
        <f t="shared" si="62"/>
        <v>0.17066021134260895</v>
      </c>
      <c r="AC64" s="7">
        <f t="shared" si="27"/>
        <v>1.170660211342609</v>
      </c>
      <c r="AD64" s="2">
        <f t="shared" si="28"/>
        <v>0</v>
      </c>
      <c r="AE64" s="2"/>
      <c r="AG64">
        <f t="shared" si="29"/>
        <v>2013</v>
      </c>
      <c r="AH64" s="6">
        <f t="shared" si="60"/>
        <v>0.22161515335946994</v>
      </c>
      <c r="AI64" s="7"/>
      <c r="AJ64" s="6">
        <f t="shared" si="50"/>
        <v>0.22643294757964899</v>
      </c>
      <c r="AK64" s="6">
        <f t="shared" si="50"/>
        <v>0.11335145841877985</v>
      </c>
      <c r="AL64" s="7"/>
      <c r="AM64" s="6">
        <f t="shared" si="63"/>
        <v>0.19233253175171502</v>
      </c>
      <c r="AN64" s="6">
        <f t="shared" si="31"/>
        <v>0.24626790889038613</v>
      </c>
      <c r="AO64" s="6">
        <f t="shared" si="32"/>
        <v>1</v>
      </c>
      <c r="AP64" s="7">
        <f t="shared" si="33"/>
        <v>0.75373209110961381</v>
      </c>
      <c r="AQ64" s="7">
        <f t="shared" si="34"/>
        <v>0</v>
      </c>
      <c r="AR64" s="24"/>
      <c r="AS64">
        <f t="shared" si="35"/>
        <v>2013</v>
      </c>
      <c r="AT64" s="1" t="b">
        <f t="shared" si="36"/>
        <v>1</v>
      </c>
      <c r="AV64" s="1" t="b">
        <f t="shared" si="56"/>
        <v>1</v>
      </c>
      <c r="AW64" s="1" t="b">
        <f t="shared" si="57"/>
        <v>1</v>
      </c>
      <c r="AY64" s="1" t="b">
        <f t="shared" si="45"/>
        <v>1</v>
      </c>
      <c r="AZ64" s="1" t="b">
        <f t="shared" si="38"/>
        <v>0</v>
      </c>
      <c r="BA64" s="1" t="b">
        <f t="shared" si="39"/>
        <v>1</v>
      </c>
      <c r="BC64">
        <f t="shared" si="40"/>
        <v>2013</v>
      </c>
      <c r="BD64" s="2">
        <f t="shared" si="58"/>
        <v>86394.500832053425</v>
      </c>
      <c r="BE64" s="2"/>
      <c r="BF64" s="2">
        <f t="shared" si="46"/>
        <v>86394.500832053425</v>
      </c>
      <c r="BG64" s="2">
        <f t="shared" si="46"/>
        <v>43197.250416026713</v>
      </c>
      <c r="BH64" s="2"/>
      <c r="BI64" s="2">
        <f t="shared" si="59"/>
        <v>86394.500832053425</v>
      </c>
      <c r="BJ64" s="2">
        <f t="shared" si="11"/>
        <v>129591.75124808014</v>
      </c>
      <c r="BK64" s="2">
        <f t="shared" si="41"/>
        <v>431972.50416026713</v>
      </c>
      <c r="BL64" s="2">
        <f t="shared" si="42"/>
        <v>0</v>
      </c>
      <c r="BM64" s="2"/>
    </row>
    <row r="65" spans="1:62" x14ac:dyDescent="0.2">
      <c r="A65" s="9" t="s">
        <v>78</v>
      </c>
      <c r="B65" s="10">
        <f>BD64</f>
        <v>86394.500832053425</v>
      </c>
      <c r="C65" s="10"/>
      <c r="D65" s="10">
        <f>BF64</f>
        <v>86394.500832053425</v>
      </c>
      <c r="E65" s="10">
        <f>BG64</f>
        <v>43197.250416026713</v>
      </c>
      <c r="F65" s="10"/>
      <c r="G65" s="10">
        <f>BI64</f>
        <v>86394.500832053425</v>
      </c>
      <c r="H65" s="10">
        <f>BJ64</f>
        <v>129591.75124808014</v>
      </c>
      <c r="I65" s="10">
        <f>SUM(B65:H65)</f>
        <v>431972.50416026718</v>
      </c>
      <c r="J65" s="10"/>
      <c r="K65" s="10"/>
      <c r="L65" s="74"/>
      <c r="N65" t="s">
        <v>40</v>
      </c>
      <c r="O65" s="2">
        <f>O64</f>
        <v>9084.6785900689574</v>
      </c>
      <c r="P65" s="2"/>
      <c r="R65" s="9" t="s">
        <v>78</v>
      </c>
      <c r="S65" s="10">
        <f>S64</f>
        <v>95731.652756551863</v>
      </c>
      <c r="T65" s="10"/>
      <c r="U65" s="10">
        <f>U64</f>
        <v>97812.807390371469</v>
      </c>
      <c r="V65" s="10">
        <f>V64</f>
        <v>48964.713343378724</v>
      </c>
      <c r="W65" s="10"/>
      <c r="X65" s="10">
        <f>X64</f>
        <v>83082.365372272427</v>
      </c>
      <c r="Y65" s="10">
        <f>Y64</f>
        <v>106380.96529769262</v>
      </c>
      <c r="Z65" s="10">
        <f>SUM(S65:Y65)</f>
        <v>431972.50416026713</v>
      </c>
      <c r="AA65" s="10"/>
      <c r="AB65" s="10"/>
      <c r="AC65" s="74"/>
      <c r="AD65" s="10"/>
      <c r="AE65" s="43"/>
      <c r="AK65" s="7"/>
      <c r="BC65" s="21"/>
      <c r="BD65" s="22"/>
      <c r="BF65" s="22"/>
      <c r="BG65" s="22"/>
      <c r="BI65" s="22"/>
      <c r="BJ65" s="22"/>
    </row>
    <row r="66" spans="1:62" x14ac:dyDescent="0.2">
      <c r="A66" s="11" t="s">
        <v>11</v>
      </c>
      <c r="I66" s="6">
        <f>(Z65-Z39)/Z39</f>
        <v>3.3197250416026711</v>
      </c>
      <c r="K66" s="6"/>
      <c r="N66" t="s">
        <v>70</v>
      </c>
      <c r="O66" s="2">
        <f>SUM(O40:O64)</f>
        <v>175398.94335835602</v>
      </c>
      <c r="P66" s="2"/>
      <c r="AB66" s="6"/>
      <c r="BF66" s="22"/>
    </row>
    <row r="67" spans="1:62" x14ac:dyDescent="0.2">
      <c r="A67" s="1" t="s">
        <v>12</v>
      </c>
      <c r="I67" s="12">
        <f>STDEV(AC40:AC64)</f>
        <v>0.12457801671730374</v>
      </c>
    </row>
    <row r="68" spans="1:62" x14ac:dyDescent="0.2">
      <c r="A68" s="1" t="s">
        <v>13</v>
      </c>
      <c r="I68" s="13">
        <f>((1+I66)^(1/I75))-1</f>
        <v>6.027432318327719E-2</v>
      </c>
    </row>
    <row r="69" spans="1:62" x14ac:dyDescent="0.2">
      <c r="A69" s="1" t="s">
        <v>82</v>
      </c>
      <c r="I69" s="31">
        <f>J60</f>
        <v>57431.265117179719</v>
      </c>
      <c r="O69" s="2"/>
      <c r="P69" s="2"/>
    </row>
    <row r="70" spans="1:62" x14ac:dyDescent="0.2">
      <c r="A70" s="1" t="s">
        <v>83</v>
      </c>
      <c r="I70" s="32">
        <f>K60</f>
        <v>0.22092673492125994</v>
      </c>
    </row>
    <row r="71" spans="1:62" x14ac:dyDescent="0.2">
      <c r="A71" s="1" t="s">
        <v>42</v>
      </c>
      <c r="I71" s="2">
        <f>O66</f>
        <v>175398.94335835602</v>
      </c>
    </row>
    <row r="72" spans="1:62" x14ac:dyDescent="0.2">
      <c r="A72" s="3" t="s">
        <v>5</v>
      </c>
      <c r="B72" s="3"/>
      <c r="C72" s="3"/>
      <c r="D72" s="3"/>
      <c r="E72" s="3"/>
      <c r="F72" s="3"/>
      <c r="G72" s="3"/>
      <c r="H72" s="3"/>
      <c r="I72" s="33">
        <f>I65-Z65</f>
        <v>0</v>
      </c>
      <c r="Z72" s="2"/>
    </row>
    <row r="73" spans="1:62" x14ac:dyDescent="0.2">
      <c r="A73" s="3" t="s">
        <v>148</v>
      </c>
      <c r="B73" s="3"/>
      <c r="C73" s="3"/>
      <c r="D73" s="3"/>
      <c r="E73" s="3"/>
      <c r="F73" s="3"/>
      <c r="G73" s="3"/>
      <c r="H73" s="3"/>
      <c r="I73" s="33">
        <f>((SUM(AA40:AA64)))-(I65-I39)</f>
        <v>0</v>
      </c>
    </row>
    <row r="74" spans="1:62" x14ac:dyDescent="0.2">
      <c r="A74" s="3" t="s">
        <v>147</v>
      </c>
      <c r="B74" s="3"/>
      <c r="C74" s="3"/>
      <c r="D74" s="3"/>
      <c r="E74" s="3"/>
      <c r="F74" s="3"/>
      <c r="G74" s="3"/>
      <c r="H74" s="3"/>
      <c r="I74" s="33">
        <f>(SUM(O40:O64))-I71</f>
        <v>0</v>
      </c>
      <c r="Z74" s="73"/>
    </row>
    <row r="75" spans="1:62" x14ac:dyDescent="0.2">
      <c r="A75" s="3" t="s">
        <v>159</v>
      </c>
      <c r="B75" s="3"/>
      <c r="C75" s="3"/>
      <c r="D75" s="3"/>
      <c r="E75" s="3"/>
      <c r="F75" s="3"/>
      <c r="G75" s="3"/>
      <c r="H75" s="3"/>
      <c r="I75" s="75">
        <f>COUNTA(I40:I64)</f>
        <v>25</v>
      </c>
    </row>
    <row r="76" spans="1:62" x14ac:dyDescent="0.2">
      <c r="A76" s="1" t="s">
        <v>105</v>
      </c>
      <c r="B76" s="63"/>
      <c r="C76" s="63"/>
      <c r="D76" s="63"/>
      <c r="E76" s="63"/>
      <c r="G76" s="63"/>
      <c r="H76" s="63"/>
      <c r="I76" s="83">
        <f>(SUM(B65:G65)/I65)</f>
        <v>0.7</v>
      </c>
    </row>
    <row r="77" spans="1:62" x14ac:dyDescent="0.2">
      <c r="A77" s="1" t="s">
        <v>106</v>
      </c>
      <c r="B77" s="63"/>
      <c r="C77" s="63"/>
      <c r="D77" s="63"/>
      <c r="E77" s="63"/>
      <c r="G77" s="63"/>
      <c r="H77" s="63"/>
      <c r="I77" s="83">
        <f>(H65/I65)</f>
        <v>0.29999999999999993</v>
      </c>
    </row>
    <row r="78" spans="1:62" x14ac:dyDescent="0.2">
      <c r="A78" s="3" t="s">
        <v>107</v>
      </c>
      <c r="I78" s="3">
        <f>100%-(I76+I77)</f>
        <v>0</v>
      </c>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7357-54AB-46FA-BF62-D6B2E383BB20}">
  <dimension ref="A1:CH78"/>
  <sheetViews>
    <sheetView topLeftCell="A58" zoomScaleNormal="100" workbookViewId="0">
      <selection activeCell="A76" sqref="A76:I78"/>
    </sheetView>
  </sheetViews>
  <sheetFormatPr baseColWidth="10" defaultColWidth="8.83203125" defaultRowHeight="15" x14ac:dyDescent="0.2"/>
  <cols>
    <col min="1" max="1" width="25.5" customWidth="1"/>
    <col min="2" max="4" width="9.33203125" bestFit="1" customWidth="1"/>
    <col min="7" max="7" width="9.83203125" bestFit="1" customWidth="1"/>
    <col min="8" max="8" width="9.33203125" bestFit="1"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5" max="25" width="9.33203125" bestFit="1" customWidth="1"/>
    <col min="26" max="26" width="10.83203125" bestFit="1" customWidth="1"/>
    <col min="27" max="31" width="10.83203125" customWidth="1"/>
    <col min="46" max="46" width="10.83203125" bestFit="1" customWidth="1"/>
    <col min="47" max="48" width="9.33203125" bestFit="1" customWidth="1"/>
    <col min="51" max="51" width="9.83203125" bestFit="1" customWidth="1"/>
    <col min="52" max="53" width="9.33203125" bestFit="1"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
      <c r="A4" s="17">
        <f>'Non-Rebalanced Portfolio'!A4</f>
        <v>1989</v>
      </c>
      <c r="B4" s="17">
        <f>'Non-Rebalanced Portfolio'!B4</f>
        <v>31.36</v>
      </c>
      <c r="C4" s="17">
        <f>'Non-Rebalanced Portfolio'!C4</f>
        <v>24.096</v>
      </c>
      <c r="D4" s="17"/>
      <c r="E4" s="17"/>
      <c r="F4" s="17">
        <f>'Non-Rebalanced Portfolio'!F4</f>
        <v>25.971</v>
      </c>
      <c r="G4" s="17"/>
      <c r="H4" s="17">
        <f>'Non-Rebalanced Portfolio'!H4</f>
        <v>13.64</v>
      </c>
      <c r="N4" s="49">
        <f>'4.5% Withdrawals-No Rebalancing'!N4</f>
        <v>1989</v>
      </c>
      <c r="O4" s="50">
        <f>'4.5% Withdrawals-No Rebalancing'!O4</f>
        <v>4.5999999999999999E-2</v>
      </c>
      <c r="P4" s="44"/>
    </row>
    <row r="5" spans="1:16" x14ac:dyDescent="0.2">
      <c r="A5" s="17">
        <f>'Non-Rebalanced Portfolio'!A5</f>
        <v>1990</v>
      </c>
      <c r="B5" s="17">
        <f>'Non-Rebalanced Portfolio'!B5</f>
        <v>-3.32</v>
      </c>
      <c r="C5" s="17">
        <f>'Non-Rebalanced Portfolio'!C5</f>
        <v>-14.045</v>
      </c>
      <c r="D5" s="17"/>
      <c r="E5" s="17"/>
      <c r="F5" s="17">
        <f>'Non-Rebalanced Portfolio'!F5</f>
        <v>-12.26</v>
      </c>
      <c r="G5" s="17"/>
      <c r="H5" s="17">
        <f>'Non-Rebalanced Portfolio'!H5</f>
        <v>8.65</v>
      </c>
      <c r="N5" s="49">
        <f>'4.5% Withdrawals-No Rebalancing'!N5</f>
        <v>1990</v>
      </c>
      <c r="O5" s="50">
        <f>'4.5% Withdrawals-No Rebalancing'!O5</f>
        <v>6.3E-2</v>
      </c>
      <c r="P5" s="44"/>
    </row>
    <row r="6" spans="1:16" x14ac:dyDescent="0.2">
      <c r="A6" s="17">
        <f>'Non-Rebalanced Portfolio'!A6</f>
        <v>1991</v>
      </c>
      <c r="B6" s="17">
        <f>'Non-Rebalanced Portfolio'!B6</f>
        <v>30.22</v>
      </c>
      <c r="C6" s="17">
        <f>'Non-Rebalanced Portfolio'!C6</f>
        <v>41.85</v>
      </c>
      <c r="D6" s="17"/>
      <c r="E6" s="17"/>
      <c r="F6" s="17">
        <f>'Non-Rebalanced Portfolio'!F6</f>
        <v>9.9559999999999995</v>
      </c>
      <c r="G6" s="17"/>
      <c r="H6" s="17">
        <f>'Non-Rebalanced Portfolio'!H6</f>
        <v>15.25</v>
      </c>
      <c r="N6" s="49">
        <f>'4.5% Withdrawals-No Rebalancing'!N6</f>
        <v>1991</v>
      </c>
      <c r="O6" s="50">
        <f>'4.5% Withdrawals-No Rebalancing'!O6</f>
        <v>0.03</v>
      </c>
      <c r="P6" s="44"/>
    </row>
    <row r="7" spans="1:16" x14ac:dyDescent="0.2">
      <c r="A7" s="17">
        <f>'Non-Rebalanced Portfolio'!A7</f>
        <v>1992</v>
      </c>
      <c r="B7" s="17">
        <f>'Non-Rebalanced Portfolio'!B7</f>
        <v>7.42</v>
      </c>
      <c r="C7" s="17">
        <f>'Non-Rebalanced Portfolio'!C7</f>
        <v>12.465999999999999</v>
      </c>
      <c r="D7" s="17"/>
      <c r="E7" s="17"/>
      <c r="F7" s="17">
        <f>'Non-Rebalanced Portfolio'!F7</f>
        <v>-8.7210000000000001</v>
      </c>
      <c r="G7" s="17"/>
      <c r="H7" s="17">
        <f>'Non-Rebalanced Portfolio'!H7</f>
        <v>7.14</v>
      </c>
      <c r="N7" s="49">
        <f>'4.5% Withdrawals-No Rebalancing'!N7</f>
        <v>1992</v>
      </c>
      <c r="O7" s="50">
        <f>'4.5% Withdrawals-No Rebalancing'!O7</f>
        <v>0.03</v>
      </c>
      <c r="P7" s="44"/>
    </row>
    <row r="8" spans="1:16" x14ac:dyDescent="0.2">
      <c r="A8" s="17">
        <f>'Non-Rebalanced Portfolio'!A8</f>
        <v>1993</v>
      </c>
      <c r="B8" s="17">
        <f>'Non-Rebalanced Portfolio'!B8</f>
        <v>9.89</v>
      </c>
      <c r="C8" s="17">
        <f>'Non-Rebalanced Portfolio'!C8</f>
        <v>14.49</v>
      </c>
      <c r="D8" s="17"/>
      <c r="E8" s="17"/>
      <c r="F8" s="17">
        <f>'Non-Rebalanced Portfolio'!F8</f>
        <v>30.494</v>
      </c>
      <c r="G8" s="17"/>
      <c r="H8" s="17">
        <f>'Non-Rebalanced Portfolio'!H8</f>
        <v>9.68</v>
      </c>
      <c r="N8" s="49">
        <f>'4.5% Withdrawals-No Rebalancing'!N8</f>
        <v>1993</v>
      </c>
      <c r="O8" s="50">
        <f>'4.5% Withdrawals-No Rebalancing'!O8</f>
        <v>2.8000000000000001E-2</v>
      </c>
      <c r="P8" s="44"/>
    </row>
    <row r="9" spans="1:16" x14ac:dyDescent="0.2">
      <c r="A9" s="17">
        <f>'Non-Rebalanced Portfolio'!A9</f>
        <v>1994</v>
      </c>
      <c r="B9" s="17">
        <f>'Non-Rebalanced Portfolio'!B9</f>
        <v>1.18</v>
      </c>
      <c r="C9" s="17">
        <f>'Non-Rebalanced Portfolio'!C9</f>
        <v>-1.764</v>
      </c>
      <c r="D9" s="17"/>
      <c r="E9" s="17"/>
      <c r="F9" s="17">
        <f>'Non-Rebalanced Portfolio'!F9</f>
        <v>5.2549999999999999</v>
      </c>
      <c r="G9" s="17"/>
      <c r="H9" s="17">
        <f>'Non-Rebalanced Portfolio'!H9</f>
        <v>-2.66</v>
      </c>
      <c r="N9" s="49">
        <f>'4.5% Withdrawals-No Rebalancing'!N9</f>
        <v>1994</v>
      </c>
      <c r="O9" s="50">
        <f>'4.5% Withdrawals-No Rebalancing'!O9</f>
        <v>2.5999999999999999E-2</v>
      </c>
      <c r="P9" s="44"/>
    </row>
    <row r="10" spans="1:16" x14ac:dyDescent="0.2">
      <c r="A10" s="17">
        <f>'Non-Rebalanced Portfolio'!A10</f>
        <v>1995</v>
      </c>
      <c r="B10" s="17">
        <f>'Non-Rebalanced Portfolio'!B10</f>
        <v>37.450000000000003</v>
      </c>
      <c r="C10" s="17">
        <f>'Non-Rebalanced Portfolio'!C10</f>
        <v>33.796999999999997</v>
      </c>
      <c r="D10" s="17"/>
      <c r="E10" s="17"/>
      <c r="F10" s="17">
        <f>'Non-Rebalanced Portfolio'!F10</f>
        <v>9.6460000000000008</v>
      </c>
      <c r="G10" s="17"/>
      <c r="H10" s="17">
        <f>'Non-Rebalanced Portfolio'!H10</f>
        <v>18.18</v>
      </c>
      <c r="N10" s="49">
        <f>'4.5% Withdrawals-No Rebalancing'!N10</f>
        <v>1995</v>
      </c>
      <c r="O10" s="50">
        <f>'4.5% Withdrawals-No Rebalancing'!O10</f>
        <v>2.5000000000000001E-2</v>
      </c>
      <c r="P10" s="44"/>
    </row>
    <row r="11" spans="1:16" x14ac:dyDescent="0.2">
      <c r="A11" s="17">
        <f>'Non-Rebalanced Portfolio'!A11</f>
        <v>1996</v>
      </c>
      <c r="B11" s="17">
        <f>'Non-Rebalanced Portfolio'!B11</f>
        <v>22.88</v>
      </c>
      <c r="C11" s="17">
        <f>'Non-Rebalanced Portfolio'!C11</f>
        <v>17.646999999999998</v>
      </c>
      <c r="D11" s="17"/>
      <c r="E11" s="17"/>
      <c r="F11" s="17">
        <f>'Non-Rebalanced Portfolio'!F11</f>
        <v>10.218999999999999</v>
      </c>
      <c r="G11" s="17"/>
      <c r="H11" s="17">
        <f>'Non-Rebalanced Portfolio'!H11</f>
        <v>3.58</v>
      </c>
      <c r="N11" s="49">
        <f>'4.5% Withdrawals-No Rebalancing'!N11</f>
        <v>1996</v>
      </c>
      <c r="O11" s="50">
        <f>'4.5% Withdrawals-No Rebalancing'!O11</f>
        <v>3.4000000000000002E-2</v>
      </c>
      <c r="P11" s="44"/>
    </row>
    <row r="12" spans="1:16" x14ac:dyDescent="0.2">
      <c r="A12" s="17">
        <f>'Non-Rebalanced Portfolio'!A12</f>
        <v>1997</v>
      </c>
      <c r="B12" s="17">
        <f>'Non-Rebalanced Portfolio'!B12</f>
        <v>33.19</v>
      </c>
      <c r="C12" s="17">
        <f>'Non-Rebalanced Portfolio'!C12</f>
        <v>26.687000000000001</v>
      </c>
      <c r="D12" s="17"/>
      <c r="E12" s="17"/>
      <c r="F12" s="17">
        <f>'Non-Rebalanced Portfolio'!F12</f>
        <v>0</v>
      </c>
      <c r="G12" s="17">
        <f>'Non-Rebalanced Portfolio'!G12</f>
        <v>-0.77500000000000002</v>
      </c>
      <c r="H12" s="17">
        <f>'Non-Rebalanced Portfolio'!H12</f>
        <v>9.44</v>
      </c>
      <c r="N12" s="49">
        <f>'4.5% Withdrawals-No Rebalancing'!N12</f>
        <v>1997</v>
      </c>
      <c r="O12" s="50">
        <f>'4.5% Withdrawals-No Rebalancing'!O12</f>
        <v>1.7000000000000001E-2</v>
      </c>
      <c r="P12" s="44"/>
    </row>
    <row r="13" spans="1:16" x14ac:dyDescent="0.2">
      <c r="A13" s="17">
        <f>'Non-Rebalanced Portfolio'!A13</f>
        <v>1998</v>
      </c>
      <c r="B13" s="17">
        <f>'Non-Rebalanced Portfolio'!B13</f>
        <v>28.66</v>
      </c>
      <c r="C13" s="17">
        <f>'Non-Rebalanced Portfolio'!C13</f>
        <v>8.3529999999999998</v>
      </c>
      <c r="D13" s="17"/>
      <c r="E13" s="17"/>
      <c r="F13" s="17"/>
      <c r="G13" s="17">
        <f>'Non-Rebalanced Portfolio'!G13</f>
        <v>15.603</v>
      </c>
      <c r="H13" s="17">
        <f>'Non-Rebalanced Portfolio'!H13</f>
        <v>8.58</v>
      </c>
      <c r="N13" s="49">
        <f>'4.5% Withdrawals-No Rebalancing'!N13</f>
        <v>1998</v>
      </c>
      <c r="O13" s="50">
        <f>'4.5% Withdrawals-No Rebalancing'!O13</f>
        <v>1.6E-2</v>
      </c>
      <c r="P13" s="44"/>
    </row>
    <row r="14" spans="1:16" x14ac:dyDescent="0.2">
      <c r="A14" s="17">
        <f>'Non-Rebalanced Portfolio'!A14</f>
        <v>1999</v>
      </c>
      <c r="B14" s="17">
        <f>'Non-Rebalanced Portfolio'!B14</f>
        <v>21.07</v>
      </c>
      <c r="C14" s="17">
        <f>'Non-Rebalanced Portfolio'!C14</f>
        <v>0</v>
      </c>
      <c r="D14" s="17">
        <f>'Non-Rebalanced Portfolio'!D14</f>
        <v>15.319000000000001</v>
      </c>
      <c r="E14" s="17">
        <f>'Non-Rebalanced Portfolio'!E14</f>
        <v>23.132999999999999</v>
      </c>
      <c r="F14" s="17"/>
      <c r="G14" s="17">
        <f>'Non-Rebalanced Portfolio'!G14</f>
        <v>29.919</v>
      </c>
      <c r="H14" s="17">
        <f>'Non-Rebalanced Portfolio'!H14</f>
        <v>-0.76</v>
      </c>
      <c r="N14" s="49">
        <f>'4.5% Withdrawals-No Rebalancing'!N14</f>
        <v>1999</v>
      </c>
      <c r="O14" s="50">
        <f>'4.5% Withdrawals-No Rebalancing'!O14</f>
        <v>2.7E-2</v>
      </c>
      <c r="P14" s="44"/>
    </row>
    <row r="15" spans="1:16" x14ac:dyDescent="0.2">
      <c r="A15" s="17">
        <f>'Non-Rebalanced Portfolio'!A15</f>
        <v>2000</v>
      </c>
      <c r="B15" s="17">
        <f>'Non-Rebalanced Portfolio'!B15</f>
        <v>-9.06</v>
      </c>
      <c r="C15" s="17"/>
      <c r="D15" s="17">
        <f>'Non-Rebalanced Portfolio'!D15</f>
        <v>18.097999999999999</v>
      </c>
      <c r="E15" s="17">
        <f>'Non-Rebalanced Portfolio'!E15</f>
        <v>-2.665</v>
      </c>
      <c r="F15" s="17"/>
      <c r="G15" s="17">
        <f>'Non-Rebalanced Portfolio'!G15</f>
        <v>-15.614000000000001</v>
      </c>
      <c r="H15" s="17">
        <f>'Non-Rebalanced Portfolio'!H15</f>
        <v>11.39</v>
      </c>
      <c r="N15" s="49">
        <f>'4.5% Withdrawals-No Rebalancing'!N15</f>
        <v>2000</v>
      </c>
      <c r="O15" s="50">
        <f>'4.5% Withdrawals-No Rebalancing'!O15</f>
        <v>3.4000000000000002E-2</v>
      </c>
      <c r="P15" s="44"/>
    </row>
    <row r="16" spans="1:16"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c r="N16" s="49">
        <f>'4.5% Withdrawals-No Rebalancing'!N16</f>
        <v>2001</v>
      </c>
      <c r="O16" s="50">
        <f>'4.5% Withdrawals-No Rebalancing'!O16</f>
        <v>1.6E-2</v>
      </c>
      <c r="P16" s="44"/>
    </row>
    <row r="17" spans="1:16"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c r="N17" s="49">
        <f>'4.5% Withdrawals-No Rebalancing'!N17</f>
        <v>2002</v>
      </c>
      <c r="O17" s="50">
        <f>'4.5% Withdrawals-No Rebalancing'!O17</f>
        <v>2.5000000000000001E-2</v>
      </c>
      <c r="P17" s="44"/>
    </row>
    <row r="18" spans="1:16"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c r="N18" s="49">
        <f>'4.5% Withdrawals-No Rebalancing'!N18</f>
        <v>2003</v>
      </c>
      <c r="O18" s="50">
        <f>'4.5% Withdrawals-No Rebalancing'!O18</f>
        <v>0.02</v>
      </c>
      <c r="P18" s="44"/>
    </row>
    <row r="19" spans="1:16"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c r="N19" s="49">
        <f>'4.5% Withdrawals-No Rebalancing'!N19</f>
        <v>2004</v>
      </c>
      <c r="O19" s="50">
        <f>'4.5% Withdrawals-No Rebalancing'!O19</f>
        <v>3.3000000000000002E-2</v>
      </c>
      <c r="P19" s="44"/>
    </row>
    <row r="20" spans="1:16"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c r="N20" s="49">
        <f>'4.5% Withdrawals-No Rebalancing'!N20</f>
        <v>2005</v>
      </c>
      <c r="O20" s="50">
        <f>'4.5% Withdrawals-No Rebalancing'!O20</f>
        <v>3.3000000000000002E-2</v>
      </c>
      <c r="P20" s="44"/>
    </row>
    <row r="21" spans="1:16"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c r="N21" s="49">
        <f>'4.5% Withdrawals-No Rebalancing'!N21</f>
        <v>2006</v>
      </c>
      <c r="O21" s="50">
        <f>'4.5% Withdrawals-No Rebalancing'!O21</f>
        <v>2.5000000000000001E-2</v>
      </c>
      <c r="P21" s="44"/>
    </row>
    <row r="22" spans="1:16"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c r="N22" s="49">
        <f>'4.5% Withdrawals-No Rebalancing'!N22</f>
        <v>2007</v>
      </c>
      <c r="O22" s="50">
        <f>'4.5% Withdrawals-No Rebalancing'!O22</f>
        <v>4.1000000000000002E-2</v>
      </c>
      <c r="P22" s="44"/>
    </row>
    <row r="23" spans="1:16"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c r="N23" s="49">
        <f>'4.5% Withdrawals-No Rebalancing'!N23</f>
        <v>2008</v>
      </c>
      <c r="O23" s="50">
        <f>'4.5% Withdrawals-No Rebalancing'!O23</f>
        <v>0</v>
      </c>
      <c r="P23" s="44"/>
    </row>
    <row r="24" spans="1:16"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c r="N24" s="49">
        <f>'4.5% Withdrawals-No Rebalancing'!N24</f>
        <v>2009</v>
      </c>
      <c r="O24" s="50">
        <f>'4.5% Withdrawals-No Rebalancing'!O24</f>
        <v>2.8000000000000001E-2</v>
      </c>
      <c r="P24" s="44"/>
    </row>
    <row r="25" spans="1:16"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c r="N25" s="49">
        <f>'4.5% Withdrawals-No Rebalancing'!N25</f>
        <v>2010</v>
      </c>
      <c r="O25" s="50">
        <f>'4.5% Withdrawals-No Rebalancing'!O25</f>
        <v>1.4E-2</v>
      </c>
      <c r="P25" s="44"/>
    </row>
    <row r="26" spans="1:16"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c r="N26" s="49">
        <f>'4.5% Withdrawals-No Rebalancing'!N26</f>
        <v>2011</v>
      </c>
      <c r="O26" s="50">
        <f>'4.5% Withdrawals-No Rebalancing'!O26</f>
        <v>0.03</v>
      </c>
      <c r="P26" s="44"/>
    </row>
    <row r="27" spans="1:16"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c r="N27" s="49">
        <f>'4.5% Withdrawals-No Rebalancing'!N27</f>
        <v>2012</v>
      </c>
      <c r="O27" s="50">
        <f>'4.5% Withdrawals-No Rebalancing'!O27</f>
        <v>1.7999999999999999E-2</v>
      </c>
    </row>
    <row r="28" spans="1:16" x14ac:dyDescent="0.2">
      <c r="A28" s="17">
        <f>'Non-Rebalanced Portfolio'!A28</f>
        <v>2013</v>
      </c>
      <c r="B28" s="17">
        <f>'Non-Rebalanced Portfolio'!B28</f>
        <v>32.18</v>
      </c>
      <c r="C28" s="19"/>
      <c r="D28" s="17">
        <f>'Non-Rebalanced Portfolio'!D28</f>
        <v>35</v>
      </c>
      <c r="E28" s="17">
        <f>'Non-Rebalanced Portfolio'!E28</f>
        <v>37.619999999999997</v>
      </c>
      <c r="F28" s="19"/>
      <c r="G28" s="17">
        <f>'Non-Rebalanced Portfolio'!G28</f>
        <v>15.04</v>
      </c>
      <c r="H28" s="17">
        <f>'Non-Rebalanced Portfolio'!H28</f>
        <v>-2.2599999999999998</v>
      </c>
      <c r="N28" s="49">
        <f>'4.5% Withdrawals-No Rebalancing'!N28</f>
        <v>2013</v>
      </c>
      <c r="O28" s="50">
        <f>'4.5% Withdrawals-No Rebalancing'!O28</f>
        <v>1.15559170535223E-2</v>
      </c>
    </row>
    <row r="29" spans="1:16"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2014</v>
      </c>
      <c r="O29" s="50">
        <f>'4.5% Withdrawals-No Rebalancing'!O29</f>
        <v>1.29E-2</v>
      </c>
    </row>
    <row r="30" spans="1:16"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2015</v>
      </c>
      <c r="O30" s="50">
        <f>'4.5% Withdrawals-No Rebalancing'!O30</f>
        <v>4.4000000000000003E-3</v>
      </c>
    </row>
    <row r="31" spans="1:16"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2016</v>
      </c>
      <c r="O31" s="50">
        <f>'4.5% Withdrawals-No Rebalancing'!O31</f>
        <v>1.7000000000000001E-2</v>
      </c>
    </row>
    <row r="32" spans="1:16"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2017</v>
      </c>
      <c r="O32" s="50">
        <f>'4.5% Withdrawals-No Rebalancing'!O32</f>
        <v>2.23E-2</v>
      </c>
    </row>
    <row r="33" spans="1:86"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86" x14ac:dyDescent="0.2">
      <c r="A36" s="20" t="s">
        <v>120</v>
      </c>
      <c r="N36" s="20" t="s">
        <v>25</v>
      </c>
      <c r="R36" s="20" t="s">
        <v>121</v>
      </c>
      <c r="AG36" s="20" t="s">
        <v>122</v>
      </c>
      <c r="AR36" s="1"/>
      <c r="AS36" s="20" t="s">
        <v>9</v>
      </c>
      <c r="BL36" s="20" t="s">
        <v>7</v>
      </c>
    </row>
    <row r="37" spans="1:86"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R37" s="71"/>
      <c r="AT37" s="4" t="str">
        <f t="shared" ref="AT37:AZ39" si="3">BO37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4"/>
      <c r="BB37" t="s">
        <v>88</v>
      </c>
      <c r="BO37" s="4" t="str">
        <f t="shared" ref="BO37:BU39" si="4">AH37</f>
        <v>LC Stocks</v>
      </c>
      <c r="BP37" s="4" t="str">
        <f t="shared" si="4"/>
        <v>Ext Mkt</v>
      </c>
      <c r="BQ37" s="4" t="str">
        <f t="shared" si="4"/>
        <v>Mcap Stk</v>
      </c>
      <c r="BR37" s="4" t="str">
        <f t="shared" si="4"/>
        <v>Small Cap</v>
      </c>
      <c r="BS37" s="4" t="str">
        <f t="shared" si="4"/>
        <v>Intl Val</v>
      </c>
      <c r="BT37" s="4" t="str">
        <f t="shared" si="4"/>
        <v>Tot Int Stk</v>
      </c>
      <c r="BU37" s="4" t="str">
        <f t="shared" si="4"/>
        <v>Bonds</v>
      </c>
      <c r="BV37" s="5"/>
    </row>
    <row r="38" spans="1:86"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R38" s="71"/>
      <c r="AS38" t="s">
        <v>72</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BV38</f>
        <v>Total</v>
      </c>
      <c r="BB38" t="s">
        <v>87</v>
      </c>
      <c r="BN38" t="str">
        <f t="shared" ref="BN38:BN64" si="5">AG38</f>
        <v>Fund</v>
      </c>
      <c r="BO38" s="4" t="str">
        <f t="shared" si="4"/>
        <v>VFINX</v>
      </c>
      <c r="BP38" s="4" t="str">
        <f t="shared" si="4"/>
        <v>VEXMX</v>
      </c>
      <c r="BQ38" s="4" t="str">
        <f t="shared" si="4"/>
        <v>VIMSX</v>
      </c>
      <c r="BR38" s="4" t="str">
        <f t="shared" si="4"/>
        <v>NAESX</v>
      </c>
      <c r="BS38" s="4" t="str">
        <f t="shared" si="4"/>
        <v>VTRIX</v>
      </c>
      <c r="BT38" s="4" t="str">
        <f t="shared" si="4"/>
        <v>VGTSX</v>
      </c>
      <c r="BU38" s="4" t="str">
        <f t="shared" si="4"/>
        <v>VBMFX</v>
      </c>
      <c r="BV38" s="4" t="str">
        <f>AO38</f>
        <v>Total</v>
      </c>
    </row>
    <row r="39" spans="1:86" x14ac:dyDescent="0.2">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86</v>
      </c>
      <c r="AH39" s="6">
        <f t="shared" ref="AH39:AI54" si="6">S39/$Z39</f>
        <v>0.2</v>
      </c>
      <c r="AI39" s="6">
        <f t="shared" si="6"/>
        <v>0.3</v>
      </c>
      <c r="AJ39" s="23">
        <v>0.2</v>
      </c>
      <c r="AK39" s="23">
        <v>0.1</v>
      </c>
      <c r="AL39" s="6">
        <f t="shared" ref="AL39:AM54" si="7">W39/$Z39</f>
        <v>0.2</v>
      </c>
      <c r="AM39" s="23">
        <v>0.2</v>
      </c>
      <c r="AN39" s="6">
        <f>Y39/$Z39</f>
        <v>0.3</v>
      </c>
      <c r="AO39" s="6">
        <f>Z39/$Z39</f>
        <v>1</v>
      </c>
      <c r="AP39" s="24"/>
      <c r="AS39" s="21" t="str">
        <f>R39</f>
        <v>Stating Balance</v>
      </c>
      <c r="AT39" s="24">
        <f t="shared" si="3"/>
        <v>0.2</v>
      </c>
      <c r="AU39" s="24">
        <f t="shared" si="3"/>
        <v>0.3</v>
      </c>
      <c r="AV39" s="25">
        <f t="shared" si="3"/>
        <v>0.2</v>
      </c>
      <c r="AW39" s="25">
        <f t="shared" si="3"/>
        <v>0.1</v>
      </c>
      <c r="AX39" s="24">
        <f t="shared" si="3"/>
        <v>0.2</v>
      </c>
      <c r="AY39" s="25">
        <f t="shared" si="3"/>
        <v>0.2</v>
      </c>
      <c r="AZ39" s="24">
        <f t="shared" si="3"/>
        <v>0.3</v>
      </c>
      <c r="BA39" s="24">
        <f>BV39</f>
        <v>1</v>
      </c>
      <c r="BB39" s="2"/>
      <c r="BC39" s="2"/>
      <c r="BM39" s="24"/>
      <c r="BN39" s="21" t="str">
        <f t="shared" si="5"/>
        <v>Target Allocation</v>
      </c>
      <c r="BO39" s="24">
        <f t="shared" si="4"/>
        <v>0.2</v>
      </c>
      <c r="BP39" s="24">
        <f t="shared" si="4"/>
        <v>0.3</v>
      </c>
      <c r="BQ39" s="25">
        <f t="shared" si="4"/>
        <v>0.2</v>
      </c>
      <c r="BR39" s="25">
        <f t="shared" si="4"/>
        <v>0.1</v>
      </c>
      <c r="BS39" s="24">
        <f t="shared" si="4"/>
        <v>0.2</v>
      </c>
      <c r="BT39" s="25">
        <f t="shared" si="4"/>
        <v>0.2</v>
      </c>
      <c r="BU39" s="24">
        <f t="shared" si="4"/>
        <v>0.3</v>
      </c>
      <c r="BV39" s="24">
        <f>AO39</f>
        <v>1</v>
      </c>
    </row>
    <row r="40" spans="1:86" x14ac:dyDescent="0.2">
      <c r="A40">
        <f t="shared" ref="A40:A64" si="8">A4</f>
        <v>1989</v>
      </c>
      <c r="B40" s="2">
        <f t="shared" ref="B40:C40" si="9">B39*(1+(B4/100))</f>
        <v>26272.000000000004</v>
      </c>
      <c r="C40" s="2">
        <f t="shared" si="9"/>
        <v>37228.800000000003</v>
      </c>
      <c r="D40" s="2"/>
      <c r="E40" s="2"/>
      <c r="F40" s="2">
        <f t="shared" ref="F40" si="10">F39*(1+(F4/100))</f>
        <v>25194.2</v>
      </c>
      <c r="G40" s="2"/>
      <c r="H40" s="2">
        <f t="shared" ref="H40" si="11">H39*(1+(H4/100))</f>
        <v>34092</v>
      </c>
      <c r="I40" s="2">
        <f>SUM(B40:H40)</f>
        <v>122787</v>
      </c>
      <c r="J40" s="2">
        <f>I40-I39</f>
        <v>22787</v>
      </c>
      <c r="K40" s="6">
        <f>(J40/I39)</f>
        <v>0.22786999999999999</v>
      </c>
      <c r="L40" s="7">
        <f>K40+1</f>
        <v>1.22787</v>
      </c>
      <c r="N40">
        <f>A40</f>
        <v>1989</v>
      </c>
      <c r="O40" s="2">
        <f>I40*0.045</f>
        <v>5525.415</v>
      </c>
      <c r="P40" s="2"/>
      <c r="Q40" s="2"/>
      <c r="R40">
        <f>A40</f>
        <v>1989</v>
      </c>
      <c r="S40" s="2">
        <f>B40-($O40/4)</f>
        <v>24890.646250000005</v>
      </c>
      <c r="T40" s="2">
        <f>C40-($O40/4)</f>
        <v>35847.446250000001</v>
      </c>
      <c r="U40" s="2"/>
      <c r="V40" s="2"/>
      <c r="W40" s="2">
        <f t="shared" ref="W40:W47" si="12">F40-($O40/4)</f>
        <v>23812.846250000002</v>
      </c>
      <c r="X40" s="2"/>
      <c r="Y40" s="2">
        <f>H40-($O40/4)</f>
        <v>32710.646250000002</v>
      </c>
      <c r="Z40" s="2">
        <f>SUM(S40:Y40)</f>
        <v>117261.58500000001</v>
      </c>
      <c r="AA40" s="2">
        <f>Z40-Z39</f>
        <v>17261.585000000006</v>
      </c>
      <c r="AB40" s="6">
        <f>(AA40/Z39)</f>
        <v>0.17261585000000007</v>
      </c>
      <c r="AC40" s="7">
        <f>AB40+1</f>
        <v>1.1726158500000001</v>
      </c>
      <c r="AD40" s="2">
        <f>Z40-(I40-O40)</f>
        <v>0</v>
      </c>
      <c r="AE40" s="2"/>
      <c r="AG40">
        <f t="shared" ref="AG40:AG64" si="13">A40</f>
        <v>1989</v>
      </c>
      <c r="AH40" s="6">
        <f t="shared" si="6"/>
        <v>0.2122659884735483</v>
      </c>
      <c r="AI40" s="6">
        <f t="shared" si="6"/>
        <v>0.3057049437801817</v>
      </c>
      <c r="AJ40" s="7"/>
      <c r="AK40" s="7"/>
      <c r="AL40" s="6">
        <f t="shared" si="7"/>
        <v>0.20307457254649935</v>
      </c>
      <c r="AM40" s="7"/>
      <c r="AN40" s="6">
        <f t="shared" ref="AN40:AN64" si="14">Y40/$Z40</f>
        <v>0.27895449519977067</v>
      </c>
      <c r="AO40" s="6">
        <f>SUM(AH40:AN40)</f>
        <v>1</v>
      </c>
      <c r="AP40" s="7">
        <f>SUM(AH40:AM40)</f>
        <v>0.72104550480022933</v>
      </c>
      <c r="AQ40" s="7">
        <f>AO40-(AP40+AN40)</f>
        <v>0</v>
      </c>
      <c r="AR40" s="7"/>
      <c r="AS40">
        <f>A40</f>
        <v>1989</v>
      </c>
      <c r="AT40" s="2">
        <f t="shared" ref="AT40:AU50" si="15">S40</f>
        <v>24890.646250000005</v>
      </c>
      <c r="AU40" s="2">
        <f t="shared" si="15"/>
        <v>35847.446250000001</v>
      </c>
      <c r="AV40" s="2"/>
      <c r="AW40" s="2"/>
      <c r="AX40" s="2">
        <f t="shared" ref="AX40:AX47" si="16">W40</f>
        <v>23812.846250000002</v>
      </c>
      <c r="AY40" s="2"/>
      <c r="AZ40" s="2">
        <f t="shared" ref="AZ40:BA55" si="17">Y40</f>
        <v>32710.646250000002</v>
      </c>
      <c r="BA40" s="2">
        <f t="shared" si="17"/>
        <v>117261.58500000001</v>
      </c>
      <c r="BB40" s="2">
        <f t="shared" ref="BB40:BB62" si="18">SUM(AT40:AZ40)-Z40</f>
        <v>0</v>
      </c>
      <c r="BC40" s="2"/>
      <c r="BM40" s="24"/>
      <c r="BN40">
        <f t="shared" si="5"/>
        <v>1989</v>
      </c>
      <c r="BO40" s="1" t="b">
        <f>AND((S40/$Z40)&gt;0.15,(S40/$Z40)&lt;0.25)</f>
        <v>1</v>
      </c>
      <c r="BP40" s="1" t="b">
        <f>AND((T40/$Z40)&gt;0.25,(T40/$Z40)&lt;0.35)</f>
        <v>1</v>
      </c>
      <c r="BS40" s="1" t="b">
        <f t="shared" ref="BS40:BS48" si="19">AND((W40/$Z40)&gt;0.15,(W40/$Z40)&lt;0.25)</f>
        <v>1</v>
      </c>
      <c r="BU40" s="1" t="b">
        <f>AND((Y40/$Z40)&gt;0.25,(Y40/$Z40)&lt;0.35)</f>
        <v>1</v>
      </c>
      <c r="BV40" s="1" t="b">
        <f>AND((Z40/$Z40)&gt;0.999,(Z40/$Z40)&lt;1.01)</f>
        <v>1</v>
      </c>
      <c r="CH40" s="2"/>
    </row>
    <row r="41" spans="1:86" x14ac:dyDescent="0.2">
      <c r="A41">
        <f t="shared" si="8"/>
        <v>1990</v>
      </c>
      <c r="B41" s="2">
        <f t="shared" ref="B41:B50" si="20">AT40*(1+(B5/100))</f>
        <v>24064.276794500005</v>
      </c>
      <c r="C41" s="2">
        <f t="shared" ref="C41:C49" si="21">AU40*(1+(C5/100))</f>
        <v>30812.672424187502</v>
      </c>
      <c r="D41" s="2"/>
      <c r="E41" s="2"/>
      <c r="F41" s="2">
        <f t="shared" ref="F41:F47" si="22">AX40*(1+(F5/100))</f>
        <v>20893.391299750001</v>
      </c>
      <c r="G41" s="2"/>
      <c r="H41" s="2">
        <f t="shared" ref="H41:H64" si="23">AZ40*(1+(H5/100))</f>
        <v>35540.117150625003</v>
      </c>
      <c r="I41" s="2">
        <f>SUM(B41:H41)</f>
        <v>111310.45766906251</v>
      </c>
      <c r="J41" s="2">
        <f t="shared" ref="J41:J64" si="24">I41-I40</f>
        <v>-11476.542330937489</v>
      </c>
      <c r="K41" s="6">
        <f t="shared" ref="K41:K64" si="25">(J41/I40)</f>
        <v>-9.3467079828788796E-2</v>
      </c>
      <c r="L41" s="7">
        <f t="shared" ref="L41:L64" si="26">K41+1</f>
        <v>0.90653292017121123</v>
      </c>
      <c r="N41">
        <f t="shared" ref="N41:N64" si="27">A41</f>
        <v>1990</v>
      </c>
      <c r="O41" s="2">
        <f t="shared" ref="O41:O64" si="28">O40*(1+O5)</f>
        <v>5873.5161449999996</v>
      </c>
      <c r="P41" s="2"/>
      <c r="Q41" s="2"/>
      <c r="R41">
        <f t="shared" ref="R41:R64" si="29">A41</f>
        <v>1990</v>
      </c>
      <c r="S41" s="2">
        <f>B41-($O41/4)</f>
        <v>22595.897758250005</v>
      </c>
      <c r="T41" s="2">
        <f>C41-($O41/4)</f>
        <v>29344.293387937501</v>
      </c>
      <c r="U41" s="2"/>
      <c r="V41" s="2"/>
      <c r="W41" s="2">
        <f t="shared" si="12"/>
        <v>19425.012263500001</v>
      </c>
      <c r="X41" s="2"/>
      <c r="Y41" s="2">
        <f>H41-($O41/4)</f>
        <v>34071.738114375003</v>
      </c>
      <c r="Z41" s="2">
        <f>SUM(S41:Y41)</f>
        <v>105436.94152406251</v>
      </c>
      <c r="AA41" s="2">
        <f t="shared" ref="AA41:AA55" si="30">Z41-Z40</f>
        <v>-11824.643475937497</v>
      </c>
      <c r="AB41" s="6">
        <f t="shared" ref="AB41:AB55" si="31">(AA41/Z40)</f>
        <v>-0.10083987416627105</v>
      </c>
      <c r="AC41" s="7">
        <f t="shared" ref="AC41:AC64" si="32">AB41+1</f>
        <v>0.89916012583372895</v>
      </c>
      <c r="AD41" s="2">
        <f>Z41-(I41-O41)</f>
        <v>0</v>
      </c>
      <c r="AE41" s="2"/>
      <c r="AG41">
        <f t="shared" si="13"/>
        <v>1990</v>
      </c>
      <c r="AH41" s="6">
        <f t="shared" si="6"/>
        <v>0.21430721938281219</v>
      </c>
      <c r="AI41" s="6">
        <f t="shared" si="6"/>
        <v>0.27831131066373577</v>
      </c>
      <c r="AJ41" s="7"/>
      <c r="AK41" s="7"/>
      <c r="AL41" s="6">
        <f t="shared" si="7"/>
        <v>0.18423345729415797</v>
      </c>
      <c r="AM41" s="7"/>
      <c r="AN41" s="6">
        <f t="shared" si="14"/>
        <v>0.3231480126592941</v>
      </c>
      <c r="AO41" s="6">
        <f t="shared" ref="AO41:AO64" si="33">SUM(AH41:AN41)</f>
        <v>1</v>
      </c>
      <c r="AP41" s="7">
        <f t="shared" ref="AP41:AP64" si="34">SUM(AH41:AM41)</f>
        <v>0.67685198734070595</v>
      </c>
      <c r="AQ41" s="7">
        <f t="shared" ref="AQ41:AQ64" si="35">AO41-(AP41+AN41)</f>
        <v>0</v>
      </c>
      <c r="AR41" s="7"/>
      <c r="AS41">
        <f t="shared" ref="AS41:AS64" si="36">A41</f>
        <v>1990</v>
      </c>
      <c r="AT41" s="2">
        <f t="shared" si="15"/>
        <v>22595.897758250005</v>
      </c>
      <c r="AU41" s="2">
        <f t="shared" si="15"/>
        <v>29344.293387937501</v>
      </c>
      <c r="AV41" s="2"/>
      <c r="AW41" s="2"/>
      <c r="AX41" s="2">
        <f t="shared" si="16"/>
        <v>19425.012263500001</v>
      </c>
      <c r="AY41" s="2"/>
      <c r="AZ41" s="2">
        <f t="shared" si="17"/>
        <v>34071.738114375003</v>
      </c>
      <c r="BA41" s="2">
        <f t="shared" si="17"/>
        <v>105436.94152406251</v>
      </c>
      <c r="BB41" s="2">
        <f t="shared" si="18"/>
        <v>0</v>
      </c>
      <c r="BC41" s="2"/>
      <c r="BM41" s="24"/>
      <c r="BN41">
        <f t="shared" si="5"/>
        <v>1990</v>
      </c>
      <c r="BO41" s="1" t="b">
        <f t="shared" ref="BO41:BO64" si="37">AND((S41/$Z41)&gt;0.15,(S41/$Z41)&lt;0.25)</f>
        <v>1</v>
      </c>
      <c r="BP41" s="1" t="b">
        <f t="shared" ref="BP41:BP50" si="38">AND((T41/$Z41)&gt;0.25,(T41/$Z41)&lt;0.35)</f>
        <v>1</v>
      </c>
      <c r="BS41" s="1" t="b">
        <f t="shared" si="19"/>
        <v>1</v>
      </c>
      <c r="BU41" s="1" t="b">
        <f t="shared" ref="BU41:BU64" si="39">AND((Y41/$Z41)&gt;0.25,(Y41/$Z41)&lt;0.35)</f>
        <v>1</v>
      </c>
      <c r="BV41" s="1" t="b">
        <f t="shared" ref="BV41:BV64" si="40">AND((Z41/$Z41)&gt;0.999,(Z41/$Z41)&lt;1.01)</f>
        <v>1</v>
      </c>
      <c r="CH41" s="2"/>
    </row>
    <row r="42" spans="1:86" x14ac:dyDescent="0.2">
      <c r="A42">
        <f t="shared" si="8"/>
        <v>1991</v>
      </c>
      <c r="B42" s="2">
        <f t="shared" si="20"/>
        <v>29424.378060793155</v>
      </c>
      <c r="C42" s="2">
        <f t="shared" si="21"/>
        <v>41624.880170789351</v>
      </c>
      <c r="D42" s="2"/>
      <c r="E42" s="2"/>
      <c r="F42" s="2">
        <f t="shared" si="22"/>
        <v>21358.966484454064</v>
      </c>
      <c r="G42" s="2"/>
      <c r="H42" s="2">
        <f t="shared" si="23"/>
        <v>39267.678176817193</v>
      </c>
      <c r="I42" s="2">
        <f t="shared" ref="I42:I64" si="41">SUM(B42:H42)</f>
        <v>131675.90289285377</v>
      </c>
      <c r="J42" s="2">
        <f t="shared" si="24"/>
        <v>20365.445223791263</v>
      </c>
      <c r="K42" s="6">
        <f t="shared" si="25"/>
        <v>0.182960753645806</v>
      </c>
      <c r="L42" s="7">
        <f t="shared" si="26"/>
        <v>1.182960753645806</v>
      </c>
      <c r="N42">
        <f t="shared" si="27"/>
        <v>1991</v>
      </c>
      <c r="O42" s="2">
        <f t="shared" si="28"/>
        <v>6049.7216293499996</v>
      </c>
      <c r="P42" s="2"/>
      <c r="Q42" s="2"/>
      <c r="R42">
        <f t="shared" si="29"/>
        <v>1991</v>
      </c>
      <c r="S42" s="2">
        <f t="shared" ref="S42:T49" si="42">B42-($O42/4)</f>
        <v>27911.947653455656</v>
      </c>
      <c r="T42" s="2">
        <f t="shared" si="42"/>
        <v>40112.449763451848</v>
      </c>
      <c r="U42" s="2"/>
      <c r="V42" s="2"/>
      <c r="W42" s="2">
        <f t="shared" si="12"/>
        <v>19846.536077116565</v>
      </c>
      <c r="X42" s="2"/>
      <c r="Y42" s="2">
        <f t="shared" ref="Y42:Y49" si="43">H42-($O42/4)</f>
        <v>37755.247769479691</v>
      </c>
      <c r="Z42" s="2">
        <f t="shared" ref="Z42:Z64" si="44">SUM(S42:Y42)</f>
        <v>125626.18126350376</v>
      </c>
      <c r="AA42" s="2">
        <f t="shared" si="30"/>
        <v>20189.239739441255</v>
      </c>
      <c r="AB42" s="6">
        <f t="shared" si="31"/>
        <v>0.19148165194865527</v>
      </c>
      <c r="AC42" s="7">
        <f t="shared" si="32"/>
        <v>1.1914816519486553</v>
      </c>
      <c r="AD42" s="2">
        <f t="shared" ref="AD42:AD64" si="45">Z42-(I42-O42)</f>
        <v>0</v>
      </c>
      <c r="AE42" s="2"/>
      <c r="AG42">
        <f t="shared" si="13"/>
        <v>1991</v>
      </c>
      <c r="AH42" s="6">
        <f t="shared" si="6"/>
        <v>0.22218256873469483</v>
      </c>
      <c r="AI42" s="6">
        <f t="shared" si="6"/>
        <v>0.31930008028593238</v>
      </c>
      <c r="AJ42" s="7"/>
      <c r="AK42" s="7"/>
      <c r="AL42" s="6">
        <f t="shared" si="7"/>
        <v>0.15798089122432216</v>
      </c>
      <c r="AM42" s="7"/>
      <c r="AN42" s="6">
        <f t="shared" si="14"/>
        <v>0.30053645975505061</v>
      </c>
      <c r="AO42" s="6">
        <f t="shared" si="33"/>
        <v>1</v>
      </c>
      <c r="AP42" s="7">
        <f t="shared" si="34"/>
        <v>0.69946354024494939</v>
      </c>
      <c r="AQ42" s="7">
        <f t="shared" si="35"/>
        <v>0</v>
      </c>
      <c r="AR42" s="7"/>
      <c r="AS42">
        <f t="shared" si="36"/>
        <v>1991</v>
      </c>
      <c r="AT42" s="2">
        <f t="shared" si="15"/>
        <v>27911.947653455656</v>
      </c>
      <c r="AU42" s="2">
        <f t="shared" si="15"/>
        <v>40112.449763451848</v>
      </c>
      <c r="AV42" s="2"/>
      <c r="AW42" s="2"/>
      <c r="AX42" s="2">
        <f t="shared" si="16"/>
        <v>19846.536077116565</v>
      </c>
      <c r="AY42" s="2"/>
      <c r="AZ42" s="2">
        <f t="shared" si="17"/>
        <v>37755.247769479691</v>
      </c>
      <c r="BA42" s="2">
        <f t="shared" si="17"/>
        <v>125626.18126350376</v>
      </c>
      <c r="BB42" s="2">
        <f t="shared" si="18"/>
        <v>0</v>
      </c>
      <c r="BC42" s="2"/>
      <c r="BM42" s="24"/>
      <c r="BN42">
        <f t="shared" si="5"/>
        <v>1991</v>
      </c>
      <c r="BO42" s="1" t="b">
        <f t="shared" si="37"/>
        <v>1</v>
      </c>
      <c r="BP42" s="1" t="b">
        <f t="shared" si="38"/>
        <v>1</v>
      </c>
      <c r="BS42" s="1" t="b">
        <f t="shared" si="19"/>
        <v>1</v>
      </c>
      <c r="BU42" s="1" t="b">
        <f t="shared" si="39"/>
        <v>1</v>
      </c>
      <c r="BV42" s="1" t="b">
        <f t="shared" si="40"/>
        <v>1</v>
      </c>
      <c r="CH42" s="2"/>
    </row>
    <row r="43" spans="1:86" x14ac:dyDescent="0.2">
      <c r="A43">
        <f t="shared" si="8"/>
        <v>1992</v>
      </c>
      <c r="B43" s="2">
        <f t="shared" si="20"/>
        <v>29983.014169342066</v>
      </c>
      <c r="C43" s="2">
        <f t="shared" si="21"/>
        <v>45112.867750963756</v>
      </c>
      <c r="D43" s="2"/>
      <c r="E43" s="2"/>
      <c r="F43" s="2">
        <f t="shared" si="22"/>
        <v>18115.719665831228</v>
      </c>
      <c r="G43" s="2"/>
      <c r="H43" s="2">
        <f t="shared" si="23"/>
        <v>40450.972460220539</v>
      </c>
      <c r="I43" s="2">
        <f t="shared" si="41"/>
        <v>133662.57404635759</v>
      </c>
      <c r="J43" s="2">
        <f t="shared" si="24"/>
        <v>1986.6711535038194</v>
      </c>
      <c r="K43" s="6">
        <f t="shared" si="25"/>
        <v>1.5087583300039316E-2</v>
      </c>
      <c r="L43" s="7">
        <f t="shared" si="26"/>
        <v>1.0150875833000392</v>
      </c>
      <c r="N43">
        <f t="shared" si="27"/>
        <v>1992</v>
      </c>
      <c r="O43" s="2">
        <f t="shared" si="28"/>
        <v>6231.2132782304998</v>
      </c>
      <c r="P43" s="2"/>
      <c r="Q43" s="2"/>
      <c r="R43">
        <f t="shared" si="29"/>
        <v>1992</v>
      </c>
      <c r="S43" s="2">
        <f t="shared" si="42"/>
        <v>28425.210849784442</v>
      </c>
      <c r="T43" s="2">
        <f t="shared" si="42"/>
        <v>43555.064431406128</v>
      </c>
      <c r="U43" s="2"/>
      <c r="V43" s="2"/>
      <c r="W43" s="2">
        <f t="shared" si="12"/>
        <v>16557.916346273603</v>
      </c>
      <c r="X43" s="2"/>
      <c r="Y43" s="2">
        <f t="shared" si="43"/>
        <v>38893.169140662911</v>
      </c>
      <c r="Z43" s="2">
        <f t="shared" si="44"/>
        <v>127431.36076812708</v>
      </c>
      <c r="AA43" s="2">
        <f t="shared" si="30"/>
        <v>1805.1795046233165</v>
      </c>
      <c r="AB43" s="6">
        <f t="shared" si="31"/>
        <v>1.4369452979207506E-2</v>
      </c>
      <c r="AC43" s="7">
        <f t="shared" si="32"/>
        <v>1.0143694529792076</v>
      </c>
      <c r="AD43" s="2">
        <f t="shared" si="45"/>
        <v>0</v>
      </c>
      <c r="AE43" s="2"/>
      <c r="AG43">
        <f t="shared" si="13"/>
        <v>1992</v>
      </c>
      <c r="AH43" s="6">
        <f t="shared" si="6"/>
        <v>0.223062915427127</v>
      </c>
      <c r="AI43" s="6">
        <f t="shared" si="6"/>
        <v>0.34179235134009528</v>
      </c>
      <c r="AJ43" s="7"/>
      <c r="AK43" s="7"/>
      <c r="AL43" s="6">
        <f t="shared" si="7"/>
        <v>0.12993596118307357</v>
      </c>
      <c r="AM43" s="7"/>
      <c r="AN43" s="6">
        <f t="shared" si="14"/>
        <v>0.30520877204970415</v>
      </c>
      <c r="AO43" s="6">
        <f t="shared" si="33"/>
        <v>1</v>
      </c>
      <c r="AP43" s="7">
        <f t="shared" si="34"/>
        <v>0.69479122795029591</v>
      </c>
      <c r="AQ43" s="7">
        <f t="shared" si="35"/>
        <v>0</v>
      </c>
      <c r="AR43" s="7"/>
      <c r="AS43">
        <f t="shared" si="36"/>
        <v>1992</v>
      </c>
      <c r="AT43" s="2">
        <f t="shared" si="15"/>
        <v>28425.210849784442</v>
      </c>
      <c r="AU43" s="2">
        <f t="shared" si="15"/>
        <v>43555.064431406128</v>
      </c>
      <c r="AV43" s="2"/>
      <c r="AW43" s="2"/>
      <c r="AX43" s="2">
        <f t="shared" si="16"/>
        <v>16557.916346273603</v>
      </c>
      <c r="AY43" s="2"/>
      <c r="AZ43" s="2">
        <f t="shared" si="17"/>
        <v>38893.169140662911</v>
      </c>
      <c r="BA43" s="2">
        <f t="shared" si="17"/>
        <v>127431.36076812708</v>
      </c>
      <c r="BB43" s="2">
        <f t="shared" si="18"/>
        <v>0</v>
      </c>
      <c r="BC43" s="2"/>
      <c r="BM43" s="24"/>
      <c r="BN43">
        <f t="shared" si="5"/>
        <v>1992</v>
      </c>
      <c r="BO43" s="1" t="b">
        <f t="shared" si="37"/>
        <v>1</v>
      </c>
      <c r="BP43" s="1" t="b">
        <f t="shared" si="38"/>
        <v>1</v>
      </c>
      <c r="BS43" s="1" t="b">
        <f t="shared" si="19"/>
        <v>0</v>
      </c>
      <c r="BU43" s="1" t="b">
        <f t="shared" si="39"/>
        <v>1</v>
      </c>
      <c r="BV43" s="1" t="b">
        <f t="shared" si="40"/>
        <v>1</v>
      </c>
      <c r="CH43" s="2"/>
    </row>
    <row r="44" spans="1:86" x14ac:dyDescent="0.2">
      <c r="A44">
        <f t="shared" si="8"/>
        <v>1993</v>
      </c>
      <c r="B44" s="2">
        <f t="shared" si="20"/>
        <v>31236.464202828123</v>
      </c>
      <c r="C44" s="2">
        <f t="shared" si="21"/>
        <v>49866.193267516879</v>
      </c>
      <c r="D44" s="2"/>
      <c r="E44" s="2"/>
      <c r="F44" s="2">
        <f t="shared" si="22"/>
        <v>21607.087356906275</v>
      </c>
      <c r="G44" s="2"/>
      <c r="H44" s="2">
        <f t="shared" si="23"/>
        <v>42658.027913479084</v>
      </c>
      <c r="I44" s="2">
        <f t="shared" si="41"/>
        <v>145367.77274073035</v>
      </c>
      <c r="J44" s="2">
        <f t="shared" si="24"/>
        <v>11705.198694372753</v>
      </c>
      <c r="K44" s="6">
        <f t="shared" si="25"/>
        <v>8.7572746356905345E-2</v>
      </c>
      <c r="L44" s="7">
        <f t="shared" si="26"/>
        <v>1.0875727463569054</v>
      </c>
      <c r="N44">
        <f t="shared" si="27"/>
        <v>1993</v>
      </c>
      <c r="O44" s="2">
        <f t="shared" si="28"/>
        <v>6405.6872500209538</v>
      </c>
      <c r="P44" s="2"/>
      <c r="Q44" s="2"/>
      <c r="R44">
        <f t="shared" si="29"/>
        <v>1993</v>
      </c>
      <c r="S44" s="2">
        <f t="shared" si="42"/>
        <v>29635.042390322884</v>
      </c>
      <c r="T44" s="2">
        <f t="shared" si="42"/>
        <v>48264.771455011643</v>
      </c>
      <c r="U44" s="2"/>
      <c r="V44" s="2"/>
      <c r="W44" s="2">
        <f t="shared" si="12"/>
        <v>20005.665544401036</v>
      </c>
      <c r="X44" s="2"/>
      <c r="Y44" s="2">
        <f t="shared" si="43"/>
        <v>41056.606100973848</v>
      </c>
      <c r="Z44" s="2">
        <f t="shared" si="44"/>
        <v>138962.0854907094</v>
      </c>
      <c r="AA44" s="2">
        <f t="shared" si="30"/>
        <v>11530.724722582323</v>
      </c>
      <c r="AB44" s="6">
        <f t="shared" si="31"/>
        <v>9.0485769382652376E-2</v>
      </c>
      <c r="AC44" s="7">
        <f t="shared" si="32"/>
        <v>1.0904857693826524</v>
      </c>
      <c r="AD44" s="2">
        <f t="shared" si="45"/>
        <v>0</v>
      </c>
      <c r="AE44" s="2"/>
      <c r="AG44">
        <f t="shared" si="13"/>
        <v>1993</v>
      </c>
      <c r="AH44" s="59">
        <f t="shared" si="6"/>
        <v>0.21325991392309807</v>
      </c>
      <c r="AI44" s="59">
        <f t="shared" si="6"/>
        <v>0.3473233096968632</v>
      </c>
      <c r="AJ44" s="60"/>
      <c r="AK44" s="60"/>
      <c r="AL44" s="59">
        <f t="shared" si="7"/>
        <v>0.14396492017053497</v>
      </c>
      <c r="AM44" s="60"/>
      <c r="AN44" s="59">
        <f t="shared" si="14"/>
        <v>0.29545185620950382</v>
      </c>
      <c r="AO44" s="6">
        <f t="shared" si="33"/>
        <v>1</v>
      </c>
      <c r="AP44" s="7">
        <f t="shared" si="34"/>
        <v>0.70454814379049624</v>
      </c>
      <c r="AQ44" s="7">
        <f t="shared" si="35"/>
        <v>0</v>
      </c>
      <c r="AR44" s="7"/>
      <c r="AS44">
        <f t="shared" si="36"/>
        <v>1993</v>
      </c>
      <c r="AT44" s="2">
        <f t="shared" si="15"/>
        <v>29635.042390322884</v>
      </c>
      <c r="AU44" s="2">
        <f t="shared" si="15"/>
        <v>48264.771455011643</v>
      </c>
      <c r="AV44" s="2"/>
      <c r="AW44" s="2"/>
      <c r="AX44" s="2">
        <f t="shared" si="16"/>
        <v>20005.665544401036</v>
      </c>
      <c r="AY44" s="2"/>
      <c r="AZ44" s="2">
        <f t="shared" si="17"/>
        <v>41056.606100973848</v>
      </c>
      <c r="BA44" s="2">
        <f t="shared" si="17"/>
        <v>138962.0854907094</v>
      </c>
      <c r="BB44" s="2">
        <f t="shared" si="18"/>
        <v>0</v>
      </c>
      <c r="BC44" s="2"/>
      <c r="BM44" s="24"/>
      <c r="BN44">
        <f t="shared" si="5"/>
        <v>1993</v>
      </c>
      <c r="BO44" s="1" t="b">
        <f t="shared" si="37"/>
        <v>1</v>
      </c>
      <c r="BP44" s="28" t="b">
        <f t="shared" si="38"/>
        <v>1</v>
      </c>
      <c r="BS44" s="28" t="b">
        <f t="shared" si="19"/>
        <v>0</v>
      </c>
      <c r="BU44" s="1" t="b">
        <f t="shared" si="39"/>
        <v>1</v>
      </c>
      <c r="BV44" s="1" t="b">
        <f t="shared" si="40"/>
        <v>1</v>
      </c>
      <c r="CH44" s="2"/>
    </row>
    <row r="45" spans="1:86" x14ac:dyDescent="0.2">
      <c r="A45">
        <f t="shared" si="8"/>
        <v>1994</v>
      </c>
      <c r="B45" s="2">
        <f t="shared" si="20"/>
        <v>29984.735890528696</v>
      </c>
      <c r="C45" s="2">
        <f t="shared" si="21"/>
        <v>47413.380886545237</v>
      </c>
      <c r="D45" s="2"/>
      <c r="E45" s="2"/>
      <c r="F45" s="2">
        <f t="shared" si="22"/>
        <v>21056.963268759311</v>
      </c>
      <c r="G45" s="2"/>
      <c r="H45" s="2">
        <f t="shared" si="23"/>
        <v>39964.500378687946</v>
      </c>
      <c r="I45" s="2">
        <f t="shared" si="41"/>
        <v>138419.58042452121</v>
      </c>
      <c r="J45" s="2">
        <f t="shared" si="24"/>
        <v>-6948.1923162091407</v>
      </c>
      <c r="K45" s="6">
        <f t="shared" si="25"/>
        <v>-4.7797336267932915E-2</v>
      </c>
      <c r="L45" s="7">
        <f t="shared" si="26"/>
        <v>0.95220266373206708</v>
      </c>
      <c r="N45">
        <f t="shared" si="27"/>
        <v>1994</v>
      </c>
      <c r="O45" s="2">
        <f t="shared" si="28"/>
        <v>6572.2351185214984</v>
      </c>
      <c r="P45" s="2"/>
      <c r="Q45" s="2"/>
      <c r="R45">
        <f t="shared" si="29"/>
        <v>1994</v>
      </c>
      <c r="S45" s="2">
        <f t="shared" si="42"/>
        <v>28341.677110898323</v>
      </c>
      <c r="T45" s="2">
        <f t="shared" si="42"/>
        <v>45770.322106914864</v>
      </c>
      <c r="U45" s="2"/>
      <c r="V45" s="2"/>
      <c r="W45" s="2">
        <f t="shared" si="12"/>
        <v>19413.904489128938</v>
      </c>
      <c r="X45" s="2"/>
      <c r="Y45" s="2">
        <f t="shared" si="43"/>
        <v>38321.441599057573</v>
      </c>
      <c r="Z45" s="2">
        <f t="shared" si="44"/>
        <v>131847.34530599971</v>
      </c>
      <c r="AA45" s="2">
        <f t="shared" si="30"/>
        <v>-7114.7401847096917</v>
      </c>
      <c r="AB45" s="6">
        <f t="shared" si="31"/>
        <v>-5.1199146584377957E-2</v>
      </c>
      <c r="AC45" s="7">
        <f t="shared" si="32"/>
        <v>0.94880085341562204</v>
      </c>
      <c r="AD45" s="2">
        <f t="shared" si="45"/>
        <v>0</v>
      </c>
      <c r="AE45" s="2"/>
      <c r="AG45">
        <f t="shared" si="13"/>
        <v>1994</v>
      </c>
      <c r="AH45" s="59">
        <f t="shared" si="6"/>
        <v>0.21495826893686146</v>
      </c>
      <c r="AI45" s="59">
        <f t="shared" si="6"/>
        <v>0.34714633048309151</v>
      </c>
      <c r="AJ45" s="60"/>
      <c r="AK45" s="60"/>
      <c r="AL45" s="59">
        <f t="shared" si="7"/>
        <v>0.14724531953276657</v>
      </c>
      <c r="AM45" s="60"/>
      <c r="AN45" s="59">
        <f t="shared" si="14"/>
        <v>0.29065008104728035</v>
      </c>
      <c r="AO45" s="6">
        <f t="shared" si="33"/>
        <v>0.99999999999999978</v>
      </c>
      <c r="AP45" s="7">
        <f t="shared" si="34"/>
        <v>0.70934991895271948</v>
      </c>
      <c r="AQ45" s="7">
        <f t="shared" si="35"/>
        <v>0</v>
      </c>
      <c r="AR45" s="7"/>
      <c r="AS45">
        <f t="shared" si="36"/>
        <v>1994</v>
      </c>
      <c r="AT45" s="2">
        <f t="shared" si="15"/>
        <v>28341.677110898323</v>
      </c>
      <c r="AU45" s="2">
        <f t="shared" si="15"/>
        <v>45770.322106914864</v>
      </c>
      <c r="AV45" s="2"/>
      <c r="AW45" s="2"/>
      <c r="AX45" s="2">
        <f t="shared" si="16"/>
        <v>19413.904489128938</v>
      </c>
      <c r="AY45" s="2"/>
      <c r="AZ45" s="2">
        <f t="shared" si="17"/>
        <v>38321.441599057573</v>
      </c>
      <c r="BA45" s="2">
        <f t="shared" si="17"/>
        <v>131847.34530599971</v>
      </c>
      <c r="BB45" s="2">
        <f t="shared" si="18"/>
        <v>0</v>
      </c>
      <c r="BC45" s="2"/>
      <c r="BM45" s="24"/>
      <c r="BN45">
        <f t="shared" si="5"/>
        <v>1994</v>
      </c>
      <c r="BO45" s="1" t="b">
        <f t="shared" si="37"/>
        <v>1</v>
      </c>
      <c r="BP45" s="1" t="b">
        <f t="shared" si="38"/>
        <v>1</v>
      </c>
      <c r="BS45" s="1" t="b">
        <f t="shared" si="19"/>
        <v>0</v>
      </c>
      <c r="BU45" s="1" t="b">
        <f t="shared" si="39"/>
        <v>1</v>
      </c>
      <c r="BV45" s="1" t="b">
        <f t="shared" si="40"/>
        <v>1</v>
      </c>
      <c r="CH45" s="2"/>
    </row>
    <row r="46" spans="1:86" x14ac:dyDescent="0.2">
      <c r="A46">
        <f t="shared" si="8"/>
        <v>1995</v>
      </c>
      <c r="B46" s="2">
        <f t="shared" si="20"/>
        <v>38955.635188929744</v>
      </c>
      <c r="C46" s="2">
        <f t="shared" si="21"/>
        <v>61239.317869388877</v>
      </c>
      <c r="D46" s="2"/>
      <c r="E46" s="2"/>
      <c r="F46" s="2">
        <f t="shared" si="22"/>
        <v>21286.569716150316</v>
      </c>
      <c r="G46" s="2"/>
      <c r="H46" s="2">
        <f t="shared" si="23"/>
        <v>45288.279681766238</v>
      </c>
      <c r="I46" s="2">
        <f t="shared" si="41"/>
        <v>166769.80245623516</v>
      </c>
      <c r="J46" s="2">
        <f t="shared" si="24"/>
        <v>28350.222031713958</v>
      </c>
      <c r="K46" s="6">
        <f t="shared" si="25"/>
        <v>0.20481366830304074</v>
      </c>
      <c r="L46" s="7">
        <f t="shared" si="26"/>
        <v>1.2048136683030408</v>
      </c>
      <c r="N46">
        <f t="shared" si="27"/>
        <v>1995</v>
      </c>
      <c r="O46" s="2">
        <f t="shared" si="28"/>
        <v>6736.5409964845348</v>
      </c>
      <c r="P46" s="2"/>
      <c r="Q46" s="2"/>
      <c r="R46">
        <f t="shared" si="29"/>
        <v>1995</v>
      </c>
      <c r="S46" s="2">
        <f t="shared" si="42"/>
        <v>37271.499939808607</v>
      </c>
      <c r="T46" s="2">
        <f t="shared" si="42"/>
        <v>59555.18262026774</v>
      </c>
      <c r="U46" s="2"/>
      <c r="V46" s="2"/>
      <c r="W46" s="2">
        <f t="shared" si="12"/>
        <v>19602.434467029183</v>
      </c>
      <c r="X46" s="2"/>
      <c r="Y46" s="2">
        <f t="shared" si="43"/>
        <v>43604.144432645102</v>
      </c>
      <c r="Z46" s="2">
        <f t="shared" si="44"/>
        <v>160033.26145975065</v>
      </c>
      <c r="AA46" s="2">
        <f t="shared" si="30"/>
        <v>28185.916153750935</v>
      </c>
      <c r="AB46" s="6">
        <f t="shared" si="31"/>
        <v>0.21377689545690334</v>
      </c>
      <c r="AC46" s="7">
        <f t="shared" si="32"/>
        <v>1.2137768954569033</v>
      </c>
      <c r="AD46" s="2">
        <f t="shared" si="45"/>
        <v>0</v>
      </c>
      <c r="AE46" s="2"/>
      <c r="AG46">
        <f t="shared" si="13"/>
        <v>1995</v>
      </c>
      <c r="AH46" s="6">
        <f t="shared" si="6"/>
        <v>0.23289845873185944</v>
      </c>
      <c r="AI46" s="6">
        <f t="shared" si="6"/>
        <v>0.37214252885326737</v>
      </c>
      <c r="AJ46" s="7"/>
      <c r="AK46" s="7"/>
      <c r="AL46" s="6">
        <f t="shared" si="7"/>
        <v>0.12248975174426047</v>
      </c>
      <c r="AM46" s="7"/>
      <c r="AN46" s="6">
        <f t="shared" si="14"/>
        <v>0.27246926067061261</v>
      </c>
      <c r="AO46" s="6">
        <f t="shared" si="33"/>
        <v>0.99999999999999989</v>
      </c>
      <c r="AP46" s="7">
        <f t="shared" si="34"/>
        <v>0.72753073932938728</v>
      </c>
      <c r="AQ46" s="7">
        <f t="shared" si="35"/>
        <v>0</v>
      </c>
      <c r="AR46" s="7"/>
      <c r="AS46">
        <f t="shared" si="36"/>
        <v>1995</v>
      </c>
      <c r="AT46" s="2">
        <f t="shared" si="15"/>
        <v>37271.499939808607</v>
      </c>
      <c r="AU46" s="2">
        <f t="shared" si="15"/>
        <v>59555.18262026774</v>
      </c>
      <c r="AV46" s="2"/>
      <c r="AW46" s="2"/>
      <c r="AX46" s="2">
        <f t="shared" si="16"/>
        <v>19602.434467029183</v>
      </c>
      <c r="AY46" s="2"/>
      <c r="AZ46" s="2">
        <f t="shared" si="17"/>
        <v>43604.144432645102</v>
      </c>
      <c r="BA46" s="2">
        <f t="shared" si="17"/>
        <v>160033.26145975065</v>
      </c>
      <c r="BB46" s="2">
        <f t="shared" si="18"/>
        <v>0</v>
      </c>
      <c r="BC46" s="2"/>
      <c r="BM46" s="24"/>
      <c r="BN46">
        <f t="shared" si="5"/>
        <v>1995</v>
      </c>
      <c r="BO46" s="1" t="b">
        <f t="shared" si="37"/>
        <v>1</v>
      </c>
      <c r="BP46" s="1" t="b">
        <f t="shared" si="38"/>
        <v>0</v>
      </c>
      <c r="BS46" s="1" t="b">
        <f t="shared" si="19"/>
        <v>0</v>
      </c>
      <c r="BU46" s="1" t="b">
        <f t="shared" si="39"/>
        <v>1</v>
      </c>
      <c r="BV46" s="1" t="b">
        <f t="shared" si="40"/>
        <v>1</v>
      </c>
      <c r="CH46" s="2"/>
    </row>
    <row r="47" spans="1:86" x14ac:dyDescent="0.2">
      <c r="A47">
        <f t="shared" si="8"/>
        <v>1996</v>
      </c>
      <c r="B47" s="2">
        <f t="shared" si="20"/>
        <v>45799.21912603682</v>
      </c>
      <c r="C47" s="2">
        <f t="shared" si="21"/>
        <v>70064.885697266378</v>
      </c>
      <c r="D47" s="2"/>
      <c r="E47" s="2"/>
      <c r="F47" s="2">
        <f t="shared" si="22"/>
        <v>21605.607245214895</v>
      </c>
      <c r="G47" s="2"/>
      <c r="H47" s="2">
        <f t="shared" si="23"/>
        <v>45165.1728033338</v>
      </c>
      <c r="I47" s="2">
        <f t="shared" si="41"/>
        <v>182634.88487185189</v>
      </c>
      <c r="J47" s="2">
        <f t="shared" si="24"/>
        <v>15865.082415616722</v>
      </c>
      <c r="K47" s="6">
        <f t="shared" si="25"/>
        <v>9.5131625641759351E-2</v>
      </c>
      <c r="L47" s="7">
        <f t="shared" si="26"/>
        <v>1.0951316256417594</v>
      </c>
      <c r="N47">
        <f t="shared" si="27"/>
        <v>1996</v>
      </c>
      <c r="O47" s="2">
        <f t="shared" si="28"/>
        <v>6965.5833903650091</v>
      </c>
      <c r="P47" s="2"/>
      <c r="Q47" s="2"/>
      <c r="R47">
        <f t="shared" si="29"/>
        <v>1996</v>
      </c>
      <c r="S47" s="2">
        <f t="shared" si="42"/>
        <v>44057.823278445569</v>
      </c>
      <c r="T47" s="2">
        <f t="shared" si="42"/>
        <v>68323.489849675127</v>
      </c>
      <c r="U47" s="2"/>
      <c r="V47" s="2"/>
      <c r="W47" s="2">
        <f t="shared" si="12"/>
        <v>19864.211397623643</v>
      </c>
      <c r="X47" s="2"/>
      <c r="Y47" s="2">
        <f t="shared" si="43"/>
        <v>43423.776955742549</v>
      </c>
      <c r="Z47" s="2">
        <f t="shared" si="44"/>
        <v>175669.30148148688</v>
      </c>
      <c r="AA47" s="2">
        <f t="shared" si="30"/>
        <v>15636.040021736233</v>
      </c>
      <c r="AB47" s="6">
        <f t="shared" si="31"/>
        <v>9.7704938830286817E-2</v>
      </c>
      <c r="AC47" s="7">
        <f t="shared" si="32"/>
        <v>1.0977049388302869</v>
      </c>
      <c r="AD47" s="2">
        <f t="shared" si="45"/>
        <v>0</v>
      </c>
      <c r="AE47" s="2"/>
      <c r="AG47">
        <f t="shared" si="13"/>
        <v>1996</v>
      </c>
      <c r="AH47" s="6">
        <f t="shared" si="6"/>
        <v>0.25079978634222927</v>
      </c>
      <c r="AI47" s="6">
        <f t="shared" si="6"/>
        <v>0.38893243881245509</v>
      </c>
      <c r="AJ47" s="7"/>
      <c r="AK47" s="7"/>
      <c r="AL47" s="6">
        <f t="shared" si="7"/>
        <v>0.11307730622311979</v>
      </c>
      <c r="AM47" s="7"/>
      <c r="AN47" s="6">
        <f t="shared" si="14"/>
        <v>0.24719046862219587</v>
      </c>
      <c r="AO47" s="6">
        <f t="shared" si="33"/>
        <v>1.0000000000000002</v>
      </c>
      <c r="AP47" s="7">
        <f t="shared" si="34"/>
        <v>0.75280953137780426</v>
      </c>
      <c r="AQ47" s="7">
        <f t="shared" si="35"/>
        <v>0</v>
      </c>
      <c r="AR47" s="7"/>
      <c r="AS47">
        <f t="shared" si="36"/>
        <v>1996</v>
      </c>
      <c r="AT47" s="2">
        <f t="shared" si="15"/>
        <v>44057.823278445569</v>
      </c>
      <c r="AU47" s="2">
        <f t="shared" si="15"/>
        <v>68323.489849675127</v>
      </c>
      <c r="AV47" s="2"/>
      <c r="AW47" s="2"/>
      <c r="AX47" s="2">
        <f t="shared" si="16"/>
        <v>19864.211397623643</v>
      </c>
      <c r="AY47" s="2"/>
      <c r="AZ47" s="2">
        <f t="shared" si="17"/>
        <v>43423.776955742549</v>
      </c>
      <c r="BA47" s="2">
        <f t="shared" si="17"/>
        <v>175669.30148148688</v>
      </c>
      <c r="BB47" s="2">
        <f t="shared" si="18"/>
        <v>0</v>
      </c>
      <c r="BC47" s="2"/>
      <c r="BM47" s="24"/>
      <c r="BN47">
        <f t="shared" si="5"/>
        <v>1996</v>
      </c>
      <c r="BO47" s="1" t="b">
        <f t="shared" si="37"/>
        <v>0</v>
      </c>
      <c r="BP47" s="1" t="b">
        <f t="shared" si="38"/>
        <v>0</v>
      </c>
      <c r="BS47" s="1" t="b">
        <f t="shared" si="19"/>
        <v>0</v>
      </c>
      <c r="BU47" s="1" t="b">
        <f t="shared" si="39"/>
        <v>0</v>
      </c>
      <c r="BV47" s="1" t="b">
        <f t="shared" si="40"/>
        <v>1</v>
      </c>
      <c r="CH47" s="2"/>
    </row>
    <row r="48" spans="1:86" x14ac:dyDescent="0.2">
      <c r="A48">
        <f t="shared" si="8"/>
        <v>1997</v>
      </c>
      <c r="B48" s="2">
        <f t="shared" si="20"/>
        <v>58680.614824561657</v>
      </c>
      <c r="C48" s="2">
        <f t="shared" si="21"/>
        <v>86556.979585857916</v>
      </c>
      <c r="D48" s="2"/>
      <c r="E48" s="2"/>
      <c r="F48" s="2"/>
      <c r="G48" s="2">
        <f>AX47*(1+(G12/100))</f>
        <v>19710.263759292058</v>
      </c>
      <c r="H48" s="2">
        <f t="shared" si="23"/>
        <v>47522.981500364651</v>
      </c>
      <c r="I48" s="2">
        <f t="shared" si="41"/>
        <v>212470.83967007627</v>
      </c>
      <c r="J48" s="2">
        <f t="shared" si="24"/>
        <v>29835.954798224382</v>
      </c>
      <c r="K48" s="6">
        <f t="shared" si="25"/>
        <v>0.16336394232218648</v>
      </c>
      <c r="L48" s="7">
        <f t="shared" si="26"/>
        <v>1.1633639423221864</v>
      </c>
      <c r="N48">
        <f t="shared" si="27"/>
        <v>1997</v>
      </c>
      <c r="O48" s="2">
        <f t="shared" si="28"/>
        <v>7083.9983080012134</v>
      </c>
      <c r="P48" s="2"/>
      <c r="Q48" s="2"/>
      <c r="R48">
        <f t="shared" si="29"/>
        <v>1997</v>
      </c>
      <c r="S48" s="2">
        <f t="shared" si="42"/>
        <v>56909.615247561356</v>
      </c>
      <c r="T48" s="2">
        <f t="shared" si="42"/>
        <v>84785.980008857616</v>
      </c>
      <c r="U48" s="2"/>
      <c r="V48" s="2"/>
      <c r="W48" s="2"/>
      <c r="X48" s="2">
        <f>G48-($O48/4)</f>
        <v>17939.264182291754</v>
      </c>
      <c r="Y48" s="2">
        <f t="shared" si="43"/>
        <v>45751.98192336435</v>
      </c>
      <c r="Z48" s="2">
        <f t="shared" si="44"/>
        <v>205386.84136207507</v>
      </c>
      <c r="AA48" s="2">
        <f t="shared" si="30"/>
        <v>29717.539880588185</v>
      </c>
      <c r="AB48" s="6">
        <f t="shared" si="31"/>
        <v>0.16916751891177756</v>
      </c>
      <c r="AC48" s="7">
        <f t="shared" si="32"/>
        <v>1.1691675189117776</v>
      </c>
      <c r="AD48" s="2">
        <f t="shared" si="45"/>
        <v>0</v>
      </c>
      <c r="AE48" s="2"/>
      <c r="AG48">
        <f t="shared" si="13"/>
        <v>1997</v>
      </c>
      <c r="AH48" s="6">
        <f t="shared" si="6"/>
        <v>0.27708501124098689</v>
      </c>
      <c r="AI48" s="6">
        <f t="shared" si="6"/>
        <v>0.41281115891640296</v>
      </c>
      <c r="AJ48" s="7"/>
      <c r="AK48" s="7"/>
      <c r="AL48" s="6"/>
      <c r="AM48" s="6">
        <f t="shared" si="7"/>
        <v>8.7343785333680396E-2</v>
      </c>
      <c r="AN48" s="6">
        <f t="shared" si="14"/>
        <v>0.22276004450892983</v>
      </c>
      <c r="AO48" s="6">
        <f t="shared" si="33"/>
        <v>1</v>
      </c>
      <c r="AP48" s="7">
        <f t="shared" si="34"/>
        <v>0.77723995549107017</v>
      </c>
      <c r="AQ48" s="7">
        <f t="shared" si="35"/>
        <v>0</v>
      </c>
      <c r="AR48" s="7"/>
      <c r="AS48">
        <f t="shared" si="36"/>
        <v>1997</v>
      </c>
      <c r="AT48" s="2">
        <f t="shared" si="15"/>
        <v>56909.615247561356</v>
      </c>
      <c r="AU48" s="2">
        <f t="shared" si="15"/>
        <v>84785.980008857616</v>
      </c>
      <c r="AV48" s="2"/>
      <c r="AW48" s="2"/>
      <c r="AX48" s="2"/>
      <c r="AY48" s="2">
        <f>X48</f>
        <v>17939.264182291754</v>
      </c>
      <c r="AZ48" s="2">
        <f t="shared" si="17"/>
        <v>45751.98192336435</v>
      </c>
      <c r="BA48" s="2">
        <f t="shared" si="17"/>
        <v>205386.84136207507</v>
      </c>
      <c r="BB48" s="2">
        <f t="shared" si="18"/>
        <v>0</v>
      </c>
      <c r="BC48" s="2"/>
      <c r="BM48" s="24"/>
      <c r="BN48">
        <f t="shared" si="5"/>
        <v>1997</v>
      </c>
      <c r="BO48" s="1" t="b">
        <f t="shared" si="37"/>
        <v>0</v>
      </c>
      <c r="BP48" s="1" t="b">
        <f t="shared" si="38"/>
        <v>0</v>
      </c>
      <c r="BS48" s="1" t="b">
        <f t="shared" si="19"/>
        <v>0</v>
      </c>
      <c r="BU48" s="28" t="b">
        <f t="shared" si="39"/>
        <v>0</v>
      </c>
      <c r="BV48" s="1" t="b">
        <f t="shared" si="40"/>
        <v>1</v>
      </c>
      <c r="CH48" s="2"/>
    </row>
    <row r="49" spans="1:86" x14ac:dyDescent="0.2">
      <c r="A49">
        <f t="shared" si="8"/>
        <v>1998</v>
      </c>
      <c r="B49" s="2">
        <f t="shared" si="20"/>
        <v>73219.910977512438</v>
      </c>
      <c r="C49" s="2">
        <f t="shared" si="21"/>
        <v>91868.152918997497</v>
      </c>
      <c r="D49" s="2"/>
      <c r="E49" s="2"/>
      <c r="F49" s="2"/>
      <c r="G49" s="2">
        <f t="shared" ref="G49:G64" si="46">AY48*(1+(G13/100))</f>
        <v>20738.327572654733</v>
      </c>
      <c r="H49" s="2">
        <f t="shared" si="23"/>
        <v>49677.501972389015</v>
      </c>
      <c r="I49" s="2">
        <f t="shared" si="41"/>
        <v>235503.89344155369</v>
      </c>
      <c r="J49" s="2">
        <f t="shared" si="24"/>
        <v>23033.053771477425</v>
      </c>
      <c r="K49" s="6">
        <f t="shared" si="25"/>
        <v>0.10840571726098058</v>
      </c>
      <c r="L49" s="7">
        <f t="shared" si="26"/>
        <v>1.1084057172609807</v>
      </c>
      <c r="N49">
        <f t="shared" si="27"/>
        <v>1998</v>
      </c>
      <c r="O49" s="2">
        <f t="shared" si="28"/>
        <v>7197.3422809292333</v>
      </c>
      <c r="P49" s="2"/>
      <c r="Q49" s="2"/>
      <c r="R49">
        <f t="shared" si="29"/>
        <v>1998</v>
      </c>
      <c r="S49" s="2">
        <f t="shared" si="42"/>
        <v>71420.575407280136</v>
      </c>
      <c r="T49" s="2">
        <f t="shared" si="42"/>
        <v>90068.817348765195</v>
      </c>
      <c r="U49" s="2"/>
      <c r="V49" s="2"/>
      <c r="W49" s="2"/>
      <c r="X49" s="2">
        <f>G49-($O49/4)</f>
        <v>18938.992002422423</v>
      </c>
      <c r="Y49" s="2">
        <f t="shared" si="43"/>
        <v>47878.166402156705</v>
      </c>
      <c r="Z49" s="2">
        <f t="shared" si="44"/>
        <v>228306.55116062445</v>
      </c>
      <c r="AA49" s="2">
        <f t="shared" si="30"/>
        <v>22919.709798549389</v>
      </c>
      <c r="AB49" s="6">
        <f t="shared" si="31"/>
        <v>0.11159288319812265</v>
      </c>
      <c r="AC49" s="7">
        <f t="shared" si="32"/>
        <v>1.1115928831981225</v>
      </c>
      <c r="AD49" s="2">
        <f t="shared" si="45"/>
        <v>0</v>
      </c>
      <c r="AE49" s="2"/>
      <c r="AG49">
        <f t="shared" si="13"/>
        <v>1998</v>
      </c>
      <c r="AH49" s="6">
        <f t="shared" si="6"/>
        <v>0.31282753405105918</v>
      </c>
      <c r="AI49" s="6">
        <f t="shared" si="6"/>
        <v>0.39450824731436429</v>
      </c>
      <c r="AJ49" s="7"/>
      <c r="AK49" s="7"/>
      <c r="AL49" s="6"/>
      <c r="AM49" s="6">
        <f t="shared" si="7"/>
        <v>8.2954220569421797E-2</v>
      </c>
      <c r="AN49" s="6">
        <f t="shared" si="14"/>
        <v>0.20970999806515472</v>
      </c>
      <c r="AO49" s="6">
        <f t="shared" si="33"/>
        <v>1</v>
      </c>
      <c r="AP49" s="7">
        <f t="shared" si="34"/>
        <v>0.79029000193484533</v>
      </c>
      <c r="AQ49" s="7">
        <f t="shared" si="35"/>
        <v>0</v>
      </c>
      <c r="AR49" s="7"/>
      <c r="AS49">
        <f t="shared" si="36"/>
        <v>1998</v>
      </c>
      <c r="AT49" s="2">
        <f t="shared" si="15"/>
        <v>71420.575407280136</v>
      </c>
      <c r="AU49" s="2">
        <f t="shared" si="15"/>
        <v>90068.817348765195</v>
      </c>
      <c r="AV49" s="2"/>
      <c r="AW49" s="2"/>
      <c r="AX49" s="2"/>
      <c r="AY49" s="2">
        <f>X49</f>
        <v>18938.992002422423</v>
      </c>
      <c r="AZ49" s="2">
        <f t="shared" si="17"/>
        <v>47878.166402156705</v>
      </c>
      <c r="BA49" s="2">
        <f t="shared" si="17"/>
        <v>228306.55116062445</v>
      </c>
      <c r="BB49" s="2">
        <f t="shared" si="18"/>
        <v>0</v>
      </c>
      <c r="BC49" s="2"/>
      <c r="BM49" s="24"/>
      <c r="BN49">
        <f t="shared" si="5"/>
        <v>1998</v>
      </c>
      <c r="BO49" s="1" t="b">
        <f t="shared" si="37"/>
        <v>0</v>
      </c>
      <c r="BP49" s="1" t="b">
        <f t="shared" si="38"/>
        <v>0</v>
      </c>
      <c r="BS49" s="1"/>
      <c r="BT49" s="1" t="b">
        <f t="shared" ref="BT49:BT64" si="47">AND((X49/$Z49)&gt;0.15,(X49/$Z49)&lt;0.25)</f>
        <v>0</v>
      </c>
      <c r="BU49" s="1" t="b">
        <f t="shared" si="39"/>
        <v>0</v>
      </c>
      <c r="BV49" s="1" t="b">
        <f t="shared" si="40"/>
        <v>1</v>
      </c>
      <c r="CH49" s="2"/>
    </row>
    <row r="50" spans="1:86" x14ac:dyDescent="0.2">
      <c r="A50">
        <f t="shared" si="8"/>
        <v>1999</v>
      </c>
      <c r="B50" s="2">
        <f t="shared" si="20"/>
        <v>86468.890645594074</v>
      </c>
      <c r="C50" s="2"/>
      <c r="D50" s="2">
        <f>($AU49*0.67)*(1+(D14/100))</f>
        <v>69590.527850543105</v>
      </c>
      <c r="E50" s="2">
        <f>($AU49*0.33)*(1+(E14/100))</f>
        <v>36598.46416579817</v>
      </c>
      <c r="F50" s="2"/>
      <c r="G50" s="2">
        <f t="shared" si="46"/>
        <v>24605.349019627189</v>
      </c>
      <c r="H50" s="2">
        <f t="shared" si="23"/>
        <v>47514.292337500308</v>
      </c>
      <c r="I50" s="2">
        <f t="shared" si="41"/>
        <v>264777.52401906287</v>
      </c>
      <c r="J50" s="2">
        <f t="shared" si="24"/>
        <v>29273.630577509175</v>
      </c>
      <c r="K50" s="6">
        <f t="shared" si="25"/>
        <v>0.12430210876651249</v>
      </c>
      <c r="L50" s="7">
        <f t="shared" si="26"/>
        <v>1.1243021087665124</v>
      </c>
      <c r="N50">
        <f t="shared" si="27"/>
        <v>1999</v>
      </c>
      <c r="O50" s="2">
        <f t="shared" si="28"/>
        <v>7391.6705225143223</v>
      </c>
      <c r="P50" s="2"/>
      <c r="Q50" s="2"/>
      <c r="R50">
        <f t="shared" si="29"/>
        <v>1999</v>
      </c>
      <c r="S50" s="2">
        <f>B50-($O50/5)</f>
        <v>84990.55654109121</v>
      </c>
      <c r="T50" s="2"/>
      <c r="U50" s="2">
        <f>D50-($O50/5)</f>
        <v>68112.193746040241</v>
      </c>
      <c r="V50" s="2">
        <f>E50-($O50/5)</f>
        <v>35120.130061295305</v>
      </c>
      <c r="W50" s="2"/>
      <c r="X50" s="2">
        <f>G50-($O50/5)</f>
        <v>23127.014915124324</v>
      </c>
      <c r="Y50" s="2">
        <f>H50-($O50/5)</f>
        <v>46035.958232997444</v>
      </c>
      <c r="Z50" s="2">
        <f t="shared" si="44"/>
        <v>257385.85349654855</v>
      </c>
      <c r="AA50" s="2">
        <f t="shared" si="30"/>
        <v>29079.302335924091</v>
      </c>
      <c r="AB50" s="6">
        <f t="shared" si="31"/>
        <v>0.12736954847811366</v>
      </c>
      <c r="AC50" s="7">
        <f t="shared" si="32"/>
        <v>1.1273695484781137</v>
      </c>
      <c r="AD50" s="2">
        <f t="shared" si="45"/>
        <v>0</v>
      </c>
      <c r="AE50" s="2"/>
      <c r="AG50">
        <f t="shared" si="13"/>
        <v>1999</v>
      </c>
      <c r="AH50" s="6">
        <f t="shared" si="6"/>
        <v>0.3302067902586997</v>
      </c>
      <c r="AI50" s="6"/>
      <c r="AJ50" s="6">
        <f t="shared" ref="AJ50" si="48">U50/$Z50</f>
        <v>0.26463068121556105</v>
      </c>
      <c r="AK50" s="6">
        <f t="shared" ref="AK50" si="49">V50/$Z50</f>
        <v>0.13644934087943669</v>
      </c>
      <c r="AL50" s="7"/>
      <c r="AM50" s="6">
        <f t="shared" si="7"/>
        <v>8.9853481071112754E-2</v>
      </c>
      <c r="AN50" s="6">
        <f t="shared" si="14"/>
        <v>0.17885970657518974</v>
      </c>
      <c r="AO50" s="6">
        <f t="shared" si="33"/>
        <v>1</v>
      </c>
      <c r="AP50" s="7">
        <f t="shared" si="34"/>
        <v>0.82114029342481032</v>
      </c>
      <c r="AQ50" s="7">
        <f t="shared" si="35"/>
        <v>0</v>
      </c>
      <c r="AR50" s="7"/>
      <c r="AS50">
        <f t="shared" si="36"/>
        <v>1999</v>
      </c>
      <c r="AT50" s="2">
        <f t="shared" si="15"/>
        <v>84990.55654109121</v>
      </c>
      <c r="AU50" s="2"/>
      <c r="AV50" s="2">
        <f t="shared" ref="AV50" si="50">U50</f>
        <v>68112.193746040241</v>
      </c>
      <c r="AW50" s="2">
        <f t="shared" ref="AW50" si="51">V50</f>
        <v>35120.130061295305</v>
      </c>
      <c r="AX50" s="2"/>
      <c r="AY50" s="2">
        <f>X50</f>
        <v>23127.014915124324</v>
      </c>
      <c r="AZ50" s="2">
        <f t="shared" si="17"/>
        <v>46035.958232997444</v>
      </c>
      <c r="BA50" s="2">
        <f t="shared" si="17"/>
        <v>257385.85349654855</v>
      </c>
      <c r="BB50" s="2">
        <f t="shared" si="18"/>
        <v>0</v>
      </c>
      <c r="BC50" s="2"/>
      <c r="BM50" s="24"/>
      <c r="BN50">
        <f t="shared" si="5"/>
        <v>1999</v>
      </c>
      <c r="BO50" s="28" t="b">
        <f t="shared" si="37"/>
        <v>0</v>
      </c>
      <c r="BP50" s="1" t="b">
        <f t="shared" si="38"/>
        <v>0</v>
      </c>
      <c r="BT50" s="1" t="b">
        <f t="shared" si="47"/>
        <v>0</v>
      </c>
      <c r="BU50" s="1" t="b">
        <f t="shared" si="39"/>
        <v>0</v>
      </c>
      <c r="BV50" s="1" t="b">
        <f t="shared" si="40"/>
        <v>1</v>
      </c>
      <c r="CH50" s="2"/>
    </row>
    <row r="51" spans="1:86" x14ac:dyDescent="0.2">
      <c r="A51">
        <f t="shared" si="8"/>
        <v>2000</v>
      </c>
      <c r="B51" s="2">
        <f t="shared" ref="B51:B64" si="52">AT50*(1+(B15/100))</f>
        <v>77290.412118468346</v>
      </c>
      <c r="C51" s="2"/>
      <c r="D51" s="2">
        <f t="shared" ref="D51" si="53">AV50*(1+(D15/100))</f>
        <v>80439.1385701986</v>
      </c>
      <c r="E51" s="2">
        <f t="shared" ref="E51" si="54">AW50*(1+(E15/100))</f>
        <v>34184.178595161786</v>
      </c>
      <c r="F51" s="2"/>
      <c r="G51" s="2">
        <f t="shared" si="46"/>
        <v>19515.962806276813</v>
      </c>
      <c r="H51" s="2">
        <f t="shared" si="23"/>
        <v>51279.45387573586</v>
      </c>
      <c r="I51" s="2">
        <f t="shared" si="41"/>
        <v>262709.14596584137</v>
      </c>
      <c r="J51" s="2">
        <f t="shared" si="24"/>
        <v>-2068.3780532215023</v>
      </c>
      <c r="K51" s="6">
        <f t="shared" si="25"/>
        <v>-7.8117584220350512E-3</v>
      </c>
      <c r="L51" s="7">
        <f t="shared" si="26"/>
        <v>0.99218824157796492</v>
      </c>
      <c r="N51">
        <f t="shared" si="27"/>
        <v>2000</v>
      </c>
      <c r="O51" s="2">
        <f t="shared" si="28"/>
        <v>7642.9873202798099</v>
      </c>
      <c r="P51" s="2"/>
      <c r="Q51" s="2"/>
      <c r="R51">
        <f t="shared" si="29"/>
        <v>2000</v>
      </c>
      <c r="S51" s="2">
        <f>B51-($O51/5)</f>
        <v>75761.814654412388</v>
      </c>
      <c r="T51" s="2"/>
      <c r="U51" s="2">
        <f>D51-($O51/5)</f>
        <v>78910.541106142642</v>
      </c>
      <c r="V51" s="2">
        <f>E51-($O51/5)</f>
        <v>32655.581131105824</v>
      </c>
      <c r="W51" s="2"/>
      <c r="X51" s="2">
        <f>G51-($O51/5)</f>
        <v>17987.365342220852</v>
      </c>
      <c r="Y51" s="2">
        <f>H51-($O51/5)</f>
        <v>49750.856411679895</v>
      </c>
      <c r="Z51" s="2">
        <f t="shared" si="44"/>
        <v>255066.15864556161</v>
      </c>
      <c r="AA51" s="2">
        <f t="shared" si="30"/>
        <v>-2319.6948509869399</v>
      </c>
      <c r="AB51" s="6">
        <f t="shared" si="31"/>
        <v>-9.0125188291206772E-3</v>
      </c>
      <c r="AC51" s="7">
        <f t="shared" si="32"/>
        <v>0.99098748117087931</v>
      </c>
      <c r="AD51" s="2">
        <f t="shared" si="45"/>
        <v>0</v>
      </c>
      <c r="AE51" s="2"/>
      <c r="AG51">
        <f t="shared" si="13"/>
        <v>2000</v>
      </c>
      <c r="AH51" s="6">
        <f t="shared" si="6"/>
        <v>0.29702809285527582</v>
      </c>
      <c r="AI51" s="7"/>
      <c r="AJ51" s="6">
        <f t="shared" ref="AJ51:AK64" si="55">U51/$Z51</f>
        <v>0.30937283693442158</v>
      </c>
      <c r="AK51" s="6">
        <f t="shared" si="55"/>
        <v>0.1280278861943572</v>
      </c>
      <c r="AL51" s="7"/>
      <c r="AM51" s="6">
        <f t="shared" si="7"/>
        <v>7.0520391406435012E-2</v>
      </c>
      <c r="AN51" s="6">
        <f t="shared" si="14"/>
        <v>0.19505079260951033</v>
      </c>
      <c r="AO51" s="6">
        <f t="shared" si="33"/>
        <v>0.99999999999999989</v>
      </c>
      <c r="AP51" s="7">
        <f t="shared" si="34"/>
        <v>0.80494920739048959</v>
      </c>
      <c r="AQ51" s="7">
        <f t="shared" si="35"/>
        <v>0</v>
      </c>
      <c r="AR51" s="7"/>
      <c r="AS51">
        <f t="shared" si="36"/>
        <v>2000</v>
      </c>
      <c r="AT51" s="2">
        <f>S51</f>
        <v>75761.814654412388</v>
      </c>
      <c r="AU51" s="2"/>
      <c r="AV51" s="2">
        <f t="shared" ref="AV51:AW52" si="56">U51</f>
        <v>78910.541106142642</v>
      </c>
      <c r="AW51" s="2">
        <f t="shared" si="56"/>
        <v>32655.581131105824</v>
      </c>
      <c r="AX51" s="2"/>
      <c r="AY51" s="2">
        <f>X51</f>
        <v>17987.365342220852</v>
      </c>
      <c r="AZ51" s="2">
        <f t="shared" si="17"/>
        <v>49750.856411679895</v>
      </c>
      <c r="BA51" s="2">
        <f t="shared" si="17"/>
        <v>255066.15864556161</v>
      </c>
      <c r="BB51" s="2">
        <f t="shared" si="18"/>
        <v>0</v>
      </c>
      <c r="BC51" s="2"/>
      <c r="BM51" s="24"/>
      <c r="BN51">
        <f t="shared" si="5"/>
        <v>2000</v>
      </c>
      <c r="BO51" s="1" t="b">
        <f t="shared" si="37"/>
        <v>0</v>
      </c>
      <c r="BQ51" s="1" t="b">
        <f>AND((U51/$Z51)&gt;0.15,(U51/$Z51)&lt;0.25)</f>
        <v>0</v>
      </c>
      <c r="BR51" s="1" t="b">
        <f>AND((V51/$Z51)&gt;0.05,(V51/$Z51)&lt;0.15)</f>
        <v>1</v>
      </c>
      <c r="BT51" s="1" t="b">
        <f t="shared" si="47"/>
        <v>0</v>
      </c>
      <c r="BU51" s="1" t="b">
        <f t="shared" si="39"/>
        <v>0</v>
      </c>
      <c r="BV51" s="1" t="b">
        <f t="shared" si="40"/>
        <v>1</v>
      </c>
      <c r="CH51" s="2"/>
    </row>
    <row r="52" spans="1:86" x14ac:dyDescent="0.2">
      <c r="A52">
        <f t="shared" si="8"/>
        <v>2001</v>
      </c>
      <c r="B52" s="2">
        <f t="shared" si="52"/>
        <v>66655.244532952027</v>
      </c>
      <c r="C52" s="2"/>
      <c r="D52" s="2">
        <f t="shared" ref="D52:D64" si="57">AV51*(1+(D16/100))</f>
        <v>78516.777506022991</v>
      </c>
      <c r="E52" s="2">
        <f t="shared" ref="E52:E64" si="58">AW51*(1+(E16/100))</f>
        <v>33667.904146170105</v>
      </c>
      <c r="F52" s="2"/>
      <c r="G52" s="2">
        <f t="shared" si="46"/>
        <v>14362.371604803084</v>
      </c>
      <c r="H52" s="2">
        <f t="shared" si="23"/>
        <v>53944.853607184516</v>
      </c>
      <c r="I52" s="2">
        <f t="shared" si="41"/>
        <v>247147.15139713272</v>
      </c>
      <c r="J52" s="2">
        <f t="shared" si="24"/>
        <v>-15561.994568708644</v>
      </c>
      <c r="K52" s="6">
        <f t="shared" si="25"/>
        <v>-5.9236592283437611E-2</v>
      </c>
      <c r="L52" s="7">
        <f t="shared" si="26"/>
        <v>0.94076340771656242</v>
      </c>
      <c r="N52">
        <f t="shared" si="27"/>
        <v>2001</v>
      </c>
      <c r="O52" s="2">
        <f t="shared" si="28"/>
        <v>7765.2751174042869</v>
      </c>
      <c r="P52" s="2"/>
      <c r="Q52" s="2"/>
      <c r="R52">
        <f t="shared" si="29"/>
        <v>2001</v>
      </c>
      <c r="S52" s="2">
        <f t="shared" ref="S52:S64" si="59">B52-($O52/5)</f>
        <v>65102.189509471173</v>
      </c>
      <c r="T52" s="2"/>
      <c r="U52" s="2">
        <f t="shared" ref="U52:V64" si="60">D52-($O52/5)</f>
        <v>76963.722482542129</v>
      </c>
      <c r="V52" s="2">
        <f t="shared" si="60"/>
        <v>32114.849122689247</v>
      </c>
      <c r="W52" s="2"/>
      <c r="X52" s="2">
        <f t="shared" ref="X52:Y64" si="61">G52-($O52/5)</f>
        <v>12809.316581322226</v>
      </c>
      <c r="Y52" s="2">
        <f t="shared" si="61"/>
        <v>52391.798583703661</v>
      </c>
      <c r="Z52" s="2">
        <f t="shared" si="44"/>
        <v>239381.87627972846</v>
      </c>
      <c r="AA52" s="2">
        <f t="shared" si="30"/>
        <v>-15684.282365833147</v>
      </c>
      <c r="AB52" s="6">
        <f t="shared" si="31"/>
        <v>-6.1491036086946879E-2</v>
      </c>
      <c r="AC52" s="7">
        <f t="shared" si="32"/>
        <v>0.93850896391305316</v>
      </c>
      <c r="AD52" s="2">
        <f t="shared" si="45"/>
        <v>0</v>
      </c>
      <c r="AE52" s="2"/>
      <c r="AG52">
        <f t="shared" si="13"/>
        <v>2001</v>
      </c>
      <c r="AH52" s="6">
        <f t="shared" si="6"/>
        <v>0.27195955901605662</v>
      </c>
      <c r="AI52" s="7"/>
      <c r="AJ52" s="6">
        <f t="shared" si="55"/>
        <v>0.32151023159583964</v>
      </c>
      <c r="AK52" s="6">
        <f t="shared" si="55"/>
        <v>0.13415739579700514</v>
      </c>
      <c r="AL52" s="7"/>
      <c r="AM52" s="6">
        <f t="shared" si="7"/>
        <v>5.3509968174674863E-2</v>
      </c>
      <c r="AN52" s="6">
        <f t="shared" si="14"/>
        <v>0.21886284541642365</v>
      </c>
      <c r="AO52" s="6">
        <f t="shared" si="33"/>
        <v>0.99999999999999989</v>
      </c>
      <c r="AP52" s="7">
        <f t="shared" si="34"/>
        <v>0.78113715458357624</v>
      </c>
      <c r="AQ52" s="7">
        <f t="shared" si="35"/>
        <v>0</v>
      </c>
      <c r="AR52" s="7"/>
      <c r="AS52">
        <f t="shared" si="36"/>
        <v>2001</v>
      </c>
      <c r="AT52" s="2">
        <f>S52</f>
        <v>65102.189509471173</v>
      </c>
      <c r="AU52" s="2"/>
      <c r="AV52" s="2">
        <f t="shared" si="56"/>
        <v>76963.722482542129</v>
      </c>
      <c r="AW52" s="2">
        <f t="shared" si="56"/>
        <v>32114.849122689247</v>
      </c>
      <c r="AX52" s="2"/>
      <c r="AY52" s="2">
        <f>X52</f>
        <v>12809.316581322226</v>
      </c>
      <c r="AZ52" s="2">
        <f t="shared" si="17"/>
        <v>52391.798583703661</v>
      </c>
      <c r="BA52" s="2">
        <f t="shared" si="17"/>
        <v>239381.87627972846</v>
      </c>
      <c r="BB52" s="2">
        <f t="shared" si="18"/>
        <v>0</v>
      </c>
      <c r="BC52" s="2"/>
      <c r="BM52" s="24"/>
      <c r="BN52">
        <f t="shared" si="5"/>
        <v>2001</v>
      </c>
      <c r="BO52" s="1" t="b">
        <f t="shared" si="37"/>
        <v>0</v>
      </c>
      <c r="BQ52" s="1" t="b">
        <f t="shared" ref="BQ52:BQ64" si="62">AND((U52/$Z52)&gt;0.15,(U52/$Z52)&lt;0.25)</f>
        <v>0</v>
      </c>
      <c r="BR52" s="1" t="b">
        <f t="shared" ref="BR52:BR64" si="63">AND((V52/$Z52)&gt;0.05,(V52/$Z52)&lt;0.15)</f>
        <v>1</v>
      </c>
      <c r="BT52" s="1" t="b">
        <f t="shared" si="47"/>
        <v>0</v>
      </c>
      <c r="BU52" s="1" t="b">
        <f t="shared" si="39"/>
        <v>0</v>
      </c>
      <c r="BV52" s="1" t="b">
        <f t="shared" si="40"/>
        <v>1</v>
      </c>
      <c r="CH52" s="2"/>
    </row>
    <row r="53" spans="1:86" x14ac:dyDescent="0.2">
      <c r="A53">
        <f t="shared" si="8"/>
        <v>2002</v>
      </c>
      <c r="B53" s="2">
        <f t="shared" si="52"/>
        <v>50682.054533123308</v>
      </c>
      <c r="C53" s="2"/>
      <c r="D53" s="2">
        <f t="shared" si="57"/>
        <v>65720.861902292381</v>
      </c>
      <c r="E53" s="2">
        <f t="shared" si="58"/>
        <v>25684.814031344409</v>
      </c>
      <c r="F53" s="2"/>
      <c r="G53" s="2">
        <f t="shared" si="46"/>
        <v>10877.287361361394</v>
      </c>
      <c r="H53" s="2">
        <f t="shared" si="23"/>
        <v>56719.361146717587</v>
      </c>
      <c r="I53" s="2">
        <f t="shared" si="41"/>
        <v>209684.37897483908</v>
      </c>
      <c r="J53" s="2">
        <f t="shared" si="24"/>
        <v>-37462.772422293638</v>
      </c>
      <c r="K53" s="6">
        <f t="shared" si="25"/>
        <v>-0.15158083842162487</v>
      </c>
      <c r="L53" s="7">
        <f t="shared" si="26"/>
        <v>0.84841916157837516</v>
      </c>
      <c r="N53">
        <f t="shared" si="27"/>
        <v>2002</v>
      </c>
      <c r="O53" s="2">
        <f t="shared" si="28"/>
        <v>7959.4069953393937</v>
      </c>
      <c r="P53" s="2"/>
      <c r="Q53" s="2"/>
      <c r="R53">
        <f t="shared" si="29"/>
        <v>2002</v>
      </c>
      <c r="S53" s="2">
        <f t="shared" si="59"/>
        <v>49090.173134055432</v>
      </c>
      <c r="T53" s="2"/>
      <c r="U53" s="2">
        <f t="shared" si="60"/>
        <v>64128.980503224506</v>
      </c>
      <c r="V53" s="2">
        <f t="shared" si="60"/>
        <v>24092.93263227653</v>
      </c>
      <c r="W53" s="2"/>
      <c r="X53" s="2">
        <f t="shared" si="61"/>
        <v>9285.4059622935147</v>
      </c>
      <c r="Y53" s="2">
        <f t="shared" si="61"/>
        <v>55127.479747649711</v>
      </c>
      <c r="Z53" s="2">
        <f t="shared" si="44"/>
        <v>201724.97197949968</v>
      </c>
      <c r="AA53" s="2">
        <f t="shared" si="30"/>
        <v>-37656.90430022878</v>
      </c>
      <c r="AB53" s="6">
        <f t="shared" si="31"/>
        <v>-0.15730891947820227</v>
      </c>
      <c r="AC53" s="7">
        <f t="shared" si="32"/>
        <v>0.84269108052179775</v>
      </c>
      <c r="AD53" s="2">
        <f t="shared" si="45"/>
        <v>0</v>
      </c>
      <c r="AE53" s="2"/>
      <c r="AG53">
        <f t="shared" si="13"/>
        <v>2002</v>
      </c>
      <c r="AH53" s="6">
        <f t="shared" si="6"/>
        <v>0.2433519888605771</v>
      </c>
      <c r="AI53" s="7"/>
      <c r="AJ53" s="6">
        <f t="shared" si="55"/>
        <v>0.31790303339212567</v>
      </c>
      <c r="AK53" s="6">
        <f t="shared" si="55"/>
        <v>0.11943455684170315</v>
      </c>
      <c r="AL53" s="7"/>
      <c r="AM53" s="6">
        <f t="shared" si="7"/>
        <v>4.6030027275141445E-2</v>
      </c>
      <c r="AN53" s="6">
        <f t="shared" si="14"/>
        <v>0.2732803936304527</v>
      </c>
      <c r="AO53" s="6">
        <f t="shared" si="33"/>
        <v>1</v>
      </c>
      <c r="AP53" s="7">
        <f t="shared" si="34"/>
        <v>0.72671960636954736</v>
      </c>
      <c r="AQ53" s="7">
        <f t="shared" si="35"/>
        <v>0</v>
      </c>
      <c r="AR53" s="7"/>
      <c r="AS53">
        <f t="shared" si="36"/>
        <v>2002</v>
      </c>
      <c r="AT53" s="40">
        <v>0</v>
      </c>
      <c r="AU53" s="40"/>
      <c r="AV53" s="40">
        <v>0</v>
      </c>
      <c r="AW53" s="40">
        <v>0</v>
      </c>
      <c r="AX53" s="40"/>
      <c r="AY53" s="40">
        <v>0</v>
      </c>
      <c r="AZ53" s="40">
        <f>Z53</f>
        <v>201724.97197949968</v>
      </c>
      <c r="BA53" s="2">
        <f t="shared" si="17"/>
        <v>201724.97197949968</v>
      </c>
      <c r="BB53" s="2">
        <f t="shared" si="18"/>
        <v>0</v>
      </c>
      <c r="BC53" s="2"/>
      <c r="BM53" s="24"/>
      <c r="BN53">
        <f t="shared" si="5"/>
        <v>2002</v>
      </c>
      <c r="BO53" s="1" t="b">
        <f t="shared" si="37"/>
        <v>1</v>
      </c>
      <c r="BQ53" s="1" t="b">
        <f t="shared" si="62"/>
        <v>0</v>
      </c>
      <c r="BR53" s="1" t="b">
        <f t="shared" si="63"/>
        <v>1</v>
      </c>
      <c r="BT53" s="1" t="b">
        <f t="shared" si="47"/>
        <v>0</v>
      </c>
      <c r="BU53" s="1" t="b">
        <f t="shared" si="39"/>
        <v>1</v>
      </c>
      <c r="BV53" s="1" t="b">
        <f t="shared" si="40"/>
        <v>1</v>
      </c>
      <c r="CH53" s="2"/>
    </row>
    <row r="54" spans="1:86" x14ac:dyDescent="0.2">
      <c r="A54">
        <f t="shared" si="8"/>
        <v>2003</v>
      </c>
      <c r="B54" s="2">
        <f t="shared" si="52"/>
        <v>0</v>
      </c>
      <c r="C54" s="2"/>
      <c r="D54" s="2">
        <f t="shared" si="57"/>
        <v>0</v>
      </c>
      <c r="E54" s="2">
        <f t="shared" si="58"/>
        <v>0</v>
      </c>
      <c r="F54" s="2"/>
      <c r="G54" s="2">
        <f t="shared" si="46"/>
        <v>0</v>
      </c>
      <c r="H54" s="2">
        <f t="shared" si="23"/>
        <v>209733.45336708584</v>
      </c>
      <c r="I54" s="2">
        <f t="shared" si="41"/>
        <v>209733.45336708584</v>
      </c>
      <c r="J54" s="2">
        <f t="shared" si="24"/>
        <v>49.074392246751813</v>
      </c>
      <c r="K54" s="6">
        <f t="shared" si="25"/>
        <v>2.3403933324303789E-4</v>
      </c>
      <c r="L54" s="7">
        <f t="shared" si="26"/>
        <v>1.000234039333243</v>
      </c>
      <c r="N54">
        <f t="shared" si="27"/>
        <v>2003</v>
      </c>
      <c r="O54" s="2">
        <f t="shared" si="28"/>
        <v>8118.5951352461816</v>
      </c>
      <c r="P54" s="2"/>
      <c r="Q54" s="2"/>
      <c r="R54">
        <f t="shared" si="29"/>
        <v>2003</v>
      </c>
      <c r="S54" s="40">
        <v>0</v>
      </c>
      <c r="T54" s="40"/>
      <c r="U54" s="40">
        <v>0</v>
      </c>
      <c r="V54" s="40">
        <v>0</v>
      </c>
      <c r="W54" s="40"/>
      <c r="X54" s="40">
        <v>0</v>
      </c>
      <c r="Y54" s="40">
        <f>H54-($O54)</f>
        <v>201614.85823183967</v>
      </c>
      <c r="Z54" s="2">
        <f t="shared" si="44"/>
        <v>201614.85823183967</v>
      </c>
      <c r="AA54" s="2">
        <f t="shared" si="30"/>
        <v>-110.11374766001245</v>
      </c>
      <c r="AB54" s="6">
        <f t="shared" si="31"/>
        <v>-5.4586076567259489E-4</v>
      </c>
      <c r="AC54" s="7">
        <f t="shared" si="32"/>
        <v>0.99945413923432735</v>
      </c>
      <c r="AD54" s="2">
        <f t="shared" si="45"/>
        <v>0</v>
      </c>
      <c r="AE54" s="2"/>
      <c r="AG54">
        <f t="shared" si="13"/>
        <v>2003</v>
      </c>
      <c r="AH54" s="6">
        <f t="shared" si="6"/>
        <v>0</v>
      </c>
      <c r="AI54" s="7"/>
      <c r="AJ54" s="6">
        <f t="shared" si="55"/>
        <v>0</v>
      </c>
      <c r="AK54" s="6">
        <f t="shared" si="55"/>
        <v>0</v>
      </c>
      <c r="AL54" s="7"/>
      <c r="AM54" s="6">
        <f t="shared" si="7"/>
        <v>0</v>
      </c>
      <c r="AN54" s="6">
        <f t="shared" si="14"/>
        <v>1</v>
      </c>
      <c r="AO54" s="6">
        <f t="shared" si="33"/>
        <v>1</v>
      </c>
      <c r="AP54" s="7">
        <f t="shared" si="34"/>
        <v>0</v>
      </c>
      <c r="AQ54" s="7">
        <f t="shared" si="35"/>
        <v>0</v>
      </c>
      <c r="AR54" s="7"/>
      <c r="AS54">
        <f t="shared" si="36"/>
        <v>2003</v>
      </c>
      <c r="AT54" s="40">
        <f>$Z54*AT$39</f>
        <v>40322.971646367936</v>
      </c>
      <c r="AU54" s="40"/>
      <c r="AV54" s="40">
        <f>$Z54*AV$39</f>
        <v>40322.971646367936</v>
      </c>
      <c r="AW54" s="40">
        <f>$Z54*AW$39</f>
        <v>20161.485823183968</v>
      </c>
      <c r="AX54" s="40"/>
      <c r="AY54" s="40">
        <f>$Z54*AY$39</f>
        <v>40322.971646367936</v>
      </c>
      <c r="AZ54" s="40">
        <f>$Z54*AZ$39</f>
        <v>60484.457469551897</v>
      </c>
      <c r="BA54" s="2">
        <f t="shared" si="17"/>
        <v>201614.85823183967</v>
      </c>
      <c r="BB54" s="2">
        <f t="shared" si="18"/>
        <v>0</v>
      </c>
      <c r="BC54" s="2"/>
      <c r="BM54" s="24"/>
      <c r="BN54">
        <f t="shared" si="5"/>
        <v>2003</v>
      </c>
      <c r="BO54" s="28" t="b">
        <f t="shared" si="37"/>
        <v>0</v>
      </c>
      <c r="BQ54" s="1" t="b">
        <f t="shared" si="62"/>
        <v>0</v>
      </c>
      <c r="BR54" s="1" t="b">
        <f t="shared" si="63"/>
        <v>0</v>
      </c>
      <c r="BT54" s="28" t="b">
        <f t="shared" si="47"/>
        <v>0</v>
      </c>
      <c r="BU54" s="28" t="b">
        <f t="shared" si="39"/>
        <v>0</v>
      </c>
      <c r="BV54" s="1" t="b">
        <f t="shared" si="40"/>
        <v>1</v>
      </c>
      <c r="CH54" s="2"/>
    </row>
    <row r="55" spans="1:86" x14ac:dyDescent="0.2">
      <c r="A55">
        <f t="shared" si="8"/>
        <v>2004</v>
      </c>
      <c r="B55" s="2">
        <f t="shared" si="52"/>
        <v>44653.658801187848</v>
      </c>
      <c r="C55" s="2"/>
      <c r="D55" s="2">
        <f t="shared" si="57"/>
        <v>48529.906065553201</v>
      </c>
      <c r="E55" s="2">
        <f t="shared" si="58"/>
        <v>24173.016657422882</v>
      </c>
      <c r="F55" s="2"/>
      <c r="G55" s="2">
        <f t="shared" si="46"/>
        <v>48725.069248321619</v>
      </c>
      <c r="H55" s="2">
        <f t="shared" si="23"/>
        <v>63048.998466260899</v>
      </c>
      <c r="I55" s="2">
        <f t="shared" si="41"/>
        <v>229130.64923874644</v>
      </c>
      <c r="J55" s="2">
        <f t="shared" si="24"/>
        <v>19397.195871660602</v>
      </c>
      <c r="K55" s="6">
        <f t="shared" si="25"/>
        <v>9.2484987779754307E-2</v>
      </c>
      <c r="L55" s="7">
        <f t="shared" si="26"/>
        <v>1.0924849877797542</v>
      </c>
      <c r="N55">
        <f t="shared" si="27"/>
        <v>2004</v>
      </c>
      <c r="O55" s="2">
        <f t="shared" si="28"/>
        <v>8386.5087747093057</v>
      </c>
      <c r="P55" s="2"/>
      <c r="Q55" s="2"/>
      <c r="R55">
        <f t="shared" si="29"/>
        <v>2004</v>
      </c>
      <c r="S55" s="2">
        <f t="shared" ref="S55" si="64">B55-($O55/5)</f>
        <v>42976.35704624599</v>
      </c>
      <c r="T55" s="2"/>
      <c r="U55" s="2">
        <f t="shared" ref="U55" si="65">D55-($O55/5)</f>
        <v>46852.604310611343</v>
      </c>
      <c r="V55" s="2">
        <f t="shared" ref="V55" si="66">E55-($O55/5)</f>
        <v>22495.714902481021</v>
      </c>
      <c r="W55" s="2"/>
      <c r="X55" s="2">
        <f t="shared" ref="X55" si="67">G55-($O55/5)</f>
        <v>47047.767493379761</v>
      </c>
      <c r="Y55" s="2">
        <f t="shared" ref="Y55" si="68">H55-($O55/5)</f>
        <v>61371.69671131904</v>
      </c>
      <c r="Z55" s="2">
        <f t="shared" si="44"/>
        <v>220744.14046403713</v>
      </c>
      <c r="AA55" s="2">
        <f t="shared" si="30"/>
        <v>19129.282232197467</v>
      </c>
      <c r="AB55" s="6">
        <f t="shared" si="31"/>
        <v>9.4880319833374804E-2</v>
      </c>
      <c r="AC55" s="7">
        <f t="shared" si="32"/>
        <v>1.0948803198333747</v>
      </c>
      <c r="AD55" s="2">
        <f t="shared" si="45"/>
        <v>0</v>
      </c>
      <c r="AE55" s="2"/>
      <c r="AG55">
        <f t="shared" si="13"/>
        <v>2004</v>
      </c>
      <c r="AH55" s="38">
        <f t="shared" ref="AH55:AH64" si="69">S55/$Z55</f>
        <v>0.19468855189498246</v>
      </c>
      <c r="AI55" s="61"/>
      <c r="AJ55" s="38">
        <f t="shared" si="55"/>
        <v>0.21224846200728217</v>
      </c>
      <c r="AK55" s="38">
        <f t="shared" si="55"/>
        <v>0.10190854830933074</v>
      </c>
      <c r="AL55" s="61"/>
      <c r="AM55" s="38">
        <f t="shared" ref="AM55:AM64" si="70">X55/$Z55</f>
        <v>0.21313257690318904</v>
      </c>
      <c r="AN55" s="38">
        <f t="shared" si="14"/>
        <v>0.27802186088521569</v>
      </c>
      <c r="AO55" s="6">
        <f t="shared" si="33"/>
        <v>1</v>
      </c>
      <c r="AP55" s="7">
        <f t="shared" si="34"/>
        <v>0.72197813911478437</v>
      </c>
      <c r="AQ55" s="7">
        <f t="shared" si="35"/>
        <v>0</v>
      </c>
      <c r="AR55" s="7"/>
      <c r="AS55">
        <f t="shared" si="36"/>
        <v>2004</v>
      </c>
      <c r="AT55" s="2">
        <f>S55</f>
        <v>42976.35704624599</v>
      </c>
      <c r="AU55" s="2"/>
      <c r="AV55" s="2">
        <f t="shared" ref="AV55" si="71">U55</f>
        <v>46852.604310611343</v>
      </c>
      <c r="AW55" s="2">
        <f t="shared" ref="AW55" si="72">V55</f>
        <v>22495.714902481021</v>
      </c>
      <c r="AX55" s="2"/>
      <c r="AY55" s="2">
        <f t="shared" ref="AY55" si="73">X55</f>
        <v>47047.767493379761</v>
      </c>
      <c r="AZ55" s="2">
        <f t="shared" ref="AZ55" si="74">Y55</f>
        <v>61371.69671131904</v>
      </c>
      <c r="BA55" s="2">
        <f t="shared" si="17"/>
        <v>220744.14046403713</v>
      </c>
      <c r="BB55" s="2">
        <f t="shared" si="18"/>
        <v>0</v>
      </c>
      <c r="BC55" s="2"/>
      <c r="BM55" s="24"/>
      <c r="BN55">
        <f t="shared" si="5"/>
        <v>2004</v>
      </c>
      <c r="BO55" s="1" t="b">
        <f t="shared" si="37"/>
        <v>1</v>
      </c>
      <c r="BQ55" s="1" t="b">
        <f t="shared" si="62"/>
        <v>1</v>
      </c>
      <c r="BR55" s="1" t="b">
        <f t="shared" si="63"/>
        <v>1</v>
      </c>
      <c r="BT55" s="1" t="b">
        <f t="shared" si="47"/>
        <v>1</v>
      </c>
      <c r="BU55" s="28" t="b">
        <f t="shared" si="39"/>
        <v>1</v>
      </c>
      <c r="BV55" s="1" t="b">
        <f t="shared" si="40"/>
        <v>1</v>
      </c>
      <c r="CH55" s="2"/>
    </row>
    <row r="56" spans="1:86" x14ac:dyDescent="0.2">
      <c r="A56">
        <f t="shared" si="8"/>
        <v>2005</v>
      </c>
      <c r="B56" s="2">
        <f t="shared" si="52"/>
        <v>45026.329277351928</v>
      </c>
      <c r="C56" s="2"/>
      <c r="D56" s="2">
        <f t="shared" si="57"/>
        <v>53379.640617122612</v>
      </c>
      <c r="E56" s="2">
        <f t="shared" si="58"/>
        <v>24152.074390750699</v>
      </c>
      <c r="F56" s="2"/>
      <c r="G56" s="2">
        <f t="shared" si="46"/>
        <v>54373.575369773927</v>
      </c>
      <c r="H56" s="2">
        <f t="shared" si="23"/>
        <v>62844.617432390696</v>
      </c>
      <c r="I56" s="2">
        <f t="shared" si="41"/>
        <v>239776.23708738986</v>
      </c>
      <c r="J56" s="2">
        <f>I56-I55</f>
        <v>10645.587848643423</v>
      </c>
      <c r="K56" s="6">
        <f>(J56/I55)</f>
        <v>4.6460776347519876E-2</v>
      </c>
      <c r="L56" s="7">
        <f t="shared" si="26"/>
        <v>1.0464607763475198</v>
      </c>
      <c r="N56">
        <f t="shared" si="27"/>
        <v>2005</v>
      </c>
      <c r="O56" s="2">
        <f t="shared" si="28"/>
        <v>8663.2635642747118</v>
      </c>
      <c r="P56" s="2"/>
      <c r="Q56" s="2"/>
      <c r="R56">
        <f t="shared" si="29"/>
        <v>2005</v>
      </c>
      <c r="S56" s="2">
        <f t="shared" si="59"/>
        <v>43293.676564496986</v>
      </c>
      <c r="T56" s="2"/>
      <c r="U56" s="2">
        <f t="shared" si="60"/>
        <v>51646.987904267669</v>
      </c>
      <c r="V56" s="2">
        <f t="shared" si="60"/>
        <v>22419.421677895756</v>
      </c>
      <c r="W56" s="2"/>
      <c r="X56" s="2">
        <f t="shared" si="61"/>
        <v>52640.922656918985</v>
      </c>
      <c r="Y56" s="2">
        <f t="shared" si="61"/>
        <v>61111.964719535754</v>
      </c>
      <c r="Z56" s="2">
        <f t="shared" si="44"/>
        <v>231112.97352311516</v>
      </c>
      <c r="AA56" s="2">
        <f>Z56-Z55</f>
        <v>10368.833059078024</v>
      </c>
      <c r="AB56" s="6">
        <f>(AA56/Z55)</f>
        <v>4.697217800337164E-2</v>
      </c>
      <c r="AC56" s="7">
        <f t="shared" si="32"/>
        <v>1.0469721780033716</v>
      </c>
      <c r="AD56" s="2">
        <f t="shared" si="45"/>
        <v>0</v>
      </c>
      <c r="AE56" s="2"/>
      <c r="AG56">
        <f t="shared" si="13"/>
        <v>2005</v>
      </c>
      <c r="AH56" s="6">
        <f t="shared" si="69"/>
        <v>0.18732689863542817</v>
      </c>
      <c r="AI56" s="7"/>
      <c r="AJ56" s="6">
        <f t="shared" si="55"/>
        <v>0.22347074297454836</v>
      </c>
      <c r="AK56" s="6">
        <f t="shared" si="55"/>
        <v>9.7006331302528281E-2</v>
      </c>
      <c r="AL56" s="7"/>
      <c r="AM56" s="6">
        <f t="shared" si="70"/>
        <v>0.227771387535949</v>
      </c>
      <c r="AN56" s="6">
        <f t="shared" si="14"/>
        <v>0.26442463955154616</v>
      </c>
      <c r="AO56" s="6">
        <f t="shared" si="33"/>
        <v>1</v>
      </c>
      <c r="AP56" s="7">
        <f t="shared" si="34"/>
        <v>0.73557536044845384</v>
      </c>
      <c r="AQ56" s="7">
        <f t="shared" si="35"/>
        <v>0</v>
      </c>
      <c r="AR56" s="7"/>
      <c r="AS56">
        <f t="shared" si="36"/>
        <v>2005</v>
      </c>
      <c r="AT56" s="2">
        <f>S56</f>
        <v>43293.676564496986</v>
      </c>
      <c r="AU56" s="2"/>
      <c r="AV56" s="2">
        <f t="shared" ref="AV56:AW58" si="75">U56</f>
        <v>51646.987904267669</v>
      </c>
      <c r="AW56" s="2">
        <f t="shared" si="75"/>
        <v>22419.421677895756</v>
      </c>
      <c r="AX56" s="2"/>
      <c r="AY56" s="2">
        <f t="shared" ref="AY56:BA64" si="76">X56</f>
        <v>52640.922656918985</v>
      </c>
      <c r="AZ56" s="2">
        <f t="shared" si="76"/>
        <v>61111.964719535754</v>
      </c>
      <c r="BA56" s="2">
        <f t="shared" si="76"/>
        <v>231112.97352311516</v>
      </c>
      <c r="BB56" s="2">
        <f t="shared" si="18"/>
        <v>0</v>
      </c>
      <c r="BC56" s="2"/>
      <c r="BM56" s="24"/>
      <c r="BN56">
        <f t="shared" si="5"/>
        <v>2005</v>
      </c>
      <c r="BO56" s="1" t="b">
        <f t="shared" si="37"/>
        <v>1</v>
      </c>
      <c r="BQ56" s="1" t="b">
        <f t="shared" si="62"/>
        <v>1</v>
      </c>
      <c r="BR56" s="1" t="b">
        <f t="shared" si="63"/>
        <v>1</v>
      </c>
      <c r="BT56" s="1" t="b">
        <f t="shared" si="47"/>
        <v>1</v>
      </c>
      <c r="BU56" s="1" t="b">
        <f t="shared" si="39"/>
        <v>1</v>
      </c>
      <c r="BV56" s="1" t="b">
        <f t="shared" si="40"/>
        <v>1</v>
      </c>
      <c r="CH56" s="2"/>
    </row>
    <row r="57" spans="1:86" x14ac:dyDescent="0.2">
      <c r="A57">
        <f t="shared" si="8"/>
        <v>2006</v>
      </c>
      <c r="B57" s="2">
        <f t="shared" si="52"/>
        <v>50064.807579184315</v>
      </c>
      <c r="C57" s="2"/>
      <c r="D57" s="2">
        <f t="shared" si="57"/>
        <v>58669.428849610944</v>
      </c>
      <c r="E57" s="2">
        <f t="shared" si="58"/>
        <v>25929.406335787116</v>
      </c>
      <c r="F57" s="2"/>
      <c r="G57" s="2">
        <f t="shared" si="46"/>
        <v>66662.885225042497</v>
      </c>
      <c r="H57" s="2">
        <f t="shared" si="23"/>
        <v>63721.445613059928</v>
      </c>
      <c r="I57" s="2">
        <f t="shared" si="41"/>
        <v>265047.9736026848</v>
      </c>
      <c r="J57" s="2">
        <f t="shared" si="24"/>
        <v>25271.736515294935</v>
      </c>
      <c r="K57" s="6">
        <f t="shared" si="25"/>
        <v>0.10539716871978556</v>
      </c>
      <c r="L57" s="7">
        <f t="shared" si="26"/>
        <v>1.1053971687197857</v>
      </c>
      <c r="N57">
        <f t="shared" si="27"/>
        <v>2006</v>
      </c>
      <c r="O57" s="2">
        <f t="shared" si="28"/>
        <v>8879.8451533815787</v>
      </c>
      <c r="P57" s="2"/>
      <c r="Q57" s="2"/>
      <c r="R57">
        <f t="shared" si="29"/>
        <v>2006</v>
      </c>
      <c r="S57" s="2">
        <f t="shared" si="59"/>
        <v>48288.838548508</v>
      </c>
      <c r="T57" s="2"/>
      <c r="U57" s="2">
        <f t="shared" si="60"/>
        <v>56893.459818934629</v>
      </c>
      <c r="V57" s="2">
        <f t="shared" si="60"/>
        <v>24153.437305110801</v>
      </c>
      <c r="W57" s="2"/>
      <c r="X57" s="2">
        <f t="shared" si="61"/>
        <v>64886.916194366182</v>
      </c>
      <c r="Y57" s="2">
        <f t="shared" si="61"/>
        <v>61945.476582383613</v>
      </c>
      <c r="Z57" s="2">
        <f t="shared" si="44"/>
        <v>256168.12844930321</v>
      </c>
      <c r="AA57" s="2">
        <f t="shared" ref="AA57:AA64" si="77">Z57-Z56</f>
        <v>25055.154926188057</v>
      </c>
      <c r="AB57" s="6">
        <f t="shared" ref="AB57:AB64" si="78">(AA57/Z56)</f>
        <v>0.10841085441567444</v>
      </c>
      <c r="AC57" s="7">
        <f t="shared" si="32"/>
        <v>1.1084108544156743</v>
      </c>
      <c r="AD57" s="2">
        <f t="shared" si="45"/>
        <v>0</v>
      </c>
      <c r="AE57" s="2"/>
      <c r="AG57">
        <f t="shared" si="13"/>
        <v>2006</v>
      </c>
      <c r="AH57" s="6">
        <f t="shared" si="69"/>
        <v>0.18850447493535313</v>
      </c>
      <c r="AI57" s="7"/>
      <c r="AJ57" s="6">
        <f t="shared" si="55"/>
        <v>0.22209421665113227</v>
      </c>
      <c r="AK57" s="6">
        <f t="shared" si="55"/>
        <v>9.4287441030709143E-2</v>
      </c>
      <c r="AL57" s="7"/>
      <c r="AM57" s="6">
        <f t="shared" si="70"/>
        <v>0.25329816237154412</v>
      </c>
      <c r="AN57" s="6">
        <f t="shared" si="14"/>
        <v>0.24181570501126134</v>
      </c>
      <c r="AO57" s="6">
        <f t="shared" si="33"/>
        <v>1</v>
      </c>
      <c r="AP57" s="7">
        <f t="shared" si="34"/>
        <v>0.75818429498873874</v>
      </c>
      <c r="AQ57" s="7">
        <f t="shared" si="35"/>
        <v>0</v>
      </c>
      <c r="AR57" s="7"/>
      <c r="AS57">
        <f t="shared" si="36"/>
        <v>2006</v>
      </c>
      <c r="AT57" s="2">
        <f>S57</f>
        <v>48288.838548508</v>
      </c>
      <c r="AU57" s="2"/>
      <c r="AV57" s="2">
        <f t="shared" si="75"/>
        <v>56893.459818934629</v>
      </c>
      <c r="AW57" s="2">
        <f t="shared" si="75"/>
        <v>24153.437305110801</v>
      </c>
      <c r="AX57" s="2"/>
      <c r="AY57" s="2">
        <f t="shared" si="76"/>
        <v>64886.916194366182</v>
      </c>
      <c r="AZ57" s="2">
        <f t="shared" si="76"/>
        <v>61945.476582383613</v>
      </c>
      <c r="BA57" s="2">
        <f t="shared" si="76"/>
        <v>256168.12844930321</v>
      </c>
      <c r="BB57" s="2">
        <f t="shared" si="18"/>
        <v>0</v>
      </c>
      <c r="BC57" s="2"/>
      <c r="BM57" s="24"/>
      <c r="BN57">
        <f t="shared" si="5"/>
        <v>2006</v>
      </c>
      <c r="BO57" s="1" t="b">
        <f t="shared" si="37"/>
        <v>1</v>
      </c>
      <c r="BQ57" s="1" t="b">
        <f t="shared" si="62"/>
        <v>1</v>
      </c>
      <c r="BR57" s="1" t="b">
        <f t="shared" si="63"/>
        <v>1</v>
      </c>
      <c r="BT57" s="1" t="b">
        <f t="shared" si="47"/>
        <v>0</v>
      </c>
      <c r="BU57" s="1" t="b">
        <f t="shared" si="39"/>
        <v>0</v>
      </c>
      <c r="BV57" s="1" t="b">
        <f t="shared" si="40"/>
        <v>1</v>
      </c>
      <c r="CH57" s="2"/>
    </row>
    <row r="58" spans="1:86" x14ac:dyDescent="0.2">
      <c r="A58">
        <f t="shared" si="8"/>
        <v>2007</v>
      </c>
      <c r="B58" s="2">
        <f t="shared" si="52"/>
        <v>50891.606946272586</v>
      </c>
      <c r="C58" s="2"/>
      <c r="D58" s="2">
        <f t="shared" si="57"/>
        <v>60319.015034632692</v>
      </c>
      <c r="E58" s="2">
        <f t="shared" si="58"/>
        <v>24432.651040357883</v>
      </c>
      <c r="F58" s="2"/>
      <c r="G58" s="2">
        <f t="shared" si="46"/>
        <v>74958.663326055699</v>
      </c>
      <c r="H58" s="2">
        <f t="shared" si="23"/>
        <v>66232.103561884549</v>
      </c>
      <c r="I58" s="2">
        <f t="shared" si="41"/>
        <v>276834.03990920342</v>
      </c>
      <c r="J58" s="2">
        <f t="shared" si="24"/>
        <v>11786.066306518624</v>
      </c>
      <c r="K58" s="6">
        <f t="shared" si="25"/>
        <v>4.4467671819239434E-2</v>
      </c>
      <c r="L58" s="7">
        <f t="shared" si="26"/>
        <v>1.0444676718192394</v>
      </c>
      <c r="N58">
        <f t="shared" si="27"/>
        <v>2007</v>
      </c>
      <c r="O58" s="2">
        <f t="shared" si="28"/>
        <v>9243.918804670222</v>
      </c>
      <c r="P58" s="2"/>
      <c r="Q58" s="2"/>
      <c r="R58">
        <f t="shared" si="29"/>
        <v>2007</v>
      </c>
      <c r="S58" s="2">
        <f t="shared" si="59"/>
        <v>49042.823185338544</v>
      </c>
      <c r="T58" s="2"/>
      <c r="U58" s="2">
        <f t="shared" si="60"/>
        <v>58470.23127369865</v>
      </c>
      <c r="V58" s="2">
        <f t="shared" si="60"/>
        <v>22583.867279423837</v>
      </c>
      <c r="W58" s="2"/>
      <c r="X58" s="2">
        <f t="shared" si="61"/>
        <v>73109.87956512165</v>
      </c>
      <c r="Y58" s="2">
        <f t="shared" si="61"/>
        <v>64383.319800950507</v>
      </c>
      <c r="Z58" s="2">
        <f t="shared" si="44"/>
        <v>267590.1211045332</v>
      </c>
      <c r="AA58" s="2">
        <f t="shared" si="77"/>
        <v>11421.992655229988</v>
      </c>
      <c r="AB58" s="6">
        <f t="shared" si="78"/>
        <v>4.4587875643907239E-2</v>
      </c>
      <c r="AC58" s="7">
        <f t="shared" si="32"/>
        <v>1.0445878756439073</v>
      </c>
      <c r="AD58" s="2">
        <f t="shared" si="45"/>
        <v>0</v>
      </c>
      <c r="AE58" s="2"/>
      <c r="AG58">
        <f t="shared" si="13"/>
        <v>2007</v>
      </c>
      <c r="AH58" s="6">
        <f t="shared" si="69"/>
        <v>0.18327591087034237</v>
      </c>
      <c r="AI58" s="7"/>
      <c r="AJ58" s="6">
        <f t="shared" si="55"/>
        <v>0.21850668863391054</v>
      </c>
      <c r="AK58" s="6">
        <f t="shared" si="55"/>
        <v>8.439723853109482E-2</v>
      </c>
      <c r="AL58" s="7"/>
      <c r="AM58" s="6">
        <f t="shared" si="70"/>
        <v>0.27321591418751034</v>
      </c>
      <c r="AN58" s="6">
        <f t="shared" si="14"/>
        <v>0.24060424777714187</v>
      </c>
      <c r="AO58" s="6">
        <f t="shared" si="33"/>
        <v>0.99999999999999989</v>
      </c>
      <c r="AP58" s="7">
        <f t="shared" si="34"/>
        <v>0.75939575222285804</v>
      </c>
      <c r="AQ58" s="7">
        <f t="shared" si="35"/>
        <v>0</v>
      </c>
      <c r="AR58" s="7"/>
      <c r="AS58">
        <f t="shared" si="36"/>
        <v>2007</v>
      </c>
      <c r="AT58" s="2">
        <f>S58</f>
        <v>49042.823185338544</v>
      </c>
      <c r="AU58" s="2"/>
      <c r="AV58" s="2">
        <f t="shared" si="75"/>
        <v>58470.23127369865</v>
      </c>
      <c r="AW58" s="2">
        <f t="shared" si="75"/>
        <v>22583.867279423837</v>
      </c>
      <c r="AX58" s="2"/>
      <c r="AY58" s="2">
        <f t="shared" si="76"/>
        <v>73109.87956512165</v>
      </c>
      <c r="AZ58" s="2">
        <f t="shared" si="76"/>
        <v>64383.319800950507</v>
      </c>
      <c r="BA58" s="2">
        <f t="shared" si="76"/>
        <v>267590.1211045332</v>
      </c>
      <c r="BB58" s="2">
        <f t="shared" si="18"/>
        <v>0</v>
      </c>
      <c r="BC58" s="2"/>
      <c r="BM58" s="24"/>
      <c r="BN58">
        <f t="shared" si="5"/>
        <v>2007</v>
      </c>
      <c r="BO58" s="1" t="b">
        <f t="shared" si="37"/>
        <v>1</v>
      </c>
      <c r="BQ58" s="1" t="b">
        <f t="shared" si="62"/>
        <v>1</v>
      </c>
      <c r="BR58" s="1" t="b">
        <f t="shared" si="63"/>
        <v>1</v>
      </c>
      <c r="BT58" s="28" t="b">
        <f t="shared" si="47"/>
        <v>0</v>
      </c>
      <c r="BU58" s="28" t="b">
        <f t="shared" si="39"/>
        <v>0</v>
      </c>
      <c r="BV58" s="1" t="b">
        <f t="shared" si="40"/>
        <v>1</v>
      </c>
      <c r="CH58" s="2"/>
    </row>
    <row r="59" spans="1:86" x14ac:dyDescent="0.2">
      <c r="A59">
        <f t="shared" si="8"/>
        <v>2008</v>
      </c>
      <c r="B59" s="2">
        <f t="shared" si="52"/>
        <v>30887.17004212621</v>
      </c>
      <c r="C59" s="2"/>
      <c r="D59" s="2">
        <f t="shared" si="57"/>
        <v>34015.641745786932</v>
      </c>
      <c r="E59" s="2">
        <f t="shared" si="58"/>
        <v>14437.866351735658</v>
      </c>
      <c r="F59" s="2"/>
      <c r="G59" s="2">
        <f t="shared" si="46"/>
        <v>40867.691578107348</v>
      </c>
      <c r="H59" s="2">
        <f t="shared" si="23"/>
        <v>67634.677450898511</v>
      </c>
      <c r="I59" s="2">
        <f t="shared" si="41"/>
        <v>187843.04716865468</v>
      </c>
      <c r="J59" s="2">
        <f t="shared" si="24"/>
        <v>-88990.99274054874</v>
      </c>
      <c r="K59" s="6">
        <f t="shared" si="25"/>
        <v>-0.32145971922288236</v>
      </c>
      <c r="L59" s="7">
        <f t="shared" si="26"/>
        <v>0.6785402807771177</v>
      </c>
      <c r="N59">
        <f t="shared" si="27"/>
        <v>2008</v>
      </c>
      <c r="O59" s="2">
        <f t="shared" si="28"/>
        <v>9243.918804670222</v>
      </c>
      <c r="P59" s="2"/>
      <c r="Q59" s="2"/>
      <c r="R59">
        <f t="shared" si="29"/>
        <v>2008</v>
      </c>
      <c r="S59" s="2">
        <f t="shared" si="59"/>
        <v>29038.386281192164</v>
      </c>
      <c r="T59" s="2"/>
      <c r="U59" s="2">
        <f t="shared" si="60"/>
        <v>32166.857984852886</v>
      </c>
      <c r="V59" s="2">
        <f t="shared" si="60"/>
        <v>12589.082590801614</v>
      </c>
      <c r="W59" s="2"/>
      <c r="X59" s="2">
        <f t="shared" si="61"/>
        <v>39018.907817173305</v>
      </c>
      <c r="Y59" s="2">
        <f t="shared" si="61"/>
        <v>65785.893689964461</v>
      </c>
      <c r="Z59" s="2">
        <f t="shared" si="44"/>
        <v>178599.12836398443</v>
      </c>
      <c r="AA59" s="2">
        <f t="shared" si="77"/>
        <v>-88990.992740548769</v>
      </c>
      <c r="AB59" s="6">
        <f t="shared" si="78"/>
        <v>-0.33256456693251663</v>
      </c>
      <c r="AC59" s="7">
        <f t="shared" si="32"/>
        <v>0.66743543306748343</v>
      </c>
      <c r="AD59" s="2">
        <f t="shared" si="45"/>
        <v>0</v>
      </c>
      <c r="AE59" s="2"/>
      <c r="AG59">
        <f t="shared" si="13"/>
        <v>2008</v>
      </c>
      <c r="AH59" s="6">
        <f t="shared" si="69"/>
        <v>0.16258974244270682</v>
      </c>
      <c r="AI59" s="7"/>
      <c r="AJ59" s="6">
        <f t="shared" si="55"/>
        <v>0.18010646680927209</v>
      </c>
      <c r="AK59" s="6">
        <f t="shared" si="55"/>
        <v>7.0487928502904584E-2</v>
      </c>
      <c r="AL59" s="7"/>
      <c r="AM59" s="6">
        <f t="shared" si="70"/>
        <v>0.21847199465415587</v>
      </c>
      <c r="AN59" s="6">
        <f t="shared" si="14"/>
        <v>0.36834386759096061</v>
      </c>
      <c r="AO59" s="6">
        <f t="shared" si="33"/>
        <v>1</v>
      </c>
      <c r="AP59" s="7">
        <f t="shared" si="34"/>
        <v>0.63165613240903939</v>
      </c>
      <c r="AQ59" s="7">
        <f t="shared" si="35"/>
        <v>0</v>
      </c>
      <c r="AR59" s="7"/>
      <c r="AS59">
        <f t="shared" si="36"/>
        <v>2008</v>
      </c>
      <c r="AT59" s="40">
        <v>0</v>
      </c>
      <c r="AU59" s="40"/>
      <c r="AV59" s="40">
        <v>0</v>
      </c>
      <c r="AW59" s="40">
        <v>0</v>
      </c>
      <c r="AX59" s="40"/>
      <c r="AY59" s="40">
        <v>0</v>
      </c>
      <c r="AZ59" s="40">
        <f>Z59</f>
        <v>178599.12836398443</v>
      </c>
      <c r="BA59" s="2">
        <f t="shared" si="76"/>
        <v>178599.12836398443</v>
      </c>
      <c r="BB59" s="2">
        <f t="shared" si="18"/>
        <v>0</v>
      </c>
      <c r="BC59" s="2"/>
      <c r="BM59" s="24"/>
      <c r="BN59">
        <f t="shared" si="5"/>
        <v>2008</v>
      </c>
      <c r="BO59" s="1" t="b">
        <f t="shared" si="37"/>
        <v>1</v>
      </c>
      <c r="BQ59" s="1" t="b">
        <f t="shared" si="62"/>
        <v>1</v>
      </c>
      <c r="BR59" s="1" t="b">
        <f t="shared" si="63"/>
        <v>1</v>
      </c>
      <c r="BT59" s="1" t="b">
        <f t="shared" si="47"/>
        <v>1</v>
      </c>
      <c r="BU59" s="1" t="b">
        <f t="shared" si="39"/>
        <v>0</v>
      </c>
      <c r="BV59" s="1" t="b">
        <f t="shared" si="40"/>
        <v>1</v>
      </c>
      <c r="CH59" s="2"/>
    </row>
    <row r="60" spans="1:86" x14ac:dyDescent="0.2">
      <c r="A60">
        <f t="shared" si="8"/>
        <v>2009</v>
      </c>
      <c r="B60" s="2">
        <f t="shared" si="52"/>
        <v>0</v>
      </c>
      <c r="C60" s="2"/>
      <c r="D60" s="2">
        <f t="shared" si="57"/>
        <v>0</v>
      </c>
      <c r="E60" s="2">
        <f t="shared" si="58"/>
        <v>0</v>
      </c>
      <c r="F60" s="2"/>
      <c r="G60" s="2">
        <f t="shared" si="46"/>
        <v>0</v>
      </c>
      <c r="H60" s="2">
        <f t="shared" si="23"/>
        <v>189190.05667596869</v>
      </c>
      <c r="I60" s="2">
        <f t="shared" si="41"/>
        <v>189190.05667596869</v>
      </c>
      <c r="J60" s="2">
        <f t="shared" si="24"/>
        <v>1347.009507314011</v>
      </c>
      <c r="K60" s="6">
        <f t="shared" si="25"/>
        <v>7.1709308788235311E-3</v>
      </c>
      <c r="L60" s="7">
        <f t="shared" si="26"/>
        <v>1.0071709308788235</v>
      </c>
      <c r="N60">
        <f t="shared" si="27"/>
        <v>2009</v>
      </c>
      <c r="O60" s="2">
        <f t="shared" si="28"/>
        <v>9502.7485312009885</v>
      </c>
      <c r="P60" s="2"/>
      <c r="Q60" s="2"/>
      <c r="R60">
        <f t="shared" si="29"/>
        <v>2009</v>
      </c>
      <c r="S60" s="40">
        <v>0</v>
      </c>
      <c r="T60" s="40"/>
      <c r="U60" s="40">
        <v>0</v>
      </c>
      <c r="V60" s="40">
        <v>0</v>
      </c>
      <c r="W60" s="40"/>
      <c r="X60" s="40">
        <v>0</v>
      </c>
      <c r="Y60" s="40">
        <f>H60-($O60)</f>
        <v>179687.30814476771</v>
      </c>
      <c r="Z60" s="2">
        <f t="shared" si="44"/>
        <v>179687.30814476771</v>
      </c>
      <c r="AA60" s="2">
        <f t="shared" si="77"/>
        <v>1088.1797807832772</v>
      </c>
      <c r="AB60" s="6">
        <f t="shared" si="78"/>
        <v>6.0928616547644646E-3</v>
      </c>
      <c r="AC60" s="7">
        <f t="shared" si="32"/>
        <v>1.0060928616547644</v>
      </c>
      <c r="AD60" s="2">
        <f t="shared" si="45"/>
        <v>0</v>
      </c>
      <c r="AE60" s="2"/>
      <c r="AG60">
        <f t="shared" si="13"/>
        <v>2009</v>
      </c>
      <c r="AH60" s="38">
        <f t="shared" si="69"/>
        <v>0</v>
      </c>
      <c r="AI60" s="61"/>
      <c r="AJ60" s="38">
        <f t="shared" si="55"/>
        <v>0</v>
      </c>
      <c r="AK60" s="38">
        <f t="shared" si="55"/>
        <v>0</v>
      </c>
      <c r="AL60" s="61"/>
      <c r="AM60" s="38">
        <f t="shared" si="70"/>
        <v>0</v>
      </c>
      <c r="AN60" s="38">
        <f t="shared" si="14"/>
        <v>1</v>
      </c>
      <c r="AO60" s="6">
        <f t="shared" si="33"/>
        <v>1</v>
      </c>
      <c r="AP60" s="7">
        <f t="shared" si="34"/>
        <v>0</v>
      </c>
      <c r="AQ60" s="7">
        <f t="shared" si="35"/>
        <v>0</v>
      </c>
      <c r="AR60" s="7"/>
      <c r="AS60">
        <f t="shared" si="36"/>
        <v>2009</v>
      </c>
      <c r="AT60" s="40">
        <f>$Z60*AT$39</f>
        <v>35937.461628953541</v>
      </c>
      <c r="AU60" s="40"/>
      <c r="AV60" s="40">
        <f>$Z60*AV$39</f>
        <v>35937.461628953541</v>
      </c>
      <c r="AW60" s="40">
        <f>$Z60*AW$39</f>
        <v>17968.73081447677</v>
      </c>
      <c r="AX60" s="40"/>
      <c r="AY60" s="40">
        <f>$Z60*AY$39</f>
        <v>35937.461628953541</v>
      </c>
      <c r="AZ60" s="40">
        <f>$Z60*AZ$39</f>
        <v>53906.192443430315</v>
      </c>
      <c r="BA60" s="2">
        <f t="shared" si="76"/>
        <v>179687.30814476771</v>
      </c>
      <c r="BB60" s="2">
        <f t="shared" si="18"/>
        <v>0</v>
      </c>
      <c r="BC60" s="2"/>
      <c r="BM60" s="24"/>
      <c r="BN60">
        <f t="shared" si="5"/>
        <v>2009</v>
      </c>
      <c r="BO60" s="1" t="b">
        <f t="shared" si="37"/>
        <v>0</v>
      </c>
      <c r="BQ60" s="1" t="b">
        <f t="shared" si="62"/>
        <v>0</v>
      </c>
      <c r="BR60" s="1" t="b">
        <f t="shared" si="63"/>
        <v>0</v>
      </c>
      <c r="BT60" s="1" t="b">
        <f t="shared" si="47"/>
        <v>0</v>
      </c>
      <c r="BU60" s="28" t="b">
        <f t="shared" si="39"/>
        <v>0</v>
      </c>
      <c r="BV60" s="1" t="b">
        <f t="shared" si="40"/>
        <v>1</v>
      </c>
      <c r="CH60" s="2"/>
    </row>
    <row r="61" spans="1:86" x14ac:dyDescent="0.2">
      <c r="A61">
        <f t="shared" si="8"/>
        <v>2010</v>
      </c>
      <c r="B61" s="2">
        <f t="shared" si="52"/>
        <v>41295.737157830517</v>
      </c>
      <c r="C61" s="2"/>
      <c r="D61" s="2">
        <f t="shared" si="57"/>
        <v>45087.139359685112</v>
      </c>
      <c r="E61" s="2">
        <f t="shared" si="58"/>
        <v>22949.662996249732</v>
      </c>
      <c r="F61" s="2"/>
      <c r="G61" s="2">
        <f t="shared" si="46"/>
        <v>39933.70736209317</v>
      </c>
      <c r="H61" s="2">
        <f t="shared" si="23"/>
        <v>57366.96999829854</v>
      </c>
      <c r="I61" s="2">
        <f t="shared" si="41"/>
        <v>206633.21687415708</v>
      </c>
      <c r="J61" s="2">
        <f t="shared" si="24"/>
        <v>17443.160198188387</v>
      </c>
      <c r="K61" s="6">
        <f t="shared" si="25"/>
        <v>9.2199138288032723E-2</v>
      </c>
      <c r="L61" s="7">
        <f t="shared" si="26"/>
        <v>1.0921991382880327</v>
      </c>
      <c r="N61">
        <f t="shared" si="27"/>
        <v>2010</v>
      </c>
      <c r="O61" s="2">
        <f t="shared" si="28"/>
        <v>9635.7870106378032</v>
      </c>
      <c r="P61" s="2"/>
      <c r="Q61" s="2"/>
      <c r="R61">
        <f t="shared" si="29"/>
        <v>2010</v>
      </c>
      <c r="S61" s="2">
        <f t="shared" ref="S61" si="79">B61-($O61/5)</f>
        <v>39368.579755702958</v>
      </c>
      <c r="T61" s="2"/>
      <c r="U61" s="2">
        <f t="shared" ref="U61" si="80">D61-($O61/5)</f>
        <v>43159.981957557553</v>
      </c>
      <c r="V61" s="2">
        <f t="shared" ref="V61" si="81">E61-($O61/5)</f>
        <v>21022.505594122173</v>
      </c>
      <c r="W61" s="2"/>
      <c r="X61" s="2">
        <f t="shared" ref="X61:Y61" si="82">G61-($O61/5)</f>
        <v>38006.54995996561</v>
      </c>
      <c r="Y61" s="2">
        <f t="shared" si="82"/>
        <v>55439.812596170981</v>
      </c>
      <c r="Z61" s="2">
        <f t="shared" si="44"/>
        <v>196997.42986351927</v>
      </c>
      <c r="AA61" s="2">
        <f t="shared" si="77"/>
        <v>17310.121718751558</v>
      </c>
      <c r="AB61" s="6">
        <f t="shared" si="78"/>
        <v>9.6334693292891918E-2</v>
      </c>
      <c r="AC61" s="7">
        <f t="shared" si="32"/>
        <v>1.0963346932928919</v>
      </c>
      <c r="AD61" s="2">
        <f t="shared" si="45"/>
        <v>0</v>
      </c>
      <c r="AE61" s="2"/>
      <c r="AG61">
        <f t="shared" si="13"/>
        <v>2010</v>
      </c>
      <c r="AH61" s="59">
        <f t="shared" si="69"/>
        <v>0.19984311360294241</v>
      </c>
      <c r="AI61" s="60"/>
      <c r="AJ61" s="59">
        <f t="shared" si="55"/>
        <v>0.21908906114896518</v>
      </c>
      <c r="AK61" s="59">
        <f t="shared" si="55"/>
        <v>0.10671461860536283</v>
      </c>
      <c r="AL61" s="60"/>
      <c r="AM61" s="59">
        <f t="shared" si="70"/>
        <v>0.19292916656982137</v>
      </c>
      <c r="AN61" s="59">
        <f t="shared" si="14"/>
        <v>0.28142404007290828</v>
      </c>
      <c r="AO61" s="6">
        <f t="shared" si="33"/>
        <v>1</v>
      </c>
      <c r="AP61" s="7">
        <f t="shared" si="34"/>
        <v>0.71857595992709178</v>
      </c>
      <c r="AQ61" s="7">
        <f t="shared" si="35"/>
        <v>0</v>
      </c>
      <c r="AR61" s="7"/>
      <c r="AS61">
        <f t="shared" si="36"/>
        <v>2010</v>
      </c>
      <c r="AT61" s="2">
        <f>S61</f>
        <v>39368.579755702958</v>
      </c>
      <c r="AU61" s="2"/>
      <c r="AV61" s="2">
        <f t="shared" ref="AV61" si="83">U61</f>
        <v>43159.981957557553</v>
      </c>
      <c r="AW61" s="2">
        <f t="shared" ref="AW61" si="84">V61</f>
        <v>21022.505594122173</v>
      </c>
      <c r="AX61" s="2"/>
      <c r="AY61" s="2">
        <f t="shared" ref="AY61" si="85">X61</f>
        <v>38006.54995996561</v>
      </c>
      <c r="AZ61" s="2">
        <f t="shared" ref="AZ61" si="86">Y61</f>
        <v>55439.812596170981</v>
      </c>
      <c r="BA61" s="2">
        <f t="shared" si="76"/>
        <v>196997.42986351927</v>
      </c>
      <c r="BB61" s="2">
        <f t="shared" si="18"/>
        <v>0</v>
      </c>
      <c r="BC61" s="2"/>
      <c r="BM61" s="24"/>
      <c r="BN61">
        <f t="shared" si="5"/>
        <v>2010</v>
      </c>
      <c r="BO61" s="1" t="b">
        <f t="shared" si="37"/>
        <v>1</v>
      </c>
      <c r="BQ61" s="1" t="b">
        <f t="shared" si="62"/>
        <v>1</v>
      </c>
      <c r="BR61" s="1" t="b">
        <f t="shared" si="63"/>
        <v>1</v>
      </c>
      <c r="BT61" s="1" t="b">
        <f t="shared" si="47"/>
        <v>1</v>
      </c>
      <c r="BU61" s="1" t="b">
        <f t="shared" si="39"/>
        <v>1</v>
      </c>
      <c r="BV61" s="1" t="b">
        <f t="shared" si="40"/>
        <v>1</v>
      </c>
      <c r="CH61" s="2"/>
    </row>
    <row r="62" spans="1:86" x14ac:dyDescent="0.2">
      <c r="A62">
        <f t="shared" si="8"/>
        <v>2011</v>
      </c>
      <c r="B62" s="2">
        <f t="shared" si="52"/>
        <v>40144.140776890308</v>
      </c>
      <c r="C62" s="2"/>
      <c r="D62" s="2">
        <f t="shared" si="57"/>
        <v>42249.306338253089</v>
      </c>
      <c r="E62" s="2">
        <f t="shared" si="58"/>
        <v>20433.875437486753</v>
      </c>
      <c r="F62" s="2"/>
      <c r="G62" s="2">
        <f t="shared" si="46"/>
        <v>32472.796285794619</v>
      </c>
      <c r="H62" s="2">
        <f t="shared" si="23"/>
        <v>59631.062428441517</v>
      </c>
      <c r="I62" s="2">
        <f t="shared" si="41"/>
        <v>194931.18126686628</v>
      </c>
      <c r="J62" s="2">
        <f t="shared" si="24"/>
        <v>-11702.035607290803</v>
      </c>
      <c r="K62" s="6">
        <f t="shared" si="25"/>
        <v>-5.6631919031766946E-2</v>
      </c>
      <c r="L62" s="7">
        <f t="shared" si="26"/>
        <v>0.9433680809682331</v>
      </c>
      <c r="N62">
        <f t="shared" si="27"/>
        <v>2011</v>
      </c>
      <c r="O62" s="2">
        <f t="shared" si="28"/>
        <v>9924.8606209569371</v>
      </c>
      <c r="P62" s="2"/>
      <c r="Q62" s="2"/>
      <c r="R62">
        <f t="shared" si="29"/>
        <v>2011</v>
      </c>
      <c r="S62" s="2">
        <f t="shared" si="59"/>
        <v>38159.168652698922</v>
      </c>
      <c r="T62" s="2"/>
      <c r="U62" s="2">
        <f t="shared" si="60"/>
        <v>40264.334214061702</v>
      </c>
      <c r="V62" s="2">
        <f t="shared" si="60"/>
        <v>18448.903313295366</v>
      </c>
      <c r="W62" s="2"/>
      <c r="X62" s="2">
        <f t="shared" si="61"/>
        <v>30487.824161603232</v>
      </c>
      <c r="Y62" s="2">
        <f t="shared" si="61"/>
        <v>57646.09030425013</v>
      </c>
      <c r="Z62" s="2">
        <f t="shared" si="44"/>
        <v>185006.32064590935</v>
      </c>
      <c r="AA62" s="2">
        <f t="shared" si="77"/>
        <v>-11991.109217609919</v>
      </c>
      <c r="AB62" s="6">
        <f t="shared" si="78"/>
        <v>-6.0869368833478765E-2</v>
      </c>
      <c r="AC62" s="7">
        <f t="shared" si="32"/>
        <v>0.93913063116652129</v>
      </c>
      <c r="AD62" s="2">
        <f t="shared" si="45"/>
        <v>0</v>
      </c>
      <c r="AE62" s="2"/>
      <c r="AG62">
        <f t="shared" si="13"/>
        <v>2011</v>
      </c>
      <c r="AH62" s="6">
        <f t="shared" si="69"/>
        <v>0.20625872953677735</v>
      </c>
      <c r="AI62" s="7"/>
      <c r="AJ62" s="6">
        <f t="shared" si="55"/>
        <v>0.21763761407441395</v>
      </c>
      <c r="AK62" s="6">
        <f t="shared" si="55"/>
        <v>9.9720394681030528E-2</v>
      </c>
      <c r="AL62" s="7"/>
      <c r="AM62" s="6">
        <f t="shared" si="70"/>
        <v>0.164793419247308</v>
      </c>
      <c r="AN62" s="6">
        <f t="shared" si="14"/>
        <v>0.31158984246047022</v>
      </c>
      <c r="AO62" s="6">
        <f t="shared" si="33"/>
        <v>1</v>
      </c>
      <c r="AP62" s="7">
        <f t="shared" si="34"/>
        <v>0.68841015753952983</v>
      </c>
      <c r="AQ62" s="7">
        <f t="shared" si="35"/>
        <v>0</v>
      </c>
      <c r="AR62" s="7"/>
      <c r="AS62">
        <f t="shared" si="36"/>
        <v>2011</v>
      </c>
      <c r="AT62" s="2">
        <f>S62</f>
        <v>38159.168652698922</v>
      </c>
      <c r="AU62" s="2"/>
      <c r="AV62" s="2">
        <f t="shared" ref="AV62:AW64" si="87">U62</f>
        <v>40264.334214061702</v>
      </c>
      <c r="AW62" s="2">
        <f t="shared" si="87"/>
        <v>18448.903313295366</v>
      </c>
      <c r="AX62" s="2"/>
      <c r="AY62" s="2">
        <f t="shared" ref="AY62:AZ64" si="88">X62</f>
        <v>30487.824161603232</v>
      </c>
      <c r="AZ62" s="2">
        <f t="shared" si="88"/>
        <v>57646.09030425013</v>
      </c>
      <c r="BA62" s="2">
        <f t="shared" si="76"/>
        <v>185006.32064590935</v>
      </c>
      <c r="BB62" s="2">
        <f t="shared" si="18"/>
        <v>0</v>
      </c>
      <c r="BC62" s="2"/>
      <c r="BM62" s="24"/>
      <c r="BN62">
        <f t="shared" si="5"/>
        <v>2011</v>
      </c>
      <c r="BO62" s="1" t="b">
        <f t="shared" si="37"/>
        <v>1</v>
      </c>
      <c r="BQ62" s="1" t="b">
        <f t="shared" si="62"/>
        <v>1</v>
      </c>
      <c r="BR62" s="1" t="b">
        <f t="shared" si="63"/>
        <v>1</v>
      </c>
      <c r="BT62" s="1" t="b">
        <f t="shared" si="47"/>
        <v>1</v>
      </c>
      <c r="BU62" s="28" t="b">
        <f t="shared" si="39"/>
        <v>1</v>
      </c>
      <c r="BV62" s="1" t="b">
        <f t="shared" si="40"/>
        <v>1</v>
      </c>
      <c r="CH62" s="2"/>
    </row>
    <row r="63" spans="1:86" x14ac:dyDescent="0.2">
      <c r="A63">
        <f t="shared" si="8"/>
        <v>2012</v>
      </c>
      <c r="B63" s="2">
        <f t="shared" si="52"/>
        <v>44195.949133555885</v>
      </c>
      <c r="C63" s="2"/>
      <c r="D63" s="2">
        <f t="shared" si="57"/>
        <v>46626.099019883448</v>
      </c>
      <c r="E63" s="2">
        <f t="shared" si="58"/>
        <v>21777.085471013852</v>
      </c>
      <c r="F63" s="2"/>
      <c r="G63" s="2">
        <f t="shared" si="46"/>
        <v>36018.315464518055</v>
      </c>
      <c r="H63" s="2">
        <f t="shared" si="23"/>
        <v>59980.75696157226</v>
      </c>
      <c r="I63" s="2">
        <f t="shared" si="41"/>
        <v>208598.20605054352</v>
      </c>
      <c r="J63" s="2">
        <f t="shared" si="24"/>
        <v>13667.024783677247</v>
      </c>
      <c r="K63" s="6">
        <f t="shared" si="25"/>
        <v>7.011205028797679E-2</v>
      </c>
      <c r="L63" s="7">
        <f t="shared" si="26"/>
        <v>1.0701120502879768</v>
      </c>
      <c r="N63">
        <f t="shared" si="27"/>
        <v>2012</v>
      </c>
      <c r="O63" s="2">
        <f t="shared" si="28"/>
        <v>10103.508112134163</v>
      </c>
      <c r="P63" s="2"/>
      <c r="Q63" s="2"/>
      <c r="R63">
        <f t="shared" si="29"/>
        <v>2012</v>
      </c>
      <c r="S63" s="2">
        <f t="shared" si="59"/>
        <v>42175.247511129055</v>
      </c>
      <c r="T63" s="2"/>
      <c r="U63" s="2">
        <f t="shared" si="60"/>
        <v>44605.397397456618</v>
      </c>
      <c r="V63" s="2">
        <f t="shared" si="60"/>
        <v>19756.383848587018</v>
      </c>
      <c r="W63" s="2"/>
      <c r="X63" s="2">
        <f t="shared" si="61"/>
        <v>33997.613842091225</v>
      </c>
      <c r="Y63" s="2">
        <f t="shared" si="61"/>
        <v>57960.05533914543</v>
      </c>
      <c r="Z63" s="2">
        <f t="shared" si="44"/>
        <v>198494.69793840934</v>
      </c>
      <c r="AA63" s="2">
        <f t="shared" si="77"/>
        <v>13488.377292499994</v>
      </c>
      <c r="AB63" s="6">
        <f t="shared" si="78"/>
        <v>7.2907656589289799E-2</v>
      </c>
      <c r="AC63" s="7">
        <f t="shared" si="32"/>
        <v>1.0729076565892899</v>
      </c>
      <c r="AD63" s="2">
        <f t="shared" si="45"/>
        <v>0</v>
      </c>
      <c r="AE63" s="2"/>
      <c r="AG63">
        <f t="shared" si="13"/>
        <v>2012</v>
      </c>
      <c r="AH63" s="6">
        <f t="shared" si="69"/>
        <v>0.21247543611575739</v>
      </c>
      <c r="AI63" s="7"/>
      <c r="AJ63" s="6">
        <f t="shared" si="55"/>
        <v>0.22471833182817391</v>
      </c>
      <c r="AK63" s="6">
        <f t="shared" si="55"/>
        <v>9.9531040646320942E-2</v>
      </c>
      <c r="AL63" s="7"/>
      <c r="AM63" s="6">
        <f t="shared" si="70"/>
        <v>0.17127718873700243</v>
      </c>
      <c r="AN63" s="6">
        <f t="shared" si="14"/>
        <v>0.29199800267274534</v>
      </c>
      <c r="AO63" s="6">
        <f t="shared" si="33"/>
        <v>1</v>
      </c>
      <c r="AP63" s="7">
        <f t="shared" si="34"/>
        <v>0.70800199732725466</v>
      </c>
      <c r="AQ63" s="7">
        <f t="shared" si="35"/>
        <v>0</v>
      </c>
      <c r="AR63" s="7"/>
      <c r="AS63">
        <f t="shared" si="36"/>
        <v>2012</v>
      </c>
      <c r="AT63" s="2">
        <f t="shared" ref="AT63:AT64" si="89">S63</f>
        <v>42175.247511129055</v>
      </c>
      <c r="AU63" s="2"/>
      <c r="AV63" s="2">
        <f t="shared" si="87"/>
        <v>44605.397397456618</v>
      </c>
      <c r="AW63" s="2">
        <f t="shared" si="87"/>
        <v>19756.383848587018</v>
      </c>
      <c r="AX63" s="2"/>
      <c r="AY63" s="2">
        <f t="shared" si="88"/>
        <v>33997.613842091225</v>
      </c>
      <c r="AZ63" s="2">
        <f t="shared" si="88"/>
        <v>57960.05533914543</v>
      </c>
      <c r="BA63" s="2">
        <f t="shared" si="76"/>
        <v>198494.69793840934</v>
      </c>
      <c r="BB63" s="2">
        <f t="shared" ref="BB63:BB64" si="90">SUM(AT63:AZ63)-Z63</f>
        <v>0</v>
      </c>
      <c r="BC63" s="2"/>
      <c r="BM63" s="24"/>
      <c r="BN63">
        <f t="shared" si="5"/>
        <v>2012</v>
      </c>
      <c r="BO63" s="1" t="b">
        <f t="shared" si="37"/>
        <v>1</v>
      </c>
      <c r="BQ63" s="1" t="b">
        <f t="shared" si="62"/>
        <v>1</v>
      </c>
      <c r="BR63" s="1" t="b">
        <f t="shared" si="63"/>
        <v>1</v>
      </c>
      <c r="BT63" s="1" t="b">
        <f t="shared" si="47"/>
        <v>1</v>
      </c>
      <c r="BU63" s="1" t="b">
        <f t="shared" si="39"/>
        <v>1</v>
      </c>
      <c r="BV63" s="1" t="b">
        <f t="shared" si="40"/>
        <v>1</v>
      </c>
      <c r="CH63" s="2"/>
    </row>
    <row r="64" spans="1:86" x14ac:dyDescent="0.2">
      <c r="A64">
        <f t="shared" si="8"/>
        <v>2013</v>
      </c>
      <c r="B64" s="2">
        <f t="shared" si="52"/>
        <v>55747.242160210386</v>
      </c>
      <c r="C64" s="2"/>
      <c r="D64" s="2">
        <f t="shared" si="57"/>
        <v>60217.286486566438</v>
      </c>
      <c r="E64" s="2">
        <f t="shared" si="58"/>
        <v>27188.735452425452</v>
      </c>
      <c r="F64" s="2"/>
      <c r="G64" s="2">
        <f t="shared" si="46"/>
        <v>39110.85496394174</v>
      </c>
      <c r="H64" s="2">
        <f t="shared" si="23"/>
        <v>56650.158088480748</v>
      </c>
      <c r="I64" s="2">
        <f t="shared" si="41"/>
        <v>238914.27715162479</v>
      </c>
      <c r="J64" s="2">
        <f t="shared" si="24"/>
        <v>30316.071101081267</v>
      </c>
      <c r="K64" s="6">
        <f t="shared" si="25"/>
        <v>0.14533236730586099</v>
      </c>
      <c r="L64" s="7">
        <f t="shared" si="26"/>
        <v>1.1453323673058611</v>
      </c>
      <c r="N64">
        <f t="shared" si="27"/>
        <v>2013</v>
      </c>
      <c r="O64" s="2">
        <f t="shared" si="28"/>
        <v>10220.263413827573</v>
      </c>
      <c r="P64" s="2"/>
      <c r="Q64" s="2"/>
      <c r="R64">
        <f t="shared" si="29"/>
        <v>2013</v>
      </c>
      <c r="S64" s="2">
        <f t="shared" si="59"/>
        <v>53703.189477444874</v>
      </c>
      <c r="T64" s="2"/>
      <c r="U64" s="2">
        <f t="shared" si="60"/>
        <v>58173.233803800926</v>
      </c>
      <c r="V64" s="2">
        <f t="shared" si="60"/>
        <v>25144.682769659936</v>
      </c>
      <c r="W64" s="2"/>
      <c r="X64" s="2">
        <f t="shared" si="61"/>
        <v>37066.802281176228</v>
      </c>
      <c r="Y64" s="2">
        <f t="shared" si="61"/>
        <v>54606.105405715236</v>
      </c>
      <c r="Z64" s="2">
        <f t="shared" si="44"/>
        <v>228694.01373779721</v>
      </c>
      <c r="AA64" s="2">
        <f t="shared" si="77"/>
        <v>30199.31579938787</v>
      </c>
      <c r="AB64" s="6">
        <f t="shared" si="78"/>
        <v>0.152141674881202</v>
      </c>
      <c r="AC64" s="7">
        <f t="shared" si="32"/>
        <v>1.1521416748812019</v>
      </c>
      <c r="AD64" s="2">
        <f t="shared" si="45"/>
        <v>0</v>
      </c>
      <c r="AE64" s="2"/>
      <c r="AG64">
        <f t="shared" si="13"/>
        <v>2013</v>
      </c>
      <c r="AH64" s="6">
        <f t="shared" si="69"/>
        <v>0.23482551466789497</v>
      </c>
      <c r="AI64" s="7"/>
      <c r="AJ64" s="6">
        <f t="shared" si="55"/>
        <v>0.25437147589922415</v>
      </c>
      <c r="AK64" s="6">
        <f t="shared" si="55"/>
        <v>0.10994902034685033</v>
      </c>
      <c r="AL64" s="7"/>
      <c r="AM64" s="6">
        <f t="shared" si="70"/>
        <v>0.16208033465919289</v>
      </c>
      <c r="AN64" s="6">
        <f t="shared" si="14"/>
        <v>0.23877365442683757</v>
      </c>
      <c r="AO64" s="6">
        <f t="shared" si="33"/>
        <v>1</v>
      </c>
      <c r="AP64" s="7">
        <f t="shared" si="34"/>
        <v>0.76122634557316238</v>
      </c>
      <c r="AQ64" s="7">
        <f t="shared" si="35"/>
        <v>0</v>
      </c>
      <c r="AR64" s="7"/>
      <c r="AS64">
        <f t="shared" si="36"/>
        <v>2013</v>
      </c>
      <c r="AT64" s="2">
        <f t="shared" si="89"/>
        <v>53703.189477444874</v>
      </c>
      <c r="AU64" s="2"/>
      <c r="AV64" s="2">
        <f t="shared" si="87"/>
        <v>58173.233803800926</v>
      </c>
      <c r="AW64" s="2">
        <f t="shared" si="87"/>
        <v>25144.682769659936</v>
      </c>
      <c r="AX64" s="2"/>
      <c r="AY64" s="2">
        <f t="shared" si="88"/>
        <v>37066.802281176228</v>
      </c>
      <c r="AZ64" s="2">
        <f t="shared" si="88"/>
        <v>54606.105405715236</v>
      </c>
      <c r="BA64" s="2">
        <f t="shared" si="76"/>
        <v>228694.01373779721</v>
      </c>
      <c r="BB64" s="2">
        <f t="shared" si="90"/>
        <v>0</v>
      </c>
      <c r="BC64" s="2"/>
      <c r="BM64" s="24"/>
      <c r="BN64">
        <f t="shared" si="5"/>
        <v>2013</v>
      </c>
      <c r="BO64" s="1" t="b">
        <f t="shared" si="37"/>
        <v>1</v>
      </c>
      <c r="BQ64" s="1" t="b">
        <f t="shared" si="62"/>
        <v>0</v>
      </c>
      <c r="BR64" s="1" t="b">
        <f t="shared" si="63"/>
        <v>1</v>
      </c>
      <c r="BT64" s="1" t="b">
        <f t="shared" si="47"/>
        <v>1</v>
      </c>
      <c r="BU64" s="1" t="b">
        <f t="shared" si="39"/>
        <v>0</v>
      </c>
      <c r="BV64" s="1" t="b">
        <f t="shared" si="40"/>
        <v>1</v>
      </c>
      <c r="CH64" s="2"/>
    </row>
    <row r="65" spans="1:37" x14ac:dyDescent="0.2">
      <c r="A65" s="9" t="s">
        <v>78</v>
      </c>
      <c r="B65" s="10">
        <f>AT64</f>
        <v>53703.189477444874</v>
      </c>
      <c r="C65" s="10"/>
      <c r="D65" s="10">
        <f>AV64</f>
        <v>58173.233803800926</v>
      </c>
      <c r="E65" s="10">
        <f>AW64</f>
        <v>25144.682769659936</v>
      </c>
      <c r="F65" s="10"/>
      <c r="G65" s="10">
        <f>AY64</f>
        <v>37066.802281176228</v>
      </c>
      <c r="H65" s="10">
        <f>AZ64</f>
        <v>54606.105405715236</v>
      </c>
      <c r="I65" s="10">
        <f>SUM(B65:H65)</f>
        <v>228694.01373779721</v>
      </c>
      <c r="J65" s="10"/>
      <c r="K65" s="10"/>
      <c r="L65" s="74"/>
      <c r="N65" t="s">
        <v>40</v>
      </c>
      <c r="O65" s="2">
        <f>O64</f>
        <v>10220.263413827573</v>
      </c>
      <c r="P65" s="2"/>
      <c r="R65" s="9" t="s">
        <v>78</v>
      </c>
      <c r="S65" s="10">
        <f>S64</f>
        <v>53703.189477444874</v>
      </c>
      <c r="T65" s="10"/>
      <c r="U65" s="10">
        <f>U64</f>
        <v>58173.233803800926</v>
      </c>
      <c r="V65" s="10">
        <f>V64</f>
        <v>25144.682769659936</v>
      </c>
      <c r="W65" s="10"/>
      <c r="X65" s="10">
        <f>X64</f>
        <v>37066.802281176228</v>
      </c>
      <c r="Y65" s="10">
        <f>Y64</f>
        <v>54606.105405715236</v>
      </c>
      <c r="Z65" s="10">
        <f>SUM(S65:Y65)</f>
        <v>228694.01373779721</v>
      </c>
      <c r="AA65" s="10"/>
      <c r="AB65" s="10"/>
      <c r="AC65" s="10"/>
      <c r="AD65" s="10"/>
      <c r="AE65" s="43"/>
      <c r="AK65" s="7"/>
    </row>
    <row r="66" spans="1:37" x14ac:dyDescent="0.2">
      <c r="A66" s="11" t="s">
        <v>11</v>
      </c>
      <c r="I66" s="6">
        <f>(Z65-Z39)/Z39</f>
        <v>1.2869401373779721</v>
      </c>
      <c r="K66" s="6"/>
      <c r="N66" t="s">
        <v>70</v>
      </c>
      <c r="O66" s="2">
        <f>SUM(O40:O64)</f>
        <v>197323.81127815042</v>
      </c>
      <c r="P66" s="2"/>
    </row>
    <row r="67" spans="1:37" x14ac:dyDescent="0.2">
      <c r="A67" s="1" t="s">
        <v>12</v>
      </c>
      <c r="I67" s="12">
        <f>STDEV(AC40:AC64)</f>
        <v>0.12295138548949067</v>
      </c>
    </row>
    <row r="68" spans="1:37" x14ac:dyDescent="0.2">
      <c r="A68" s="1" t="s">
        <v>13</v>
      </c>
      <c r="I68" s="13">
        <f>((1+I66)^(1/I75))-1</f>
        <v>3.3642105106328035E-2</v>
      </c>
    </row>
    <row r="69" spans="1:37" x14ac:dyDescent="0.2">
      <c r="A69" s="1" t="s">
        <v>82</v>
      </c>
      <c r="I69" s="31">
        <f>J60</f>
        <v>1347.009507314011</v>
      </c>
      <c r="O69" s="2"/>
      <c r="P69" s="2"/>
    </row>
    <row r="70" spans="1:37" x14ac:dyDescent="0.2">
      <c r="A70" s="1" t="s">
        <v>83</v>
      </c>
      <c r="I70" s="32">
        <f>K60</f>
        <v>7.1709308788235311E-3</v>
      </c>
    </row>
    <row r="71" spans="1:37" x14ac:dyDescent="0.2">
      <c r="A71" s="1" t="s">
        <v>42</v>
      </c>
      <c r="I71" s="2">
        <f>O66</f>
        <v>197323.81127815042</v>
      </c>
    </row>
    <row r="72" spans="1:37" x14ac:dyDescent="0.2">
      <c r="A72" s="3" t="s">
        <v>5</v>
      </c>
      <c r="B72" s="3"/>
      <c r="C72" s="3"/>
      <c r="D72" s="3"/>
      <c r="E72" s="3"/>
      <c r="F72" s="3"/>
      <c r="G72" s="3"/>
      <c r="H72" s="3"/>
      <c r="I72" s="33">
        <f>I65-Z65</f>
        <v>0</v>
      </c>
    </row>
    <row r="73" spans="1:37" x14ac:dyDescent="0.2">
      <c r="A73" s="3" t="s">
        <v>148</v>
      </c>
      <c r="B73" s="3"/>
      <c r="C73" s="3"/>
      <c r="D73" s="3"/>
      <c r="E73" s="3"/>
      <c r="F73" s="3"/>
      <c r="G73" s="3"/>
      <c r="H73" s="3"/>
      <c r="I73" s="33">
        <f>((SUM(AA40:AA64)))-(I65-I39)</f>
        <v>0</v>
      </c>
    </row>
    <row r="74" spans="1:37" x14ac:dyDescent="0.2">
      <c r="A74" s="3" t="s">
        <v>147</v>
      </c>
      <c r="B74" s="3"/>
      <c r="C74" s="3"/>
      <c r="D74" s="3"/>
      <c r="E74" s="3"/>
      <c r="F74" s="3"/>
      <c r="G74" s="3"/>
      <c r="H74" s="3"/>
      <c r="I74" s="33">
        <f>(SUM(O40:O64))-I71</f>
        <v>0</v>
      </c>
    </row>
    <row r="75" spans="1:37" x14ac:dyDescent="0.2">
      <c r="A75" s="3" t="s">
        <v>152</v>
      </c>
      <c r="B75" s="3"/>
      <c r="C75" s="3"/>
      <c r="D75" s="3"/>
      <c r="E75" s="3"/>
      <c r="F75" s="3"/>
      <c r="G75" s="3"/>
      <c r="H75" s="3"/>
      <c r="I75" s="75">
        <f>COUNTA(I40:I64)</f>
        <v>25</v>
      </c>
    </row>
    <row r="76" spans="1:37" x14ac:dyDescent="0.2">
      <c r="A76" s="1" t="s">
        <v>105</v>
      </c>
      <c r="B76" s="63"/>
      <c r="C76" s="63"/>
      <c r="D76" s="63"/>
      <c r="E76" s="63"/>
      <c r="G76" s="63"/>
      <c r="H76" s="63"/>
      <c r="I76" s="83">
        <f>(SUM(B65:G65)/I65)</f>
        <v>0.76122634557316238</v>
      </c>
    </row>
    <row r="77" spans="1:37" x14ac:dyDescent="0.2">
      <c r="A77" s="1" t="s">
        <v>106</v>
      </c>
      <c r="B77" s="63"/>
      <c r="C77" s="63"/>
      <c r="D77" s="63"/>
      <c r="E77" s="63"/>
      <c r="G77" s="63"/>
      <c r="H77" s="63"/>
      <c r="I77" s="83">
        <f>(H65/I65)</f>
        <v>0.23877365442683757</v>
      </c>
    </row>
    <row r="78" spans="1:37" x14ac:dyDescent="0.2">
      <c r="A78" s="3" t="s">
        <v>107</v>
      </c>
      <c r="I78" s="3">
        <f>100%-(I76+I77)</f>
        <v>0</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429F-1061-48B8-9244-D651830B104E}">
  <dimension ref="A1:BM78"/>
  <sheetViews>
    <sheetView topLeftCell="A59" zoomScaleNormal="100" workbookViewId="0">
      <pane xSplit="30000" topLeftCell="AV1"/>
      <selection activeCell="A76" sqref="A76:I78"/>
      <selection pane="topRight" activeCell="A30" sqref="A30"/>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332031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9.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
      <c r="A4" s="17">
        <f>'Non-Rebalanced Portfolio'!A4</f>
        <v>1989</v>
      </c>
      <c r="B4" s="17">
        <f>'Non-Rebalanced Portfolio'!B4</f>
        <v>31.36</v>
      </c>
      <c r="C4" s="19">
        <f>'Non-Rebalanced Portfolio'!C4</f>
        <v>24.096</v>
      </c>
      <c r="D4" s="17"/>
      <c r="E4" s="17"/>
      <c r="F4" s="17">
        <f>'Non-Rebalanced Portfolio'!F4</f>
        <v>25.971</v>
      </c>
      <c r="G4" s="17"/>
      <c r="H4" s="17">
        <f>'Non-Rebalanced Portfolio'!H4</f>
        <v>13.64</v>
      </c>
      <c r="N4" s="49">
        <f>'4.5% Withdrawals-No Rebalancing'!N4</f>
        <v>1989</v>
      </c>
      <c r="O4" s="50">
        <f>'4.5% Withdrawals-No Rebalancing'!O4</f>
        <v>4.5999999999999999E-2</v>
      </c>
      <c r="P4" s="44"/>
    </row>
    <row r="5" spans="1:16" x14ac:dyDescent="0.2">
      <c r="A5" s="17">
        <f>'Non-Rebalanced Portfolio'!A5</f>
        <v>1990</v>
      </c>
      <c r="B5" s="17">
        <f>'Non-Rebalanced Portfolio'!B5</f>
        <v>-3.32</v>
      </c>
      <c r="C5" s="19">
        <f>'Non-Rebalanced Portfolio'!C5</f>
        <v>-14.045</v>
      </c>
      <c r="D5" s="17"/>
      <c r="E5" s="17"/>
      <c r="F5" s="17">
        <f>'Non-Rebalanced Portfolio'!F5</f>
        <v>-12.26</v>
      </c>
      <c r="G5" s="17"/>
      <c r="H5" s="17">
        <f>'Non-Rebalanced Portfolio'!H5</f>
        <v>8.65</v>
      </c>
      <c r="N5" s="49">
        <f>'4.5% Withdrawals-No Rebalancing'!N5</f>
        <v>1990</v>
      </c>
      <c r="O5" s="50">
        <f>'4.5% Withdrawals-No Rebalancing'!O5</f>
        <v>6.3E-2</v>
      </c>
      <c r="P5" s="44"/>
    </row>
    <row r="6" spans="1:16" x14ac:dyDescent="0.2">
      <c r="A6" s="17">
        <f>'Non-Rebalanced Portfolio'!A6</f>
        <v>1991</v>
      </c>
      <c r="B6" s="17">
        <f>'Non-Rebalanced Portfolio'!B6</f>
        <v>30.22</v>
      </c>
      <c r="C6" s="19">
        <f>'Non-Rebalanced Portfolio'!C6</f>
        <v>41.85</v>
      </c>
      <c r="D6" s="17"/>
      <c r="E6" s="17"/>
      <c r="F6" s="17">
        <f>'Non-Rebalanced Portfolio'!F6</f>
        <v>9.9559999999999995</v>
      </c>
      <c r="G6" s="17"/>
      <c r="H6" s="17">
        <f>'Non-Rebalanced Portfolio'!H6</f>
        <v>15.25</v>
      </c>
      <c r="N6" s="49">
        <f>'4.5% Withdrawals-No Rebalancing'!N6</f>
        <v>1991</v>
      </c>
      <c r="O6" s="50">
        <f>'4.5% Withdrawals-No Rebalancing'!O6</f>
        <v>0.03</v>
      </c>
      <c r="P6" s="44"/>
    </row>
    <row r="7" spans="1:16" x14ac:dyDescent="0.2">
      <c r="A7" s="17">
        <f>'Non-Rebalanced Portfolio'!A7</f>
        <v>1992</v>
      </c>
      <c r="B7" s="17">
        <f>'Non-Rebalanced Portfolio'!B7</f>
        <v>7.42</v>
      </c>
      <c r="C7" s="19">
        <f>'Non-Rebalanced Portfolio'!C7</f>
        <v>12.465999999999999</v>
      </c>
      <c r="D7" s="17"/>
      <c r="E7" s="17"/>
      <c r="F7" s="17">
        <f>'Non-Rebalanced Portfolio'!F7</f>
        <v>-8.7210000000000001</v>
      </c>
      <c r="G7" s="17"/>
      <c r="H7" s="17">
        <f>'Non-Rebalanced Portfolio'!H7</f>
        <v>7.14</v>
      </c>
      <c r="N7" s="49">
        <f>'4.5% Withdrawals-No Rebalancing'!N7</f>
        <v>1992</v>
      </c>
      <c r="O7" s="50">
        <f>'4.5% Withdrawals-No Rebalancing'!O7</f>
        <v>0.03</v>
      </c>
      <c r="P7" s="44"/>
    </row>
    <row r="8" spans="1:16" x14ac:dyDescent="0.2">
      <c r="A8" s="17">
        <f>'Non-Rebalanced Portfolio'!A8</f>
        <v>1993</v>
      </c>
      <c r="B8" s="17">
        <f>'Non-Rebalanced Portfolio'!B8</f>
        <v>9.89</v>
      </c>
      <c r="C8" s="19">
        <f>'Non-Rebalanced Portfolio'!C8</f>
        <v>14.49</v>
      </c>
      <c r="D8" s="17"/>
      <c r="E8" s="17"/>
      <c r="F8" s="17">
        <f>'Non-Rebalanced Portfolio'!F8</f>
        <v>30.494</v>
      </c>
      <c r="G8" s="17"/>
      <c r="H8" s="17">
        <f>'Non-Rebalanced Portfolio'!H8</f>
        <v>9.68</v>
      </c>
      <c r="N8" s="49">
        <f>'4.5% Withdrawals-No Rebalancing'!N8</f>
        <v>1993</v>
      </c>
      <c r="O8" s="50">
        <f>'4.5% Withdrawals-No Rebalancing'!O8</f>
        <v>2.8000000000000001E-2</v>
      </c>
      <c r="P8" s="44"/>
    </row>
    <row r="9" spans="1:16" x14ac:dyDescent="0.2">
      <c r="A9" s="17">
        <f>'Non-Rebalanced Portfolio'!A9</f>
        <v>1994</v>
      </c>
      <c r="B9" s="17">
        <f>'Non-Rebalanced Portfolio'!B9</f>
        <v>1.18</v>
      </c>
      <c r="C9" s="19">
        <f>'Non-Rebalanced Portfolio'!C9</f>
        <v>-1.764</v>
      </c>
      <c r="D9" s="17"/>
      <c r="E9" s="17"/>
      <c r="F9" s="17">
        <f>'Non-Rebalanced Portfolio'!F9</f>
        <v>5.2549999999999999</v>
      </c>
      <c r="G9" s="17"/>
      <c r="H9" s="17">
        <f>'Non-Rebalanced Portfolio'!H9</f>
        <v>-2.66</v>
      </c>
      <c r="N9" s="49">
        <f>'4.5% Withdrawals-No Rebalancing'!N9</f>
        <v>1994</v>
      </c>
      <c r="O9" s="50">
        <f>'4.5% Withdrawals-No Rebalancing'!O9</f>
        <v>2.5999999999999999E-2</v>
      </c>
      <c r="P9" s="44"/>
    </row>
    <row r="10" spans="1:16" x14ac:dyDescent="0.2">
      <c r="A10" s="17">
        <f>'Non-Rebalanced Portfolio'!A10</f>
        <v>1995</v>
      </c>
      <c r="B10" s="17">
        <f>'Non-Rebalanced Portfolio'!B10</f>
        <v>37.450000000000003</v>
      </c>
      <c r="C10" s="19">
        <f>'Non-Rebalanced Portfolio'!C10</f>
        <v>33.796999999999997</v>
      </c>
      <c r="D10" s="17"/>
      <c r="E10" s="17"/>
      <c r="F10" s="17">
        <f>'Non-Rebalanced Portfolio'!F10</f>
        <v>9.6460000000000008</v>
      </c>
      <c r="G10" s="17"/>
      <c r="H10" s="17">
        <f>'Non-Rebalanced Portfolio'!H10</f>
        <v>18.18</v>
      </c>
      <c r="N10" s="49">
        <f>'4.5% Withdrawals-No Rebalancing'!N10</f>
        <v>1995</v>
      </c>
      <c r="O10" s="50">
        <f>'4.5% Withdrawals-No Rebalancing'!O10</f>
        <v>2.5000000000000001E-2</v>
      </c>
      <c r="P10" s="44"/>
    </row>
    <row r="11" spans="1:16" x14ac:dyDescent="0.2">
      <c r="A11" s="17">
        <f>'Non-Rebalanced Portfolio'!A11</f>
        <v>1996</v>
      </c>
      <c r="B11" s="17">
        <f>'Non-Rebalanced Portfolio'!B11</f>
        <v>22.88</v>
      </c>
      <c r="C11" s="19">
        <f>'Non-Rebalanced Portfolio'!C11</f>
        <v>17.646999999999998</v>
      </c>
      <c r="D11" s="17"/>
      <c r="E11" s="17"/>
      <c r="F11" s="17">
        <f>'Non-Rebalanced Portfolio'!F11</f>
        <v>10.218999999999999</v>
      </c>
      <c r="G11" s="17"/>
      <c r="H11" s="17">
        <f>'Non-Rebalanced Portfolio'!H11</f>
        <v>3.58</v>
      </c>
      <c r="N11" s="49">
        <f>'4.5% Withdrawals-No Rebalancing'!N11</f>
        <v>1996</v>
      </c>
      <c r="O11" s="50">
        <f>'4.5% Withdrawals-No Rebalancing'!O11</f>
        <v>3.4000000000000002E-2</v>
      </c>
      <c r="P11" s="44"/>
    </row>
    <row r="12" spans="1:16" x14ac:dyDescent="0.2">
      <c r="A12" s="17">
        <f>'Non-Rebalanced Portfolio'!A12</f>
        <v>1997</v>
      </c>
      <c r="B12" s="17">
        <f>'Non-Rebalanced Portfolio'!B12</f>
        <v>33.19</v>
      </c>
      <c r="C12" s="19">
        <f>'Non-Rebalanced Portfolio'!C12</f>
        <v>26.687000000000001</v>
      </c>
      <c r="D12" s="17"/>
      <c r="E12" s="17"/>
      <c r="F12" s="17">
        <f>'Non-Rebalanced Portfolio'!F12</f>
        <v>0</v>
      </c>
      <c r="G12" s="17">
        <f>'Non-Rebalanced Portfolio'!G12</f>
        <v>-0.77500000000000002</v>
      </c>
      <c r="H12" s="17">
        <f>'Non-Rebalanced Portfolio'!H12</f>
        <v>9.44</v>
      </c>
      <c r="N12" s="49">
        <f>'4.5% Withdrawals-No Rebalancing'!N12</f>
        <v>1997</v>
      </c>
      <c r="O12" s="50">
        <f>'4.5% Withdrawals-No Rebalancing'!O12</f>
        <v>1.7000000000000001E-2</v>
      </c>
      <c r="P12" s="44"/>
    </row>
    <row r="13" spans="1:16" x14ac:dyDescent="0.2">
      <c r="A13" s="17">
        <f>'Non-Rebalanced Portfolio'!A13</f>
        <v>1998</v>
      </c>
      <c r="B13" s="17">
        <f>'Non-Rebalanced Portfolio'!B13</f>
        <v>28.66</v>
      </c>
      <c r="C13" s="19">
        <f>'Non-Rebalanced Portfolio'!C13</f>
        <v>8.3529999999999998</v>
      </c>
      <c r="D13" s="17"/>
      <c r="E13" s="17"/>
      <c r="F13" s="17"/>
      <c r="G13" s="17">
        <f>'Non-Rebalanced Portfolio'!G13</f>
        <v>15.603</v>
      </c>
      <c r="H13" s="17">
        <f>'Non-Rebalanced Portfolio'!H13</f>
        <v>8.58</v>
      </c>
      <c r="N13" s="49">
        <f>'4.5% Withdrawals-No Rebalancing'!N13</f>
        <v>1998</v>
      </c>
      <c r="O13" s="50">
        <f>'4.5% Withdrawals-No Rebalancing'!O13</f>
        <v>1.6E-2</v>
      </c>
      <c r="P13" s="44"/>
    </row>
    <row r="14" spans="1:16" x14ac:dyDescent="0.2">
      <c r="A14" s="17">
        <f>'Non-Rebalanced Portfolio'!A14</f>
        <v>1999</v>
      </c>
      <c r="B14" s="17">
        <f>'Non-Rebalanced Portfolio'!B14</f>
        <v>21.07</v>
      </c>
      <c r="C14" s="19">
        <f>'Non-Rebalanced Portfolio'!C14</f>
        <v>0</v>
      </c>
      <c r="D14" s="17">
        <f>'Non-Rebalanced Portfolio'!D14</f>
        <v>15.319000000000001</v>
      </c>
      <c r="E14" s="17">
        <f>'Non-Rebalanced Portfolio'!E14</f>
        <v>23.132999999999999</v>
      </c>
      <c r="F14" s="17"/>
      <c r="G14" s="17">
        <f>'Non-Rebalanced Portfolio'!G14</f>
        <v>29.919</v>
      </c>
      <c r="H14" s="17">
        <f>'Non-Rebalanced Portfolio'!H14</f>
        <v>-0.76</v>
      </c>
      <c r="N14" s="49">
        <f>'4.5% Withdrawals-No Rebalancing'!N14</f>
        <v>1999</v>
      </c>
      <c r="O14" s="50">
        <f>'4.5% Withdrawals-No Rebalancing'!O14</f>
        <v>2.7E-2</v>
      </c>
      <c r="P14" s="44"/>
    </row>
    <row r="15" spans="1:16" x14ac:dyDescent="0.2">
      <c r="A15" s="17">
        <f>'Non-Rebalanced Portfolio'!A15</f>
        <v>2000</v>
      </c>
      <c r="B15" s="17">
        <f>'Non-Rebalanced Portfolio'!B15</f>
        <v>-9.06</v>
      </c>
      <c r="C15" s="17"/>
      <c r="D15" s="17">
        <f>'Non-Rebalanced Portfolio'!D15</f>
        <v>18.097999999999999</v>
      </c>
      <c r="E15" s="17">
        <f>'Non-Rebalanced Portfolio'!E15</f>
        <v>-2.665</v>
      </c>
      <c r="F15" s="17"/>
      <c r="G15" s="17">
        <f>'Non-Rebalanced Portfolio'!G15</f>
        <v>-15.614000000000001</v>
      </c>
      <c r="H15" s="17">
        <f>'Non-Rebalanced Portfolio'!H15</f>
        <v>11.39</v>
      </c>
      <c r="N15" s="49">
        <f>'4.5% Withdrawals-No Rebalancing'!N15</f>
        <v>2000</v>
      </c>
      <c r="O15" s="50">
        <f>'4.5% Withdrawals-No Rebalancing'!O15</f>
        <v>3.4000000000000002E-2</v>
      </c>
      <c r="P15" s="44"/>
    </row>
    <row r="16" spans="1:16"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c r="N16" s="49">
        <f>'4.5% Withdrawals-No Rebalancing'!N16</f>
        <v>2001</v>
      </c>
      <c r="O16" s="50">
        <f>'4.5% Withdrawals-No Rebalancing'!O16</f>
        <v>1.6E-2</v>
      </c>
      <c r="P16" s="44"/>
    </row>
    <row r="17" spans="1:16"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c r="N17" s="49">
        <f>'4.5% Withdrawals-No Rebalancing'!N17</f>
        <v>2002</v>
      </c>
      <c r="O17" s="50">
        <f>'4.5% Withdrawals-No Rebalancing'!O17</f>
        <v>2.5000000000000001E-2</v>
      </c>
      <c r="P17" s="44"/>
    </row>
    <row r="18" spans="1:16"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c r="N18" s="49">
        <f>'4.5% Withdrawals-No Rebalancing'!N18</f>
        <v>2003</v>
      </c>
      <c r="O18" s="50">
        <f>'4.5% Withdrawals-No Rebalancing'!O18</f>
        <v>0.02</v>
      </c>
      <c r="P18" s="44"/>
    </row>
    <row r="19" spans="1:16"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c r="N19" s="49">
        <f>'4.5% Withdrawals-No Rebalancing'!N19</f>
        <v>2004</v>
      </c>
      <c r="O19" s="50">
        <f>'4.5% Withdrawals-No Rebalancing'!O19</f>
        <v>3.3000000000000002E-2</v>
      </c>
      <c r="P19" s="44"/>
    </row>
    <row r="20" spans="1:16"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c r="N20" s="49">
        <f>'4.5% Withdrawals-No Rebalancing'!N20</f>
        <v>2005</v>
      </c>
      <c r="O20" s="50">
        <f>'4.5% Withdrawals-No Rebalancing'!O20</f>
        <v>3.3000000000000002E-2</v>
      </c>
      <c r="P20" s="44"/>
    </row>
    <row r="21" spans="1:16"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c r="N21" s="49">
        <f>'4.5% Withdrawals-No Rebalancing'!N21</f>
        <v>2006</v>
      </c>
      <c r="O21" s="50">
        <f>'4.5% Withdrawals-No Rebalancing'!O21</f>
        <v>2.5000000000000001E-2</v>
      </c>
      <c r="P21" s="44"/>
    </row>
    <row r="22" spans="1:16"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c r="N22" s="49">
        <f>'4.5% Withdrawals-No Rebalancing'!N22</f>
        <v>2007</v>
      </c>
      <c r="O22" s="50">
        <f>'4.5% Withdrawals-No Rebalancing'!O22</f>
        <v>4.1000000000000002E-2</v>
      </c>
      <c r="P22" s="44"/>
    </row>
    <row r="23" spans="1:16"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c r="N23" s="49">
        <f>'4.5% Withdrawals-No Rebalancing'!N23</f>
        <v>2008</v>
      </c>
      <c r="O23" s="50">
        <f>'4.5% Withdrawals-No Rebalancing'!O23</f>
        <v>0</v>
      </c>
      <c r="P23" s="44"/>
    </row>
    <row r="24" spans="1:16"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c r="N24" s="49">
        <f>'4.5% Withdrawals-No Rebalancing'!N24</f>
        <v>2009</v>
      </c>
      <c r="O24" s="50">
        <f>'4.5% Withdrawals-No Rebalancing'!O24</f>
        <v>2.8000000000000001E-2</v>
      </c>
      <c r="P24" s="44"/>
    </row>
    <row r="25" spans="1:16"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c r="N25" s="49">
        <f>'4.5% Withdrawals-No Rebalancing'!N25</f>
        <v>2010</v>
      </c>
      <c r="O25" s="50">
        <f>'4.5% Withdrawals-No Rebalancing'!O25</f>
        <v>1.4E-2</v>
      </c>
      <c r="P25" s="44"/>
    </row>
    <row r="26" spans="1:16"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c r="N26" s="49">
        <f>'4.5% Withdrawals-No Rebalancing'!N26</f>
        <v>2011</v>
      </c>
      <c r="O26" s="50">
        <f>'4.5% Withdrawals-No Rebalancing'!O26</f>
        <v>0.03</v>
      </c>
      <c r="P26" s="44"/>
    </row>
    <row r="27" spans="1:16"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c r="N27" s="49">
        <f>'4.5% Withdrawals-No Rebalancing'!N27</f>
        <v>2012</v>
      </c>
      <c r="O27" s="50">
        <f>'4.5% Withdrawals-No Rebalancing'!O27</f>
        <v>1.7999999999999999E-2</v>
      </c>
    </row>
    <row r="28" spans="1:16" x14ac:dyDescent="0.2">
      <c r="A28" s="17">
        <f>'Non-Rebalanced Portfolio'!A28</f>
        <v>2013</v>
      </c>
      <c r="B28" s="17">
        <f>'Non-Rebalanced Portfolio'!B28</f>
        <v>32.18</v>
      </c>
      <c r="C28" s="17"/>
      <c r="D28" s="17">
        <f>'Non-Rebalanced Portfolio'!D28</f>
        <v>35</v>
      </c>
      <c r="E28" s="17">
        <f>'Non-Rebalanced Portfolio'!E28</f>
        <v>37.619999999999997</v>
      </c>
      <c r="F28" s="17"/>
      <c r="G28" s="17">
        <f>'Non-Rebalanced Portfolio'!G28</f>
        <v>15.04</v>
      </c>
      <c r="H28" s="17">
        <f>'Non-Rebalanced Portfolio'!H28</f>
        <v>-2.2599999999999998</v>
      </c>
      <c r="N28" s="49">
        <f>'4.5% Withdrawals-No Rebalancing'!N28</f>
        <v>2013</v>
      </c>
      <c r="O28" s="50">
        <f>'4.5% Withdrawals-No Rebalancing'!O28</f>
        <v>1.15559170535223E-2</v>
      </c>
    </row>
    <row r="29" spans="1:16" x14ac:dyDescent="0.2">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2014</v>
      </c>
      <c r="O29" s="50">
        <f>'4.5% Withdrawals-No Rebalancing'!O29</f>
        <v>1.29E-2</v>
      </c>
    </row>
    <row r="30" spans="1:16" x14ac:dyDescent="0.2">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2015</v>
      </c>
      <c r="O30" s="50">
        <f>'4.5% Withdrawals-No Rebalancing'!O30</f>
        <v>4.4000000000000003E-3</v>
      </c>
    </row>
    <row r="31" spans="1:16" x14ac:dyDescent="0.2">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2016</v>
      </c>
      <c r="O31" s="50">
        <f>'4.5% Withdrawals-No Rebalancing'!O31</f>
        <v>1.7000000000000001E-2</v>
      </c>
    </row>
    <row r="32" spans="1:16" x14ac:dyDescent="0.2">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2017</v>
      </c>
      <c r="O32" s="50">
        <f>'4.5% Withdrawals-No Rebalancing'!O32</f>
        <v>2.23E-2</v>
      </c>
    </row>
    <row r="33" spans="1:65"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65" x14ac:dyDescent="0.2">
      <c r="A36" s="20" t="s">
        <v>156</v>
      </c>
      <c r="N36" s="20" t="s">
        <v>25</v>
      </c>
      <c r="R36" s="20" t="s">
        <v>175</v>
      </c>
      <c r="AG36" s="20" t="s">
        <v>158</v>
      </c>
      <c r="AS36" s="20" t="s">
        <v>7</v>
      </c>
      <c r="BC36" s="20" t="s">
        <v>155</v>
      </c>
    </row>
    <row r="37" spans="1:65"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O37" s="81">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88</v>
      </c>
    </row>
    <row r="38" spans="1:65"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72</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87</v>
      </c>
    </row>
    <row r="39" spans="1:65" x14ac:dyDescent="0.2">
      <c r="A39" t="s">
        <v>71</v>
      </c>
      <c r="B39" s="2">
        <v>60000</v>
      </c>
      <c r="C39" s="2">
        <v>0</v>
      </c>
      <c r="F39" s="2">
        <v>0</v>
      </c>
      <c r="H39" s="2">
        <v>40000</v>
      </c>
      <c r="I39" s="2">
        <f>SUM(B39:H39)</f>
        <v>100000</v>
      </c>
      <c r="N39" s="21"/>
      <c r="R39" t="str">
        <f>A39</f>
        <v>Stating Balance</v>
      </c>
      <c r="S39" s="2">
        <f>B39</f>
        <v>60000</v>
      </c>
      <c r="T39" s="2">
        <f t="shared" si="1"/>
        <v>0</v>
      </c>
      <c r="U39" s="2">
        <f t="shared" si="1"/>
        <v>0</v>
      </c>
      <c r="V39" s="2">
        <f t="shared" si="1"/>
        <v>0</v>
      </c>
      <c r="W39" s="2">
        <f t="shared" si="1"/>
        <v>0</v>
      </c>
      <c r="X39" s="2">
        <f t="shared" si="1"/>
        <v>0</v>
      </c>
      <c r="Y39" s="2">
        <f t="shared" si="1"/>
        <v>40000</v>
      </c>
      <c r="Z39" s="2">
        <f t="shared" si="1"/>
        <v>100000</v>
      </c>
      <c r="AD39" s="2"/>
      <c r="AE39" s="2"/>
      <c r="AG39" s="21" t="s">
        <v>86</v>
      </c>
      <c r="AH39" s="6">
        <f t="shared" ref="AH39:AI54" si="5">S39/$Z39</f>
        <v>0.6</v>
      </c>
      <c r="AI39" s="6">
        <f t="shared" si="5"/>
        <v>0</v>
      </c>
      <c r="AJ39" s="23">
        <v>0</v>
      </c>
      <c r="AK39" s="23">
        <v>0</v>
      </c>
      <c r="AL39" s="6">
        <f>W39/$Z39</f>
        <v>0</v>
      </c>
      <c r="AM39" s="23">
        <v>0</v>
      </c>
      <c r="AN39" s="6">
        <f>Y39/$Z39</f>
        <v>0.4</v>
      </c>
      <c r="AO39" s="6">
        <f>Z39/$Z39</f>
        <v>1</v>
      </c>
      <c r="AP39" s="24"/>
      <c r="AR39" s="24"/>
      <c r="AS39" s="21" t="str">
        <f>AG39</f>
        <v>Target Allocation</v>
      </c>
      <c r="AT39" s="24">
        <f t="shared" si="3"/>
        <v>0.6</v>
      </c>
      <c r="AU39" s="24">
        <f t="shared" si="3"/>
        <v>0</v>
      </c>
      <c r="AV39" s="25">
        <f t="shared" si="3"/>
        <v>0</v>
      </c>
      <c r="AW39" s="25">
        <f t="shared" si="3"/>
        <v>0</v>
      </c>
      <c r="AX39" s="24">
        <f t="shared" si="3"/>
        <v>0</v>
      </c>
      <c r="AY39" s="25">
        <f t="shared" si="3"/>
        <v>0</v>
      </c>
      <c r="AZ39" s="24">
        <f t="shared" si="3"/>
        <v>0.4</v>
      </c>
      <c r="BA39" s="24">
        <f>AO39</f>
        <v>1</v>
      </c>
      <c r="BC39" s="21" t="str">
        <f>AS39</f>
        <v>Target Allocation</v>
      </c>
      <c r="BD39" s="24">
        <f>AT39</f>
        <v>0.6</v>
      </c>
      <c r="BE39" s="24">
        <f t="shared" si="4"/>
        <v>0</v>
      </c>
      <c r="BF39" s="25">
        <f t="shared" si="4"/>
        <v>0</v>
      </c>
      <c r="BG39" s="25">
        <f t="shared" si="4"/>
        <v>0</v>
      </c>
      <c r="BH39" s="24">
        <f t="shared" si="4"/>
        <v>0</v>
      </c>
      <c r="BI39" s="25">
        <f t="shared" si="4"/>
        <v>0</v>
      </c>
      <c r="BJ39" s="24">
        <f t="shared" si="4"/>
        <v>0.4</v>
      </c>
      <c r="BK39" s="24">
        <f t="shared" si="4"/>
        <v>1</v>
      </c>
      <c r="BL39" s="2"/>
    </row>
    <row r="40" spans="1:65" x14ac:dyDescent="0.2">
      <c r="A40">
        <f t="shared" ref="A40:A64" si="6">A4</f>
        <v>1989</v>
      </c>
      <c r="B40" s="2">
        <f>B39*(1+(B4/100))</f>
        <v>78816</v>
      </c>
      <c r="C40" s="2">
        <f>C39*(1+(C4/100))</f>
        <v>0</v>
      </c>
      <c r="D40" s="2"/>
      <c r="E40" s="2"/>
      <c r="F40" s="2">
        <f>F39*(1+(F4/100))</f>
        <v>0</v>
      </c>
      <c r="G40" s="2"/>
      <c r="H40" s="2">
        <f>H39*(1+(H4/100))</f>
        <v>45456</v>
      </c>
      <c r="I40" s="2">
        <f>SUM(B40:H40)</f>
        <v>124272</v>
      </c>
      <c r="J40" s="2">
        <f>I40-I39</f>
        <v>24272</v>
      </c>
      <c r="K40" s="6">
        <f>(J40/I39)</f>
        <v>0.24271999999999999</v>
      </c>
      <c r="L40" s="7">
        <f>K40+1</f>
        <v>1.24272</v>
      </c>
      <c r="N40">
        <f>A40</f>
        <v>1989</v>
      </c>
      <c r="O40" s="2">
        <f>I40*0.045</f>
        <v>5592.24</v>
      </c>
      <c r="P40" s="2">
        <f>O40*0.6</f>
        <v>3355.3439999999996</v>
      </c>
      <c r="Q40" s="2">
        <f>O40*0.4</f>
        <v>2236.8960000000002</v>
      </c>
      <c r="R40">
        <f>A40</f>
        <v>1989</v>
      </c>
      <c r="S40" s="2">
        <f>B40-(O40*0.6)</f>
        <v>75460.656000000003</v>
      </c>
      <c r="T40" s="2"/>
      <c r="U40" s="2"/>
      <c r="V40" s="2"/>
      <c r="W40" s="2"/>
      <c r="X40" s="2"/>
      <c r="Y40" s="2">
        <f>H40-(O40*0.4)</f>
        <v>43219.103999999999</v>
      </c>
      <c r="Z40" s="2">
        <f>SUM(S40:Y40)</f>
        <v>118679.76000000001</v>
      </c>
      <c r="AA40" s="2">
        <f>Z40-Z39</f>
        <v>18679.760000000009</v>
      </c>
      <c r="AB40" s="6">
        <f>(AA40/Z39)</f>
        <v>0.18679760000000009</v>
      </c>
      <c r="AC40" s="7">
        <f>AB40+1</f>
        <v>1.1867976</v>
      </c>
      <c r="AD40" s="2">
        <f>Z40-(I40-O40)</f>
        <v>0</v>
      </c>
      <c r="AE40" s="2"/>
      <c r="AG40">
        <f>A40</f>
        <v>1989</v>
      </c>
      <c r="AH40" s="6">
        <f t="shared" si="5"/>
        <v>0.63583424840090674</v>
      </c>
      <c r="AI40" s="6">
        <f t="shared" si="5"/>
        <v>0</v>
      </c>
      <c r="AJ40" s="7"/>
      <c r="AK40" s="7"/>
      <c r="AL40" s="6">
        <f>W40/$Z40</f>
        <v>0</v>
      </c>
      <c r="AM40" s="7"/>
      <c r="AN40" s="6">
        <f>Y40/$Z40</f>
        <v>0.3641657515990932</v>
      </c>
      <c r="AO40" s="6">
        <f>SUM(AH40:AN40)</f>
        <v>1</v>
      </c>
      <c r="AP40" s="7">
        <f>SUM(AH40:AM40)</f>
        <v>0.63583424840090674</v>
      </c>
      <c r="AQ40" s="7">
        <f>AO40-(AP40+AN40)</f>
        <v>0</v>
      </c>
      <c r="AR40" s="24"/>
      <c r="AS40">
        <f>AG40</f>
        <v>1989</v>
      </c>
      <c r="AT40" s="1" t="b">
        <f>AND((S40/$Z40)&gt;0.15,(S40/$Z40)&lt;0.25)</f>
        <v>0</v>
      </c>
      <c r="AU40" s="1" t="b">
        <f>AND((T40/$Z40)&gt;0.25,(T40/$Z40)&lt;0.35)</f>
        <v>0</v>
      </c>
      <c r="AX40" s="1" t="b">
        <f t="shared" ref="AX40:AX48" si="7">AND((W40/$Z40)&gt;0.15,(W40/$Z40)&lt;0.25)</f>
        <v>0</v>
      </c>
      <c r="AZ40" s="1" t="b">
        <f>AND((Y40/$Z40)&gt;0.25,(Y40/$Z40)&lt;0.35)</f>
        <v>0</v>
      </c>
      <c r="BA40" s="1" t="b">
        <f>AND((Z40/$Z40)&gt;0.999,(Z40/$Z40)&lt;1.01)</f>
        <v>1</v>
      </c>
      <c r="BC40">
        <f>AS40</f>
        <v>1989</v>
      </c>
      <c r="BD40" s="2">
        <f t="shared" ref="BD40:BE50" si="8">$BK40*BD$39</f>
        <v>71207.856</v>
      </c>
      <c r="BE40" s="2">
        <f t="shared" si="8"/>
        <v>0</v>
      </c>
      <c r="BF40" s="2"/>
      <c r="BG40" s="2"/>
      <c r="BH40" s="2">
        <f t="shared" ref="BH40:BH48" si="9">$BK40*BH$39</f>
        <v>0</v>
      </c>
      <c r="BI40" s="2"/>
      <c r="BJ40" s="2">
        <f t="shared" ref="BJ40:BJ64" si="10">$BK40*BJ$39</f>
        <v>47471.90400000001</v>
      </c>
      <c r="BK40" s="2">
        <f>Z40</f>
        <v>118679.76000000001</v>
      </c>
      <c r="BL40" s="2">
        <f>SUM(BD40:BJ40)-Z40</f>
        <v>0</v>
      </c>
      <c r="BM40" s="2"/>
    </row>
    <row r="41" spans="1:65" x14ac:dyDescent="0.2">
      <c r="A41">
        <f t="shared" si="6"/>
        <v>1990</v>
      </c>
      <c r="B41" s="2">
        <f t="shared" ref="B41:C56" si="11">BD40*(1+(B5/100))</f>
        <v>68843.755180799999</v>
      </c>
      <c r="C41" s="2">
        <f t="shared" si="11"/>
        <v>0</v>
      </c>
      <c r="D41" s="2"/>
      <c r="E41" s="2"/>
      <c r="F41" s="2">
        <f t="shared" ref="F41:F48" si="12">BH40*(1+(F5/100))</f>
        <v>0</v>
      </c>
      <c r="G41" s="2"/>
      <c r="H41" s="2">
        <f t="shared" ref="H41:H64" si="13">BJ40*(1+(H5/100))</f>
        <v>51578.223696000008</v>
      </c>
      <c r="I41" s="2">
        <f>SUM(B41:H41)</f>
        <v>120421.97887680001</v>
      </c>
      <c r="J41" s="2">
        <f t="shared" ref="J41:J64" si="14">I41-I40</f>
        <v>-3850.0211231999856</v>
      </c>
      <c r="K41" s="6">
        <f t="shared" ref="K41:K64" si="15">(J41/I40)</f>
        <v>-3.0980599999999883E-2</v>
      </c>
      <c r="L41" s="7">
        <f t="shared" ref="L41:L64" si="16">K41+1</f>
        <v>0.96901940000000009</v>
      </c>
      <c r="N41">
        <f t="shared" ref="N41:N64" si="17">A41</f>
        <v>1990</v>
      </c>
      <c r="O41" s="2">
        <f t="shared" ref="O41:O64" si="18">O40*(1+O5)</f>
        <v>5944.5511199999992</v>
      </c>
      <c r="P41" s="2"/>
      <c r="Q41" s="2">
        <f>Q40+P40</f>
        <v>5592.24</v>
      </c>
      <c r="R41">
        <f t="shared" ref="R41:R64" si="19">A41</f>
        <v>1990</v>
      </c>
      <c r="S41" s="2">
        <f t="shared" ref="S41:S64" si="20">B41-(O41*0.6)</f>
        <v>65277.024508800001</v>
      </c>
      <c r="T41" s="2"/>
      <c r="U41" s="2"/>
      <c r="V41" s="2"/>
      <c r="W41" s="2"/>
      <c r="X41" s="2"/>
      <c r="Y41" s="2">
        <f t="shared" ref="Y41:Y64" si="21">H41-(O41*0.4)</f>
        <v>49200.40324800001</v>
      </c>
      <c r="Z41" s="2">
        <f t="shared" ref="Z41:Z64" si="22">SUM(S41:Y41)</f>
        <v>114477.42775680001</v>
      </c>
      <c r="AA41" s="2">
        <f t="shared" ref="AA41:AA55" si="23">Z41-Z40</f>
        <v>-4202.3322431999986</v>
      </c>
      <c r="AB41" s="6">
        <f t="shared" ref="AB41:AB55" si="24">(AA41/Z40)</f>
        <v>-3.540900523560208E-2</v>
      </c>
      <c r="AC41" s="7">
        <f t="shared" ref="AC41:AC64" si="25">AB41+1</f>
        <v>0.96459099476439791</v>
      </c>
      <c r="AD41" s="2">
        <f t="shared" ref="AD41:AD64" si="26">Z41-(I41-O41)</f>
        <v>0</v>
      </c>
      <c r="AE41" s="2"/>
      <c r="AG41">
        <f t="shared" ref="AG41:AG64" si="27">A41</f>
        <v>1990</v>
      </c>
      <c r="AH41" s="6">
        <f t="shared" si="5"/>
        <v>0.57021742877973181</v>
      </c>
      <c r="AI41" s="6">
        <f t="shared" si="5"/>
        <v>0</v>
      </c>
      <c r="AJ41" s="7"/>
      <c r="AK41" s="7"/>
      <c r="AL41" s="6">
        <f t="shared" ref="AL41:AM56" si="28">W41/$Z41</f>
        <v>0</v>
      </c>
      <c r="AM41" s="7"/>
      <c r="AN41" s="6">
        <f t="shared" ref="AN41:AN64" si="29">Y41/$Z41</f>
        <v>0.42978257122026819</v>
      </c>
      <c r="AO41" s="6">
        <f t="shared" ref="AO41:AO64" si="30">SUM(AH41:AN41)</f>
        <v>1</v>
      </c>
      <c r="AP41" s="7">
        <f t="shared" ref="AP41:AP64" si="31">SUM(AH41:AM41)</f>
        <v>0.57021742877973181</v>
      </c>
      <c r="AQ41" s="7">
        <f t="shared" ref="AQ41:AQ64" si="32">AO41-(AP41+AN41)</f>
        <v>0</v>
      </c>
      <c r="AR41" s="24"/>
      <c r="AS41">
        <f t="shared" ref="AS41:AS64" si="33">AG41</f>
        <v>1990</v>
      </c>
      <c r="AT41" s="1" t="b">
        <f t="shared" ref="AT41:AT64" si="34">AND((S41/$Z41)&gt;0.15,(S41/$Z41)&lt;0.25)</f>
        <v>0</v>
      </c>
      <c r="AU41" s="1" t="b">
        <f t="shared" ref="AU41:AU50" si="35">AND((T41/$Z41)&gt;0.25,(T41/$Z41)&lt;0.35)</f>
        <v>0</v>
      </c>
      <c r="AX41" s="1" t="b">
        <f t="shared" si="7"/>
        <v>0</v>
      </c>
      <c r="AZ41" s="1" t="b">
        <f t="shared" ref="AZ41:AZ64" si="36">AND((Y41/$Z41)&gt;0.25,(Y41/$Z41)&lt;0.35)</f>
        <v>0</v>
      </c>
      <c r="BA41" s="1" t="b">
        <f t="shared" ref="BA41:BA64" si="37">AND((Z41/$Z41)&gt;0.999,(Z41/$Z41)&lt;1.01)</f>
        <v>1</v>
      </c>
      <c r="BC41">
        <f t="shared" ref="BC41:BC64" si="38">AS41</f>
        <v>1990</v>
      </c>
      <c r="BD41" s="2">
        <f t="shared" si="8"/>
        <v>68686.456654080001</v>
      </c>
      <c r="BE41" s="2">
        <f t="shared" si="8"/>
        <v>0</v>
      </c>
      <c r="BF41" s="2"/>
      <c r="BG41" s="2"/>
      <c r="BH41" s="2">
        <f t="shared" si="9"/>
        <v>0</v>
      </c>
      <c r="BI41" s="2"/>
      <c r="BJ41" s="2">
        <f t="shared" si="10"/>
        <v>45790.97110272001</v>
      </c>
      <c r="BK41" s="2">
        <f t="shared" ref="BK41:BK64" si="39">Z41</f>
        <v>114477.42775680001</v>
      </c>
      <c r="BL41" s="2">
        <f t="shared" ref="BL41:BL64" si="40">SUM(BD41:BJ41)-Z41</f>
        <v>0</v>
      </c>
      <c r="BM41" s="2"/>
    </row>
    <row r="42" spans="1:65" x14ac:dyDescent="0.2">
      <c r="A42">
        <f t="shared" si="6"/>
        <v>1991</v>
      </c>
      <c r="B42" s="2">
        <f t="shared" si="11"/>
        <v>89443.503854942974</v>
      </c>
      <c r="C42" s="2">
        <f t="shared" si="11"/>
        <v>0</v>
      </c>
      <c r="D42" s="2"/>
      <c r="E42" s="2"/>
      <c r="F42" s="2">
        <f t="shared" si="12"/>
        <v>0</v>
      </c>
      <c r="G42" s="2"/>
      <c r="H42" s="2">
        <f t="shared" si="13"/>
        <v>52774.094195884813</v>
      </c>
      <c r="I42" s="2">
        <f t="shared" ref="I42:I64" si="41">SUM(B42:H42)</f>
        <v>142217.5980508278</v>
      </c>
      <c r="J42" s="2">
        <f t="shared" si="14"/>
        <v>21795.619174027786</v>
      </c>
      <c r="K42" s="6">
        <f t="shared" si="15"/>
        <v>0.18099369714166719</v>
      </c>
      <c r="L42" s="7">
        <f t="shared" si="16"/>
        <v>1.1809936971416672</v>
      </c>
      <c r="N42">
        <f t="shared" si="17"/>
        <v>1991</v>
      </c>
      <c r="O42" s="2">
        <f t="shared" si="18"/>
        <v>6122.8876535999989</v>
      </c>
      <c r="P42" s="2"/>
      <c r="Q42" s="2"/>
      <c r="R42">
        <f t="shared" si="19"/>
        <v>1991</v>
      </c>
      <c r="S42" s="2">
        <f t="shared" si="20"/>
        <v>85769.771262782975</v>
      </c>
      <c r="T42" s="2"/>
      <c r="U42" s="2"/>
      <c r="V42" s="2"/>
      <c r="W42" s="2"/>
      <c r="X42" s="2"/>
      <c r="Y42" s="2">
        <f t="shared" si="21"/>
        <v>50324.939134444816</v>
      </c>
      <c r="Z42" s="2">
        <f t="shared" si="22"/>
        <v>136094.71039722778</v>
      </c>
      <c r="AA42" s="2">
        <f t="shared" si="23"/>
        <v>21617.282640427773</v>
      </c>
      <c r="AB42" s="6">
        <f t="shared" si="24"/>
        <v>0.18883445465207613</v>
      </c>
      <c r="AC42" s="7">
        <f t="shared" si="25"/>
        <v>1.1888344546520762</v>
      </c>
      <c r="AD42" s="2">
        <f t="shared" si="26"/>
        <v>0</v>
      </c>
      <c r="AE42" s="2"/>
      <c r="AG42">
        <f t="shared" si="27"/>
        <v>1991</v>
      </c>
      <c r="AH42" s="6">
        <f t="shared" si="5"/>
        <v>0.63022119678598532</v>
      </c>
      <c r="AI42" s="6">
        <f t="shared" si="5"/>
        <v>0</v>
      </c>
      <c r="AJ42" s="7"/>
      <c r="AK42" s="7"/>
      <c r="AL42" s="6">
        <f t="shared" si="28"/>
        <v>0</v>
      </c>
      <c r="AM42" s="7"/>
      <c r="AN42" s="6">
        <f t="shared" si="29"/>
        <v>0.36977880321401474</v>
      </c>
      <c r="AO42" s="6">
        <f t="shared" si="30"/>
        <v>1</v>
      </c>
      <c r="AP42" s="7">
        <f t="shared" si="31"/>
        <v>0.63022119678598532</v>
      </c>
      <c r="AQ42" s="7">
        <f t="shared" si="32"/>
        <v>0</v>
      </c>
      <c r="AR42" s="24"/>
      <c r="AS42">
        <f t="shared" si="33"/>
        <v>1991</v>
      </c>
      <c r="AT42" s="1" t="b">
        <f t="shared" si="34"/>
        <v>0</v>
      </c>
      <c r="AU42" s="1" t="b">
        <f t="shared" si="35"/>
        <v>0</v>
      </c>
      <c r="AX42" s="1" t="b">
        <f t="shared" si="7"/>
        <v>0</v>
      </c>
      <c r="AZ42" s="1" t="b">
        <f t="shared" si="36"/>
        <v>0</v>
      </c>
      <c r="BA42" s="1" t="b">
        <f t="shared" si="37"/>
        <v>1</v>
      </c>
      <c r="BC42">
        <f t="shared" si="38"/>
        <v>1991</v>
      </c>
      <c r="BD42" s="2">
        <f t="shared" si="8"/>
        <v>81656.826238336667</v>
      </c>
      <c r="BE42" s="2">
        <f t="shared" si="8"/>
        <v>0</v>
      </c>
      <c r="BF42" s="2"/>
      <c r="BG42" s="2"/>
      <c r="BH42" s="2">
        <f t="shared" si="9"/>
        <v>0</v>
      </c>
      <c r="BI42" s="2"/>
      <c r="BJ42" s="2">
        <f t="shared" si="10"/>
        <v>54437.884158891116</v>
      </c>
      <c r="BK42" s="2">
        <f t="shared" si="39"/>
        <v>136094.71039722778</v>
      </c>
      <c r="BL42" s="2">
        <f t="shared" si="40"/>
        <v>0</v>
      </c>
      <c r="BM42" s="2"/>
    </row>
    <row r="43" spans="1:65" x14ac:dyDescent="0.2">
      <c r="A43">
        <f t="shared" si="6"/>
        <v>1992</v>
      </c>
      <c r="B43" s="2">
        <f t="shared" si="11"/>
        <v>87715.762745221247</v>
      </c>
      <c r="C43" s="2">
        <f t="shared" si="11"/>
        <v>0</v>
      </c>
      <c r="D43" s="2"/>
      <c r="E43" s="2"/>
      <c r="F43" s="2">
        <f t="shared" si="12"/>
        <v>0</v>
      </c>
      <c r="G43" s="2"/>
      <c r="H43" s="2">
        <f t="shared" si="13"/>
        <v>58324.749087835939</v>
      </c>
      <c r="I43" s="2">
        <f t="shared" si="41"/>
        <v>146040.51183305719</v>
      </c>
      <c r="J43" s="2">
        <f t="shared" si="14"/>
        <v>3822.9137822293851</v>
      </c>
      <c r="K43" s="6">
        <f t="shared" si="15"/>
        <v>2.6880736523641022E-2</v>
      </c>
      <c r="L43" s="7">
        <f t="shared" si="16"/>
        <v>1.026880736523641</v>
      </c>
      <c r="N43">
        <f t="shared" si="17"/>
        <v>1992</v>
      </c>
      <c r="O43" s="2">
        <f t="shared" si="18"/>
        <v>6306.5742832079986</v>
      </c>
      <c r="P43" s="2"/>
      <c r="Q43" s="2"/>
      <c r="R43">
        <f t="shared" si="19"/>
        <v>1992</v>
      </c>
      <c r="S43" s="2">
        <f t="shared" si="20"/>
        <v>83931.818175296445</v>
      </c>
      <c r="T43" s="2"/>
      <c r="U43" s="2"/>
      <c r="V43" s="2"/>
      <c r="W43" s="2"/>
      <c r="X43" s="2"/>
      <c r="Y43" s="2">
        <f t="shared" si="21"/>
        <v>55802.119374552742</v>
      </c>
      <c r="Z43" s="2">
        <f t="shared" si="22"/>
        <v>139733.93754984919</v>
      </c>
      <c r="AA43" s="2">
        <f t="shared" si="23"/>
        <v>3639.2271526214026</v>
      </c>
      <c r="AB43" s="6">
        <f t="shared" si="24"/>
        <v>2.6740401166212648E-2</v>
      </c>
      <c r="AC43" s="7">
        <f t="shared" si="25"/>
        <v>1.0267404011662127</v>
      </c>
      <c r="AD43" s="2">
        <f t="shared" si="26"/>
        <v>0</v>
      </c>
      <c r="AE43" s="2"/>
      <c r="AG43">
        <f t="shared" si="27"/>
        <v>1992</v>
      </c>
      <c r="AH43" s="6">
        <f t="shared" si="5"/>
        <v>0.60065449844891339</v>
      </c>
      <c r="AI43" s="6">
        <f t="shared" si="5"/>
        <v>0</v>
      </c>
      <c r="AJ43" s="7"/>
      <c r="AK43" s="7"/>
      <c r="AL43" s="6">
        <f t="shared" si="28"/>
        <v>0</v>
      </c>
      <c r="AM43" s="7"/>
      <c r="AN43" s="6">
        <f t="shared" si="29"/>
        <v>0.39934550155108661</v>
      </c>
      <c r="AO43" s="6">
        <f t="shared" si="30"/>
        <v>1</v>
      </c>
      <c r="AP43" s="7">
        <f t="shared" si="31"/>
        <v>0.60065449844891339</v>
      </c>
      <c r="AQ43" s="7">
        <f t="shared" si="32"/>
        <v>0</v>
      </c>
      <c r="AR43" s="24"/>
      <c r="AS43">
        <f t="shared" si="33"/>
        <v>1992</v>
      </c>
      <c r="AT43" s="1" t="b">
        <f t="shared" si="34"/>
        <v>0</v>
      </c>
      <c r="AU43" s="1" t="b">
        <f t="shared" si="35"/>
        <v>0</v>
      </c>
      <c r="AX43" s="1" t="b">
        <f t="shared" si="7"/>
        <v>0</v>
      </c>
      <c r="AZ43" s="1" t="b">
        <f t="shared" si="36"/>
        <v>0</v>
      </c>
      <c r="BA43" s="1" t="b">
        <f t="shared" si="37"/>
        <v>1</v>
      </c>
      <c r="BC43">
        <f t="shared" si="38"/>
        <v>1992</v>
      </c>
      <c r="BD43" s="2">
        <f t="shared" si="8"/>
        <v>83840.362529909515</v>
      </c>
      <c r="BE43" s="2">
        <f t="shared" si="8"/>
        <v>0</v>
      </c>
      <c r="BF43" s="2"/>
      <c r="BG43" s="2"/>
      <c r="BH43" s="2">
        <f t="shared" si="9"/>
        <v>0</v>
      </c>
      <c r="BI43" s="2"/>
      <c r="BJ43" s="2">
        <f t="shared" si="10"/>
        <v>55893.575019939679</v>
      </c>
      <c r="BK43" s="2">
        <f t="shared" si="39"/>
        <v>139733.93754984919</v>
      </c>
      <c r="BL43" s="2">
        <f t="shared" si="40"/>
        <v>0</v>
      </c>
      <c r="BM43" s="2"/>
    </row>
    <row r="44" spans="1:65" x14ac:dyDescent="0.2">
      <c r="A44">
        <f t="shared" si="6"/>
        <v>1993</v>
      </c>
      <c r="B44" s="2">
        <f t="shared" si="11"/>
        <v>92132.174384117563</v>
      </c>
      <c r="C44" s="2">
        <f t="shared" si="11"/>
        <v>0</v>
      </c>
      <c r="D44" s="2"/>
      <c r="E44" s="2"/>
      <c r="F44" s="2">
        <f t="shared" si="12"/>
        <v>0</v>
      </c>
      <c r="G44" s="2"/>
      <c r="H44" s="2">
        <f t="shared" si="13"/>
        <v>61304.073081869843</v>
      </c>
      <c r="I44" s="2">
        <f t="shared" si="41"/>
        <v>153436.2474659874</v>
      </c>
      <c r="J44" s="2">
        <f t="shared" si="14"/>
        <v>7395.7356329302129</v>
      </c>
      <c r="K44" s="6">
        <f t="shared" si="15"/>
        <v>5.064167154785431E-2</v>
      </c>
      <c r="L44" s="7">
        <f t="shared" si="16"/>
        <v>1.0506416715478544</v>
      </c>
      <c r="N44">
        <f t="shared" si="17"/>
        <v>1993</v>
      </c>
      <c r="O44" s="2">
        <f t="shared" si="18"/>
        <v>6483.1583631378226</v>
      </c>
      <c r="P44" s="2"/>
      <c r="Q44" s="2"/>
      <c r="R44">
        <f t="shared" si="19"/>
        <v>1993</v>
      </c>
      <c r="S44" s="2">
        <f t="shared" si="20"/>
        <v>88242.27936623487</v>
      </c>
      <c r="T44" s="2"/>
      <c r="U44" s="2"/>
      <c r="V44" s="2"/>
      <c r="W44" s="2"/>
      <c r="X44" s="2"/>
      <c r="Y44" s="2">
        <f t="shared" si="21"/>
        <v>58710.809736614712</v>
      </c>
      <c r="Z44" s="2">
        <f t="shared" si="22"/>
        <v>146953.0891028496</v>
      </c>
      <c r="AA44" s="2">
        <f t="shared" si="23"/>
        <v>7219.1515530004108</v>
      </c>
      <c r="AB44" s="6">
        <f t="shared" si="24"/>
        <v>5.1663552030264834E-2</v>
      </c>
      <c r="AC44" s="7">
        <f t="shared" si="25"/>
        <v>1.0516635520302648</v>
      </c>
      <c r="AD44" s="2">
        <f t="shared" si="26"/>
        <v>0</v>
      </c>
      <c r="AE44" s="2"/>
      <c r="AG44">
        <f t="shared" si="27"/>
        <v>1993</v>
      </c>
      <c r="AH44" s="6">
        <f t="shared" si="5"/>
        <v>0.60047924072202263</v>
      </c>
      <c r="AI44" s="38">
        <f t="shared" si="5"/>
        <v>0</v>
      </c>
      <c r="AJ44" s="7"/>
      <c r="AK44" s="7"/>
      <c r="AL44" s="38">
        <f t="shared" si="28"/>
        <v>0</v>
      </c>
      <c r="AM44" s="7"/>
      <c r="AN44" s="6">
        <f t="shared" si="29"/>
        <v>0.3995207592779772</v>
      </c>
      <c r="AO44" s="6">
        <f t="shared" si="30"/>
        <v>0.99999999999999978</v>
      </c>
      <c r="AP44" s="7">
        <f t="shared" si="31"/>
        <v>0.60047924072202263</v>
      </c>
      <c r="AQ44" s="7">
        <f t="shared" si="32"/>
        <v>0</v>
      </c>
      <c r="AR44" s="24"/>
      <c r="AS44">
        <f t="shared" si="33"/>
        <v>1993</v>
      </c>
      <c r="AT44" s="1" t="b">
        <f t="shared" si="34"/>
        <v>0</v>
      </c>
      <c r="AU44" s="1" t="b">
        <f t="shared" si="35"/>
        <v>0</v>
      </c>
      <c r="AV44" s="1"/>
      <c r="AW44" s="1"/>
      <c r="AX44" s="1" t="b">
        <f t="shared" si="7"/>
        <v>0</v>
      </c>
      <c r="AY44" s="1"/>
      <c r="AZ44" s="1" t="b">
        <f t="shared" si="36"/>
        <v>0</v>
      </c>
      <c r="BA44" s="1" t="b">
        <f t="shared" si="37"/>
        <v>1</v>
      </c>
      <c r="BC44">
        <f t="shared" si="38"/>
        <v>1993</v>
      </c>
      <c r="BD44" s="2">
        <f t="shared" si="8"/>
        <v>88171.853461709761</v>
      </c>
      <c r="BE44" s="2">
        <f t="shared" si="8"/>
        <v>0</v>
      </c>
      <c r="BF44" s="2"/>
      <c r="BG44" s="2"/>
      <c r="BH44" s="2">
        <f t="shared" si="9"/>
        <v>0</v>
      </c>
      <c r="BI44" s="2"/>
      <c r="BJ44" s="2">
        <f t="shared" si="10"/>
        <v>58781.235641139843</v>
      </c>
      <c r="BK44" s="2">
        <f t="shared" si="39"/>
        <v>146953.0891028496</v>
      </c>
      <c r="BL44" s="2">
        <f t="shared" si="40"/>
        <v>0</v>
      </c>
      <c r="BM44" s="2"/>
    </row>
    <row r="45" spans="1:65" x14ac:dyDescent="0.2">
      <c r="A45">
        <f t="shared" si="6"/>
        <v>1994</v>
      </c>
      <c r="B45" s="2">
        <f t="shared" si="11"/>
        <v>89212.281332557934</v>
      </c>
      <c r="C45" s="2">
        <f t="shared" si="11"/>
        <v>0</v>
      </c>
      <c r="D45" s="2"/>
      <c r="E45" s="2"/>
      <c r="F45" s="2">
        <f t="shared" si="12"/>
        <v>0</v>
      </c>
      <c r="G45" s="2"/>
      <c r="H45" s="2">
        <f t="shared" si="13"/>
        <v>57217.654773085524</v>
      </c>
      <c r="I45" s="2">
        <f t="shared" si="41"/>
        <v>146429.93610564346</v>
      </c>
      <c r="J45" s="2">
        <f t="shared" si="14"/>
        <v>-7006.3113603439415</v>
      </c>
      <c r="K45" s="6">
        <f t="shared" si="15"/>
        <v>-4.5662687116335067E-2</v>
      </c>
      <c r="L45" s="7">
        <f t="shared" si="16"/>
        <v>0.95433731288366497</v>
      </c>
      <c r="N45">
        <f t="shared" si="17"/>
        <v>1994</v>
      </c>
      <c r="O45" s="2">
        <f t="shared" si="18"/>
        <v>6651.7204805794063</v>
      </c>
      <c r="P45" s="2"/>
      <c r="Q45" s="2"/>
      <c r="R45">
        <f t="shared" si="19"/>
        <v>1994</v>
      </c>
      <c r="S45" s="2">
        <f t="shared" si="20"/>
        <v>85221.249044210286</v>
      </c>
      <c r="T45" s="2"/>
      <c r="U45" s="2"/>
      <c r="V45" s="2"/>
      <c r="W45" s="2"/>
      <c r="X45" s="2"/>
      <c r="Y45" s="2">
        <f t="shared" si="21"/>
        <v>54556.966580853761</v>
      </c>
      <c r="Z45" s="2">
        <f t="shared" si="22"/>
        <v>139778.21562506404</v>
      </c>
      <c r="AA45" s="2">
        <f t="shared" si="23"/>
        <v>-7174.873477785557</v>
      </c>
      <c r="AB45" s="6">
        <f t="shared" si="24"/>
        <v>-4.8824243992339644E-2</v>
      </c>
      <c r="AC45" s="7">
        <f t="shared" si="25"/>
        <v>0.95117575600766036</v>
      </c>
      <c r="AD45" s="2">
        <f t="shared" si="26"/>
        <v>0</v>
      </c>
      <c r="AE45" s="2"/>
      <c r="AG45">
        <f t="shared" si="27"/>
        <v>1994</v>
      </c>
      <c r="AH45" s="6">
        <f t="shared" si="5"/>
        <v>0.60968906108234089</v>
      </c>
      <c r="AI45" s="6">
        <f t="shared" si="5"/>
        <v>0</v>
      </c>
      <c r="AJ45" s="7"/>
      <c r="AK45" s="7"/>
      <c r="AL45" s="6">
        <f t="shared" si="28"/>
        <v>0</v>
      </c>
      <c r="AM45" s="7"/>
      <c r="AN45" s="6">
        <f t="shared" si="29"/>
        <v>0.39031093891765917</v>
      </c>
      <c r="AO45" s="6">
        <f t="shared" si="30"/>
        <v>1</v>
      </c>
      <c r="AP45" s="7">
        <f t="shared" si="31"/>
        <v>0.60968906108234089</v>
      </c>
      <c r="AQ45" s="7">
        <f t="shared" si="32"/>
        <v>0</v>
      </c>
      <c r="AR45" s="24"/>
      <c r="AS45">
        <f t="shared" si="33"/>
        <v>1994</v>
      </c>
      <c r="AT45" s="1" t="b">
        <f t="shared" si="34"/>
        <v>0</v>
      </c>
      <c r="AU45" s="1" t="b">
        <f t="shared" si="35"/>
        <v>0</v>
      </c>
      <c r="AV45" s="1"/>
      <c r="AW45" s="1"/>
      <c r="AX45" s="1" t="b">
        <f t="shared" si="7"/>
        <v>0</v>
      </c>
      <c r="AY45" s="1"/>
      <c r="AZ45" s="1" t="b">
        <f t="shared" si="36"/>
        <v>0</v>
      </c>
      <c r="BA45" s="1" t="b">
        <f t="shared" si="37"/>
        <v>1</v>
      </c>
      <c r="BC45">
        <f t="shared" si="38"/>
        <v>1994</v>
      </c>
      <c r="BD45" s="2">
        <f t="shared" si="8"/>
        <v>83866.929375038424</v>
      </c>
      <c r="BE45" s="2">
        <f t="shared" si="8"/>
        <v>0</v>
      </c>
      <c r="BF45" s="2"/>
      <c r="BG45" s="2"/>
      <c r="BH45" s="2">
        <f t="shared" si="9"/>
        <v>0</v>
      </c>
      <c r="BI45" s="2"/>
      <c r="BJ45" s="2">
        <f t="shared" si="10"/>
        <v>55911.286250025616</v>
      </c>
      <c r="BK45" s="2">
        <f t="shared" si="39"/>
        <v>139778.21562506404</v>
      </c>
      <c r="BL45" s="2">
        <f t="shared" si="40"/>
        <v>0</v>
      </c>
      <c r="BM45" s="2"/>
    </row>
    <row r="46" spans="1:65" x14ac:dyDescent="0.2">
      <c r="A46">
        <f t="shared" si="6"/>
        <v>1995</v>
      </c>
      <c r="B46" s="2">
        <f t="shared" si="11"/>
        <v>115275.09442599032</v>
      </c>
      <c r="C46" s="2">
        <f t="shared" si="11"/>
        <v>0</v>
      </c>
      <c r="D46" s="2"/>
      <c r="E46" s="2"/>
      <c r="F46" s="2">
        <f t="shared" si="12"/>
        <v>0</v>
      </c>
      <c r="G46" s="2"/>
      <c r="H46" s="2">
        <f t="shared" si="13"/>
        <v>66075.95809028027</v>
      </c>
      <c r="I46" s="2">
        <f t="shared" si="41"/>
        <v>181351.0525162706</v>
      </c>
      <c r="J46" s="2">
        <f t="shared" si="14"/>
        <v>34921.116410627146</v>
      </c>
      <c r="K46" s="6">
        <f t="shared" si="15"/>
        <v>0.23848345044303598</v>
      </c>
      <c r="L46" s="7">
        <f t="shared" si="16"/>
        <v>1.238483450443036</v>
      </c>
      <c r="N46">
        <f t="shared" si="17"/>
        <v>1995</v>
      </c>
      <c r="O46" s="2">
        <f t="shared" si="18"/>
        <v>6818.013492593891</v>
      </c>
      <c r="P46" s="2"/>
      <c r="Q46" s="2"/>
      <c r="R46">
        <f t="shared" si="19"/>
        <v>1995</v>
      </c>
      <c r="S46" s="2">
        <f t="shared" si="20"/>
        <v>111184.28633043398</v>
      </c>
      <c r="T46" s="2"/>
      <c r="U46" s="2"/>
      <c r="V46" s="2"/>
      <c r="W46" s="2"/>
      <c r="X46" s="2"/>
      <c r="Y46" s="2">
        <f t="shared" si="21"/>
        <v>63348.752693242714</v>
      </c>
      <c r="Z46" s="2">
        <f t="shared" si="22"/>
        <v>174533.03902367671</v>
      </c>
      <c r="AA46" s="2">
        <f t="shared" si="23"/>
        <v>34754.823398612672</v>
      </c>
      <c r="AB46" s="6">
        <f t="shared" si="24"/>
        <v>0.24864263178060403</v>
      </c>
      <c r="AC46" s="7">
        <f t="shared" si="25"/>
        <v>1.2486426317806041</v>
      </c>
      <c r="AD46" s="2">
        <f t="shared" si="26"/>
        <v>0</v>
      </c>
      <c r="AE46" s="2"/>
      <c r="AG46">
        <f t="shared" si="27"/>
        <v>1995</v>
      </c>
      <c r="AH46" s="6">
        <f t="shared" si="5"/>
        <v>0.63703862003658229</v>
      </c>
      <c r="AI46" s="6">
        <f t="shared" si="5"/>
        <v>0</v>
      </c>
      <c r="AJ46" s="7"/>
      <c r="AK46" s="7"/>
      <c r="AL46" s="6">
        <f t="shared" si="28"/>
        <v>0</v>
      </c>
      <c r="AM46" s="7"/>
      <c r="AN46" s="6">
        <f t="shared" si="29"/>
        <v>0.3629613799634176</v>
      </c>
      <c r="AO46" s="6">
        <f t="shared" si="30"/>
        <v>0.99999999999999989</v>
      </c>
      <c r="AP46" s="7">
        <f t="shared" si="31"/>
        <v>0.63703862003658229</v>
      </c>
      <c r="AQ46" s="7">
        <f t="shared" si="32"/>
        <v>0</v>
      </c>
      <c r="AR46" s="24"/>
      <c r="AS46">
        <f t="shared" si="33"/>
        <v>1995</v>
      </c>
      <c r="AT46" s="1" t="b">
        <f t="shared" si="34"/>
        <v>0</v>
      </c>
      <c r="AU46" s="1" t="b">
        <f t="shared" si="35"/>
        <v>0</v>
      </c>
      <c r="AV46" s="1"/>
      <c r="AW46" s="1"/>
      <c r="AX46" s="1" t="b">
        <f t="shared" si="7"/>
        <v>0</v>
      </c>
      <c r="AY46" s="1"/>
      <c r="AZ46" s="1" t="b">
        <f t="shared" si="36"/>
        <v>0</v>
      </c>
      <c r="BA46" s="1" t="b">
        <f t="shared" si="37"/>
        <v>1</v>
      </c>
      <c r="BC46">
        <f t="shared" si="38"/>
        <v>1995</v>
      </c>
      <c r="BD46" s="2">
        <f t="shared" si="8"/>
        <v>104719.82341420602</v>
      </c>
      <c r="BE46" s="2">
        <f t="shared" si="8"/>
        <v>0</v>
      </c>
      <c r="BF46" s="2"/>
      <c r="BG46" s="2"/>
      <c r="BH46" s="2">
        <f t="shared" si="9"/>
        <v>0</v>
      </c>
      <c r="BI46" s="2"/>
      <c r="BJ46" s="2">
        <f t="shared" si="10"/>
        <v>69813.215609470688</v>
      </c>
      <c r="BK46" s="2">
        <f t="shared" si="39"/>
        <v>174533.03902367671</v>
      </c>
      <c r="BL46" s="2">
        <f t="shared" si="40"/>
        <v>0</v>
      </c>
      <c r="BM46" s="2"/>
    </row>
    <row r="47" spans="1:65" x14ac:dyDescent="0.2">
      <c r="A47">
        <f t="shared" si="6"/>
        <v>1996</v>
      </c>
      <c r="B47" s="2">
        <f t="shared" si="11"/>
        <v>128679.71901137638</v>
      </c>
      <c r="C47" s="2">
        <f t="shared" si="11"/>
        <v>0</v>
      </c>
      <c r="D47" s="2"/>
      <c r="E47" s="2"/>
      <c r="F47" s="2">
        <f t="shared" si="12"/>
        <v>0</v>
      </c>
      <c r="G47" s="2"/>
      <c r="H47" s="2">
        <f t="shared" si="13"/>
        <v>72312.528728289748</v>
      </c>
      <c r="I47" s="2">
        <f t="shared" si="41"/>
        <v>200992.24773966614</v>
      </c>
      <c r="J47" s="2">
        <f t="shared" si="14"/>
        <v>19641.195223395538</v>
      </c>
      <c r="K47" s="6">
        <f t="shared" si="15"/>
        <v>0.10830483171104481</v>
      </c>
      <c r="L47" s="7">
        <f t="shared" si="16"/>
        <v>1.1083048317110449</v>
      </c>
      <c r="N47">
        <f t="shared" si="17"/>
        <v>1996</v>
      </c>
      <c r="O47" s="2">
        <f t="shared" si="18"/>
        <v>7049.8259513420835</v>
      </c>
      <c r="P47" s="2"/>
      <c r="Q47" s="2"/>
      <c r="R47">
        <f t="shared" si="19"/>
        <v>1996</v>
      </c>
      <c r="S47" s="2">
        <f t="shared" si="20"/>
        <v>124449.82344057113</v>
      </c>
      <c r="T47" s="2"/>
      <c r="U47" s="2"/>
      <c r="V47" s="2"/>
      <c r="W47" s="2"/>
      <c r="X47" s="2"/>
      <c r="Y47" s="2">
        <f t="shared" si="21"/>
        <v>69492.598347752908</v>
      </c>
      <c r="Z47" s="2">
        <f t="shared" si="22"/>
        <v>193942.42178832402</v>
      </c>
      <c r="AA47" s="2">
        <f t="shared" si="23"/>
        <v>19409.382764647307</v>
      </c>
      <c r="AB47" s="6">
        <f t="shared" si="24"/>
        <v>0.11120749901120028</v>
      </c>
      <c r="AC47" s="7">
        <f t="shared" si="25"/>
        <v>1.1112074990112002</v>
      </c>
      <c r="AD47" s="2">
        <f t="shared" si="26"/>
        <v>0</v>
      </c>
      <c r="AE47" s="2"/>
      <c r="AG47">
        <f t="shared" si="27"/>
        <v>1996</v>
      </c>
      <c r="AH47" s="6">
        <f t="shared" si="5"/>
        <v>0.64168438391679106</v>
      </c>
      <c r="AI47" s="6">
        <f t="shared" si="5"/>
        <v>0</v>
      </c>
      <c r="AJ47" s="7"/>
      <c r="AK47" s="7"/>
      <c r="AL47" s="6">
        <f t="shared" si="28"/>
        <v>0</v>
      </c>
      <c r="AM47" s="7"/>
      <c r="AN47" s="6">
        <f t="shared" si="29"/>
        <v>0.35831561608320905</v>
      </c>
      <c r="AO47" s="6">
        <f t="shared" si="30"/>
        <v>1</v>
      </c>
      <c r="AP47" s="7">
        <f t="shared" si="31"/>
        <v>0.64168438391679106</v>
      </c>
      <c r="AQ47" s="7">
        <f t="shared" si="32"/>
        <v>0</v>
      </c>
      <c r="AR47" s="24"/>
      <c r="AS47">
        <f t="shared" si="33"/>
        <v>1996</v>
      </c>
      <c r="AT47" s="1" t="b">
        <f t="shared" si="34"/>
        <v>0</v>
      </c>
      <c r="AU47" s="1" t="b">
        <f t="shared" si="35"/>
        <v>0</v>
      </c>
      <c r="AV47" s="1"/>
      <c r="AW47" s="1"/>
      <c r="AX47" s="1" t="b">
        <f t="shared" si="7"/>
        <v>0</v>
      </c>
      <c r="AY47" s="1"/>
      <c r="AZ47" s="1" t="b">
        <f t="shared" si="36"/>
        <v>0</v>
      </c>
      <c r="BA47" s="1" t="b">
        <f t="shared" si="37"/>
        <v>1</v>
      </c>
      <c r="BC47">
        <f t="shared" si="38"/>
        <v>1996</v>
      </c>
      <c r="BD47" s="2">
        <f t="shared" si="8"/>
        <v>116365.45307299441</v>
      </c>
      <c r="BE47" s="2">
        <f t="shared" si="8"/>
        <v>0</v>
      </c>
      <c r="BF47" s="2"/>
      <c r="BG47" s="2"/>
      <c r="BH47" s="2">
        <f t="shared" si="9"/>
        <v>0</v>
      </c>
      <c r="BI47" s="2"/>
      <c r="BJ47" s="2">
        <f t="shared" si="10"/>
        <v>77576.968715329611</v>
      </c>
      <c r="BK47" s="2">
        <f t="shared" si="39"/>
        <v>193942.42178832402</v>
      </c>
      <c r="BL47" s="2">
        <f t="shared" si="40"/>
        <v>0</v>
      </c>
      <c r="BM47" s="2"/>
    </row>
    <row r="48" spans="1:65" x14ac:dyDescent="0.2">
      <c r="A48">
        <f t="shared" si="6"/>
        <v>1997</v>
      </c>
      <c r="B48" s="2">
        <f t="shared" si="11"/>
        <v>154987.14694792125</v>
      </c>
      <c r="C48" s="2">
        <f t="shared" si="11"/>
        <v>0</v>
      </c>
      <c r="D48" s="2"/>
      <c r="E48" s="2"/>
      <c r="F48" s="2">
        <f t="shared" si="12"/>
        <v>0</v>
      </c>
      <c r="G48" s="2"/>
      <c r="H48" s="2">
        <f t="shared" si="13"/>
        <v>84900.234562056736</v>
      </c>
      <c r="I48" s="2">
        <f t="shared" si="41"/>
        <v>239887.38150997797</v>
      </c>
      <c r="J48" s="2">
        <f t="shared" si="14"/>
        <v>38895.133770311833</v>
      </c>
      <c r="K48" s="6">
        <f t="shared" si="15"/>
        <v>0.19351559180874725</v>
      </c>
      <c r="L48" s="7">
        <f t="shared" si="16"/>
        <v>1.1935155918087472</v>
      </c>
      <c r="N48">
        <f t="shared" si="17"/>
        <v>1997</v>
      </c>
      <c r="O48" s="2">
        <f t="shared" si="18"/>
        <v>7169.6729925148984</v>
      </c>
      <c r="P48" s="2"/>
      <c r="Q48" s="2"/>
      <c r="R48">
        <f t="shared" si="19"/>
        <v>1997</v>
      </c>
      <c r="S48" s="2">
        <f t="shared" si="20"/>
        <v>150685.34315241233</v>
      </c>
      <c r="T48" s="2"/>
      <c r="U48" s="2"/>
      <c r="V48" s="2"/>
      <c r="W48" s="2"/>
      <c r="X48" s="2"/>
      <c r="Y48" s="2">
        <f t="shared" si="21"/>
        <v>82032.365365050777</v>
      </c>
      <c r="Z48" s="2">
        <f t="shared" si="22"/>
        <v>232717.70851746312</v>
      </c>
      <c r="AA48" s="2">
        <f t="shared" si="23"/>
        <v>38775.286729139101</v>
      </c>
      <c r="AB48" s="6">
        <f t="shared" si="24"/>
        <v>0.19993195079032217</v>
      </c>
      <c r="AC48" s="7">
        <f t="shared" si="25"/>
        <v>1.1999319507903221</v>
      </c>
      <c r="AD48" s="2">
        <f t="shared" si="26"/>
        <v>0</v>
      </c>
      <c r="AE48" s="2"/>
      <c r="AG48">
        <f t="shared" si="27"/>
        <v>1997</v>
      </c>
      <c r="AH48" s="6">
        <f t="shared" si="5"/>
        <v>0.64750269376730696</v>
      </c>
      <c r="AI48" s="6">
        <f t="shared" si="5"/>
        <v>0</v>
      </c>
      <c r="AJ48" s="7"/>
      <c r="AK48" s="7"/>
      <c r="AL48" s="6">
        <f t="shared" si="28"/>
        <v>0</v>
      </c>
      <c r="AM48" s="6"/>
      <c r="AN48" s="38">
        <f t="shared" si="29"/>
        <v>0.35249730623269299</v>
      </c>
      <c r="AO48" s="6">
        <f t="shared" si="30"/>
        <v>1</v>
      </c>
      <c r="AP48" s="7">
        <f t="shared" si="31"/>
        <v>0.64750269376730696</v>
      </c>
      <c r="AQ48" s="7">
        <f t="shared" si="32"/>
        <v>0</v>
      </c>
      <c r="AR48" s="24"/>
      <c r="AS48">
        <f t="shared" si="33"/>
        <v>1997</v>
      </c>
      <c r="AT48" s="1" t="b">
        <f t="shared" si="34"/>
        <v>0</v>
      </c>
      <c r="AU48" s="1" t="b">
        <f t="shared" si="35"/>
        <v>0</v>
      </c>
      <c r="AV48" s="1"/>
      <c r="AW48" s="1"/>
      <c r="AX48" s="1" t="b">
        <f t="shared" si="7"/>
        <v>0</v>
      </c>
      <c r="AY48" s="1"/>
      <c r="AZ48" s="1" t="b">
        <f t="shared" si="36"/>
        <v>0</v>
      </c>
      <c r="BA48" s="1" t="b">
        <f t="shared" si="37"/>
        <v>1</v>
      </c>
      <c r="BC48">
        <f t="shared" si="38"/>
        <v>1997</v>
      </c>
      <c r="BD48" s="2">
        <f t="shared" si="8"/>
        <v>139630.62511047788</v>
      </c>
      <c r="BE48" s="2">
        <f t="shared" si="8"/>
        <v>0</v>
      </c>
      <c r="BF48" s="2"/>
      <c r="BG48" s="2"/>
      <c r="BH48" s="2">
        <f t="shared" si="9"/>
        <v>0</v>
      </c>
      <c r="BI48" s="2"/>
      <c r="BJ48" s="2">
        <f t="shared" si="10"/>
        <v>93087.083406985257</v>
      </c>
      <c r="BK48" s="2">
        <f t="shared" si="39"/>
        <v>232717.70851746312</v>
      </c>
      <c r="BL48" s="2">
        <f t="shared" si="40"/>
        <v>0</v>
      </c>
      <c r="BM48" s="2"/>
    </row>
    <row r="49" spans="1:65" x14ac:dyDescent="0.2">
      <c r="A49">
        <f t="shared" si="6"/>
        <v>1998</v>
      </c>
      <c r="B49" s="2">
        <f t="shared" si="11"/>
        <v>179648.76226714085</v>
      </c>
      <c r="C49" s="2">
        <f t="shared" si="11"/>
        <v>0</v>
      </c>
      <c r="D49" s="2"/>
      <c r="E49" s="2"/>
      <c r="F49" s="2"/>
      <c r="G49" s="2">
        <f>BH48*(1+(G13/100))</f>
        <v>0</v>
      </c>
      <c r="H49" s="2">
        <f t="shared" si="13"/>
        <v>101073.95516330461</v>
      </c>
      <c r="I49" s="2">
        <f t="shared" si="41"/>
        <v>280722.71743044548</v>
      </c>
      <c r="J49" s="2">
        <f t="shared" si="14"/>
        <v>40835.335920467507</v>
      </c>
      <c r="K49" s="6">
        <f t="shared" si="15"/>
        <v>0.17022711100278939</v>
      </c>
      <c r="L49" s="7">
        <f t="shared" si="16"/>
        <v>1.1702271110027893</v>
      </c>
      <c r="N49">
        <f t="shared" si="17"/>
        <v>1998</v>
      </c>
      <c r="O49" s="2">
        <f t="shared" si="18"/>
        <v>7284.3877603951369</v>
      </c>
      <c r="P49" s="2"/>
      <c r="Q49" s="2"/>
      <c r="R49">
        <f t="shared" si="19"/>
        <v>1998</v>
      </c>
      <c r="S49" s="2">
        <f t="shared" si="20"/>
        <v>175278.12961090376</v>
      </c>
      <c r="T49" s="2"/>
      <c r="U49" s="2"/>
      <c r="V49" s="2"/>
      <c r="W49" s="2"/>
      <c r="X49" s="2"/>
      <c r="Y49" s="2">
        <f t="shared" si="21"/>
        <v>98160.200059146548</v>
      </c>
      <c r="Z49" s="2">
        <f t="shared" si="22"/>
        <v>273438.3296700503</v>
      </c>
      <c r="AA49" s="2">
        <f t="shared" si="23"/>
        <v>40720.621152587177</v>
      </c>
      <c r="AB49" s="6">
        <f t="shared" si="24"/>
        <v>0.1749786099734284</v>
      </c>
      <c r="AC49" s="7">
        <f t="shared" si="25"/>
        <v>1.1749786099734285</v>
      </c>
      <c r="AD49" s="2">
        <f t="shared" si="26"/>
        <v>0</v>
      </c>
      <c r="AE49" s="2"/>
      <c r="AG49">
        <f t="shared" si="27"/>
        <v>1998</v>
      </c>
      <c r="AH49" s="6">
        <f t="shared" si="5"/>
        <v>0.64101521473747491</v>
      </c>
      <c r="AI49" s="6">
        <f t="shared" si="5"/>
        <v>0</v>
      </c>
      <c r="AJ49" s="7"/>
      <c r="AK49" s="7"/>
      <c r="AL49" s="6"/>
      <c r="AM49" s="6">
        <f t="shared" si="28"/>
        <v>0</v>
      </c>
      <c r="AN49" s="6">
        <f t="shared" si="29"/>
        <v>0.35898478526252509</v>
      </c>
      <c r="AO49" s="6">
        <f t="shared" si="30"/>
        <v>1</v>
      </c>
      <c r="AP49" s="7">
        <f t="shared" si="31"/>
        <v>0.64101521473747491</v>
      </c>
      <c r="AQ49" s="7">
        <f t="shared" si="32"/>
        <v>0</v>
      </c>
      <c r="AR49" s="24"/>
      <c r="AS49">
        <f t="shared" si="33"/>
        <v>1998</v>
      </c>
      <c r="AT49" s="1" t="b">
        <f t="shared" si="34"/>
        <v>0</v>
      </c>
      <c r="AU49" s="1" t="b">
        <f t="shared" si="35"/>
        <v>0</v>
      </c>
      <c r="AV49" s="1"/>
      <c r="AW49" s="1"/>
      <c r="AX49" s="1"/>
      <c r="AY49" s="1" t="b">
        <f t="shared" ref="AY49:AY64" si="42">AND((X49/$Z49)&gt;0.15,(X49/$Z49)&lt;0.25)</f>
        <v>0</v>
      </c>
      <c r="AZ49" s="1" t="b">
        <f t="shared" si="36"/>
        <v>0</v>
      </c>
      <c r="BA49" s="1" t="b">
        <f t="shared" si="37"/>
        <v>1</v>
      </c>
      <c r="BC49">
        <f t="shared" si="38"/>
        <v>1998</v>
      </c>
      <c r="BD49" s="2">
        <f t="shared" si="8"/>
        <v>164062.99780203018</v>
      </c>
      <c r="BE49" s="2">
        <f t="shared" si="8"/>
        <v>0</v>
      </c>
      <c r="BF49" s="2"/>
      <c r="BG49" s="2"/>
      <c r="BH49" s="2"/>
      <c r="BI49" s="2">
        <f>$BK49*BI$39</f>
        <v>0</v>
      </c>
      <c r="BJ49" s="2">
        <f t="shared" si="10"/>
        <v>109375.33186802012</v>
      </c>
      <c r="BK49" s="2">
        <f t="shared" si="39"/>
        <v>273438.3296700503</v>
      </c>
      <c r="BL49" s="2">
        <f t="shared" si="40"/>
        <v>0</v>
      </c>
      <c r="BM49" s="2"/>
    </row>
    <row r="50" spans="1:65" x14ac:dyDescent="0.2">
      <c r="A50">
        <f t="shared" si="6"/>
        <v>1999</v>
      </c>
      <c r="B50" s="2">
        <f t="shared" si="11"/>
        <v>198631.07143891795</v>
      </c>
      <c r="C50" s="2">
        <f t="shared" si="11"/>
        <v>0</v>
      </c>
      <c r="D50" s="2"/>
      <c r="E50" s="2"/>
      <c r="F50" s="2"/>
      <c r="G50" s="2">
        <f t="shared" ref="G50:G64" si="43">BI49*(1+(G14/100))</f>
        <v>0</v>
      </c>
      <c r="H50" s="2">
        <f t="shared" si="13"/>
        <v>108544.07934582316</v>
      </c>
      <c r="I50" s="2">
        <f t="shared" si="41"/>
        <v>307175.1507847411</v>
      </c>
      <c r="J50" s="2">
        <f t="shared" si="14"/>
        <v>26452.433354295616</v>
      </c>
      <c r="K50" s="6">
        <f t="shared" si="15"/>
        <v>9.4229756666735456E-2</v>
      </c>
      <c r="L50" s="7">
        <f t="shared" si="16"/>
        <v>1.0942297566667354</v>
      </c>
      <c r="N50">
        <f t="shared" si="17"/>
        <v>1999</v>
      </c>
      <c r="O50" s="2">
        <f t="shared" si="18"/>
        <v>7481.0662299258047</v>
      </c>
      <c r="P50" s="2"/>
      <c r="Q50" s="2"/>
      <c r="R50">
        <f t="shared" si="19"/>
        <v>1999</v>
      </c>
      <c r="S50" s="2">
        <f t="shared" si="20"/>
        <v>194142.43170096248</v>
      </c>
      <c r="T50" s="2"/>
      <c r="U50" s="2"/>
      <c r="V50" s="2"/>
      <c r="W50" s="2"/>
      <c r="X50" s="2"/>
      <c r="Y50" s="2">
        <f t="shared" si="21"/>
        <v>105551.65285385284</v>
      </c>
      <c r="Z50" s="2">
        <f t="shared" si="22"/>
        <v>299694.08455481532</v>
      </c>
      <c r="AA50" s="2">
        <f t="shared" si="23"/>
        <v>26255.754884765018</v>
      </c>
      <c r="AB50" s="6">
        <f t="shared" si="24"/>
        <v>9.6020755087434295E-2</v>
      </c>
      <c r="AC50" s="7">
        <f t="shared" si="25"/>
        <v>1.0960207550874344</v>
      </c>
      <c r="AD50" s="2">
        <f t="shared" si="26"/>
        <v>0</v>
      </c>
      <c r="AE50" s="2"/>
      <c r="AG50">
        <f t="shared" si="27"/>
        <v>1999</v>
      </c>
      <c r="AH50" s="38">
        <f t="shared" si="5"/>
        <v>0.64780201447537411</v>
      </c>
      <c r="AI50" s="6">
        <f t="shared" si="5"/>
        <v>0</v>
      </c>
      <c r="AJ50" s="7"/>
      <c r="AK50" s="7"/>
      <c r="AL50" s="7"/>
      <c r="AM50" s="6">
        <f t="shared" si="28"/>
        <v>0</v>
      </c>
      <c r="AN50" s="6">
        <f t="shared" si="29"/>
        <v>0.35219798552462583</v>
      </c>
      <c r="AO50" s="6">
        <f t="shared" si="30"/>
        <v>1</v>
      </c>
      <c r="AP50" s="7">
        <f t="shared" si="31"/>
        <v>0.64780201447537411</v>
      </c>
      <c r="AQ50" s="7">
        <f t="shared" si="32"/>
        <v>0</v>
      </c>
      <c r="AR50" s="24"/>
      <c r="AS50">
        <f t="shared" si="33"/>
        <v>1999</v>
      </c>
      <c r="AT50" s="1" t="b">
        <f t="shared" si="34"/>
        <v>0</v>
      </c>
      <c r="AU50" s="1" t="b">
        <f t="shared" si="35"/>
        <v>0</v>
      </c>
      <c r="AV50" s="1"/>
      <c r="AW50" s="1"/>
      <c r="AX50" s="1"/>
      <c r="AY50" s="1" t="b">
        <f t="shared" si="42"/>
        <v>0</v>
      </c>
      <c r="AZ50" s="1" t="b">
        <f t="shared" si="36"/>
        <v>0</v>
      </c>
      <c r="BA50" s="1" t="b">
        <f t="shared" si="37"/>
        <v>1</v>
      </c>
      <c r="BC50">
        <f t="shared" si="38"/>
        <v>1999</v>
      </c>
      <c r="BD50" s="2">
        <f t="shared" si="8"/>
        <v>179816.45073288918</v>
      </c>
      <c r="BE50" s="2">
        <f t="shared" si="8"/>
        <v>0</v>
      </c>
      <c r="BF50" s="2"/>
      <c r="BG50" s="2"/>
      <c r="BH50" s="2"/>
      <c r="BI50" s="2">
        <f>$BK50*BI$39</f>
        <v>0</v>
      </c>
      <c r="BJ50" s="2">
        <f t="shared" si="10"/>
        <v>119877.63382192614</v>
      </c>
      <c r="BK50" s="2">
        <f t="shared" si="39"/>
        <v>299694.08455481532</v>
      </c>
      <c r="BL50" s="2">
        <f t="shared" si="40"/>
        <v>0</v>
      </c>
      <c r="BM50" s="2"/>
    </row>
    <row r="51" spans="1:65" x14ac:dyDescent="0.2">
      <c r="A51">
        <f t="shared" si="6"/>
        <v>2000</v>
      </c>
      <c r="B51" s="2">
        <f t="shared" si="11"/>
        <v>163525.08029648941</v>
      </c>
      <c r="C51" s="2"/>
      <c r="D51" s="2">
        <f>($BE50*0.67)*(1+(D15/100))</f>
        <v>0</v>
      </c>
      <c r="E51" s="2">
        <f>($BE50*0.33)*(1+(E15/100))</f>
        <v>0</v>
      </c>
      <c r="F51" s="2"/>
      <c r="G51" s="2">
        <f t="shared" si="43"/>
        <v>0</v>
      </c>
      <c r="H51" s="2">
        <f t="shared" si="13"/>
        <v>133531.69631424354</v>
      </c>
      <c r="I51" s="2">
        <f t="shared" si="41"/>
        <v>297056.77661073295</v>
      </c>
      <c r="J51" s="2">
        <f t="shared" si="14"/>
        <v>-10118.374174008146</v>
      </c>
      <c r="K51" s="6">
        <f t="shared" si="15"/>
        <v>-3.2940080433455345E-2</v>
      </c>
      <c r="L51" s="7">
        <f t="shared" si="16"/>
        <v>0.96705991956654469</v>
      </c>
      <c r="N51">
        <f t="shared" si="17"/>
        <v>2000</v>
      </c>
      <c r="O51" s="2">
        <f t="shared" si="18"/>
        <v>7735.4224817432823</v>
      </c>
      <c r="P51" s="2"/>
      <c r="Q51" s="2"/>
      <c r="R51">
        <f t="shared" si="19"/>
        <v>2000</v>
      </c>
      <c r="S51" s="2">
        <f t="shared" si="20"/>
        <v>158883.82680744343</v>
      </c>
      <c r="T51" s="2"/>
      <c r="U51" s="2"/>
      <c r="V51" s="2"/>
      <c r="W51" s="2"/>
      <c r="X51" s="2"/>
      <c r="Y51" s="2">
        <f t="shared" si="21"/>
        <v>130437.52732154622</v>
      </c>
      <c r="Z51" s="2">
        <f t="shared" si="22"/>
        <v>289321.35412898962</v>
      </c>
      <c r="AA51" s="2">
        <f t="shared" si="23"/>
        <v>-10372.730425825692</v>
      </c>
      <c r="AB51" s="6">
        <f t="shared" si="24"/>
        <v>-3.4611061613825329E-2</v>
      </c>
      <c r="AC51" s="7">
        <f t="shared" si="25"/>
        <v>0.96538893838617468</v>
      </c>
      <c r="AD51" s="2">
        <f t="shared" si="26"/>
        <v>0</v>
      </c>
      <c r="AE51" s="2"/>
      <c r="AG51">
        <f t="shared" si="27"/>
        <v>2000</v>
      </c>
      <c r="AH51" s="6">
        <f t="shared" si="5"/>
        <v>0.54916038702282388</v>
      </c>
      <c r="AI51" s="7"/>
      <c r="AJ51" s="6">
        <f t="shared" ref="AJ51:AK64" si="44">U51/$Z51</f>
        <v>0</v>
      </c>
      <c r="AK51" s="6">
        <f t="shared" si="44"/>
        <v>0</v>
      </c>
      <c r="AL51" s="7"/>
      <c r="AM51" s="6">
        <f t="shared" si="28"/>
        <v>0</v>
      </c>
      <c r="AN51" s="6">
        <f t="shared" si="29"/>
        <v>0.45083961297717623</v>
      </c>
      <c r="AO51" s="6">
        <f t="shared" si="30"/>
        <v>1</v>
      </c>
      <c r="AP51" s="7">
        <f t="shared" si="31"/>
        <v>0.54916038702282388</v>
      </c>
      <c r="AQ51" s="7">
        <f t="shared" si="32"/>
        <v>0</v>
      </c>
      <c r="AR51" s="24"/>
      <c r="AS51">
        <f t="shared" si="33"/>
        <v>2000</v>
      </c>
      <c r="AT51" s="1" t="b">
        <f t="shared" si="34"/>
        <v>0</v>
      </c>
      <c r="AU51" s="1"/>
      <c r="AV51" s="1" t="b">
        <f>AND((U51/$Z51)&gt;0.15,(U51/$Z51)&lt;0.25)</f>
        <v>0</v>
      </c>
      <c r="AW51" s="1" t="b">
        <f>AND((V51/$Z51)&gt;0.05,(V51/$Z51)&lt;0.15)</f>
        <v>0</v>
      </c>
      <c r="AX51" s="1"/>
      <c r="AY51" s="1" t="b">
        <f t="shared" si="42"/>
        <v>0</v>
      </c>
      <c r="AZ51" s="1" t="b">
        <f t="shared" si="36"/>
        <v>0</v>
      </c>
      <c r="BA51" s="1" t="b">
        <f t="shared" si="37"/>
        <v>1</v>
      </c>
      <c r="BC51">
        <f t="shared" si="38"/>
        <v>2000</v>
      </c>
      <c r="BD51" s="2">
        <f>$BK51*BD$39</f>
        <v>173592.81247739377</v>
      </c>
      <c r="BE51" s="2"/>
      <c r="BF51" s="2">
        <f t="shared" ref="BF51:BG64" si="45">$BK51*BF$39</f>
        <v>0</v>
      </c>
      <c r="BG51" s="2">
        <f t="shared" si="45"/>
        <v>0</v>
      </c>
      <c r="BH51" s="2"/>
      <c r="BI51" s="2">
        <f>$BK51*BI$39</f>
        <v>0</v>
      </c>
      <c r="BJ51" s="2">
        <f t="shared" si="10"/>
        <v>115728.54165159585</v>
      </c>
      <c r="BK51" s="2">
        <f t="shared" si="39"/>
        <v>289321.35412898962</v>
      </c>
      <c r="BL51" s="2">
        <f t="shared" si="40"/>
        <v>0</v>
      </c>
      <c r="BM51" s="2"/>
    </row>
    <row r="52" spans="1:65" x14ac:dyDescent="0.2">
      <c r="A52">
        <f t="shared" si="6"/>
        <v>2001</v>
      </c>
      <c r="B52" s="2">
        <f t="shared" si="11"/>
        <v>152726.95641761104</v>
      </c>
      <c r="C52" s="2"/>
      <c r="D52" s="2">
        <f t="shared" ref="D52:E64" si="46">BF51*(1+(D16/100))</f>
        <v>0</v>
      </c>
      <c r="E52" s="2">
        <f t="shared" si="46"/>
        <v>0</v>
      </c>
      <c r="F52" s="2"/>
      <c r="G52" s="2">
        <f t="shared" si="43"/>
        <v>0</v>
      </c>
      <c r="H52" s="2">
        <f t="shared" si="13"/>
        <v>125484.45771282539</v>
      </c>
      <c r="I52" s="2">
        <f t="shared" si="41"/>
        <v>278211.41413043643</v>
      </c>
      <c r="J52" s="2">
        <f t="shared" si="14"/>
        <v>-18845.362480296521</v>
      </c>
      <c r="K52" s="6">
        <f t="shared" si="15"/>
        <v>-6.3440271234719986E-2</v>
      </c>
      <c r="L52" s="7">
        <f t="shared" si="16"/>
        <v>0.93655972876528004</v>
      </c>
      <c r="N52">
        <f t="shared" si="17"/>
        <v>2001</v>
      </c>
      <c r="O52" s="2">
        <f t="shared" si="18"/>
        <v>7859.1892414511749</v>
      </c>
      <c r="P52" s="2"/>
      <c r="Q52" s="2"/>
      <c r="R52">
        <f t="shared" si="19"/>
        <v>2001</v>
      </c>
      <c r="S52" s="2">
        <f t="shared" si="20"/>
        <v>148011.44287274033</v>
      </c>
      <c r="T52" s="2"/>
      <c r="U52" s="2"/>
      <c r="V52" s="2"/>
      <c r="W52" s="2"/>
      <c r="X52" s="2"/>
      <c r="Y52" s="2">
        <f t="shared" si="21"/>
        <v>122340.78201624492</v>
      </c>
      <c r="Z52" s="2">
        <f t="shared" si="22"/>
        <v>270352.22488898528</v>
      </c>
      <c r="AA52" s="2">
        <f t="shared" si="23"/>
        <v>-18969.129240004346</v>
      </c>
      <c r="AB52" s="6">
        <f t="shared" si="24"/>
        <v>-6.556422113089945E-2</v>
      </c>
      <c r="AC52" s="7">
        <f t="shared" si="25"/>
        <v>0.93443577886910056</v>
      </c>
      <c r="AD52" s="2">
        <f t="shared" si="26"/>
        <v>0</v>
      </c>
      <c r="AE52" s="2"/>
      <c r="AG52">
        <f t="shared" si="27"/>
        <v>2001</v>
      </c>
      <c r="AH52" s="6">
        <f t="shared" si="5"/>
        <v>0.54747632623892128</v>
      </c>
      <c r="AI52" s="7"/>
      <c r="AJ52" s="6">
        <f t="shared" si="44"/>
        <v>0</v>
      </c>
      <c r="AK52" s="6">
        <f t="shared" si="44"/>
        <v>0</v>
      </c>
      <c r="AL52" s="7"/>
      <c r="AM52" s="6">
        <f t="shared" si="28"/>
        <v>0</v>
      </c>
      <c r="AN52" s="6">
        <f t="shared" si="29"/>
        <v>0.45252367376107855</v>
      </c>
      <c r="AO52" s="6">
        <f t="shared" si="30"/>
        <v>0.99999999999999978</v>
      </c>
      <c r="AP52" s="7">
        <f t="shared" si="31"/>
        <v>0.54747632623892128</v>
      </c>
      <c r="AQ52" s="7">
        <f t="shared" si="32"/>
        <v>0</v>
      </c>
      <c r="AR52" s="24"/>
      <c r="AS52">
        <f t="shared" si="33"/>
        <v>2001</v>
      </c>
      <c r="AT52" s="1" t="b">
        <f t="shared" si="34"/>
        <v>0</v>
      </c>
      <c r="AU52" s="1"/>
      <c r="AV52" s="1" t="b">
        <f t="shared" ref="AV52:AV64" si="47">AND((U52/$Z52)&gt;0.15,(U52/$Z52)&lt;0.25)</f>
        <v>0</v>
      </c>
      <c r="AW52" s="1" t="b">
        <f t="shared" ref="AW52:AW64" si="48">AND((V52/$Z52)&gt;0.05,(V52/$Z52)&lt;0.15)</f>
        <v>0</v>
      </c>
      <c r="AX52" s="1"/>
      <c r="AY52" s="1" t="b">
        <f t="shared" si="42"/>
        <v>0</v>
      </c>
      <c r="AZ52" s="1" t="b">
        <f t="shared" si="36"/>
        <v>0</v>
      </c>
      <c r="BA52" s="1" t="b">
        <f t="shared" si="37"/>
        <v>1</v>
      </c>
      <c r="BC52">
        <f t="shared" si="38"/>
        <v>2001</v>
      </c>
      <c r="BD52" s="2">
        <f>$BK52*BD$39</f>
        <v>162211.33493339116</v>
      </c>
      <c r="BE52" s="2"/>
      <c r="BF52" s="2">
        <f t="shared" si="45"/>
        <v>0</v>
      </c>
      <c r="BG52" s="2">
        <f t="shared" si="45"/>
        <v>0</v>
      </c>
      <c r="BH52" s="2"/>
      <c r="BI52" s="2">
        <f>$BK52*BI$39</f>
        <v>0</v>
      </c>
      <c r="BJ52" s="2">
        <f t="shared" si="10"/>
        <v>108140.88995559412</v>
      </c>
      <c r="BK52" s="2">
        <f t="shared" si="39"/>
        <v>270352.22488898528</v>
      </c>
      <c r="BL52" s="2">
        <f t="shared" si="40"/>
        <v>0</v>
      </c>
      <c r="BM52" s="2"/>
    </row>
    <row r="53" spans="1:65" x14ac:dyDescent="0.2">
      <c r="A53">
        <f t="shared" si="6"/>
        <v>2002</v>
      </c>
      <c r="B53" s="2">
        <f t="shared" si="11"/>
        <v>126281.52424564501</v>
      </c>
      <c r="C53" s="2"/>
      <c r="D53" s="2">
        <f t="shared" si="46"/>
        <v>0</v>
      </c>
      <c r="E53" s="2">
        <f t="shared" si="46"/>
        <v>0</v>
      </c>
      <c r="F53" s="2"/>
      <c r="G53" s="2">
        <f t="shared" si="43"/>
        <v>0</v>
      </c>
      <c r="H53" s="2">
        <f t="shared" si="13"/>
        <v>117073.3274659262</v>
      </c>
      <c r="I53" s="2">
        <f t="shared" si="41"/>
        <v>243354.85171157122</v>
      </c>
      <c r="J53" s="2">
        <f t="shared" si="14"/>
        <v>-34856.562418865215</v>
      </c>
      <c r="K53" s="6">
        <f t="shared" si="15"/>
        <v>-0.12528803869464208</v>
      </c>
      <c r="L53" s="7">
        <f t="shared" si="16"/>
        <v>0.87471196130535789</v>
      </c>
      <c r="N53">
        <f t="shared" si="17"/>
        <v>2002</v>
      </c>
      <c r="O53" s="2">
        <f t="shared" si="18"/>
        <v>8055.6689724874532</v>
      </c>
      <c r="P53" s="2"/>
      <c r="Q53" s="2"/>
      <c r="R53">
        <f t="shared" si="19"/>
        <v>2002</v>
      </c>
      <c r="S53" s="2">
        <f t="shared" si="20"/>
        <v>121448.12286215254</v>
      </c>
      <c r="T53" s="2"/>
      <c r="U53" s="2"/>
      <c r="V53" s="2"/>
      <c r="W53" s="2"/>
      <c r="X53" s="2"/>
      <c r="Y53" s="2">
        <f t="shared" si="21"/>
        <v>113851.05987693122</v>
      </c>
      <c r="Z53" s="2">
        <f t="shared" si="22"/>
        <v>235299.18273908377</v>
      </c>
      <c r="AA53" s="2">
        <f t="shared" si="23"/>
        <v>-35053.042149901506</v>
      </c>
      <c r="AB53" s="6">
        <f t="shared" si="24"/>
        <v>-0.12965693980989185</v>
      </c>
      <c r="AC53" s="7">
        <f t="shared" si="25"/>
        <v>0.8703430601901081</v>
      </c>
      <c r="AD53" s="2">
        <f t="shared" si="26"/>
        <v>0</v>
      </c>
      <c r="AE53" s="2"/>
      <c r="AG53">
        <f t="shared" si="27"/>
        <v>2002</v>
      </c>
      <c r="AH53" s="6">
        <f t="shared" si="5"/>
        <v>0.51614341133017339</v>
      </c>
      <c r="AI53" s="7"/>
      <c r="AJ53" s="6">
        <f t="shared" si="44"/>
        <v>0</v>
      </c>
      <c r="AK53" s="6">
        <f t="shared" si="44"/>
        <v>0</v>
      </c>
      <c r="AL53" s="7"/>
      <c r="AM53" s="6">
        <f t="shared" si="28"/>
        <v>0</v>
      </c>
      <c r="AN53" s="59">
        <f t="shared" si="29"/>
        <v>0.48385658866982661</v>
      </c>
      <c r="AO53" s="6">
        <f t="shared" si="30"/>
        <v>1</v>
      </c>
      <c r="AP53" s="7">
        <f t="shared" si="31"/>
        <v>0.51614341133017339</v>
      </c>
      <c r="AQ53" s="7">
        <f t="shared" si="32"/>
        <v>0</v>
      </c>
      <c r="AR53" s="24"/>
      <c r="AS53">
        <f t="shared" si="33"/>
        <v>2002</v>
      </c>
      <c r="AT53" s="1" t="b">
        <f t="shared" si="34"/>
        <v>0</v>
      </c>
      <c r="AU53" s="1"/>
      <c r="AV53" s="1" t="b">
        <f t="shared" si="47"/>
        <v>0</v>
      </c>
      <c r="AW53" s="1" t="b">
        <f t="shared" si="48"/>
        <v>0</v>
      </c>
      <c r="AX53" s="1"/>
      <c r="AY53" s="1" t="b">
        <f t="shared" si="42"/>
        <v>0</v>
      </c>
      <c r="AZ53" s="1" t="b">
        <f t="shared" si="36"/>
        <v>0</v>
      </c>
      <c r="BA53" s="1" t="b">
        <f t="shared" si="37"/>
        <v>1</v>
      </c>
      <c r="BC53">
        <f t="shared" si="38"/>
        <v>2002</v>
      </c>
      <c r="BD53" s="2">
        <f t="shared" ref="BD53:BD64" si="49">$BK53*BD$39</f>
        <v>141179.50964345026</v>
      </c>
      <c r="BE53" s="2"/>
      <c r="BF53" s="2">
        <f t="shared" si="45"/>
        <v>0</v>
      </c>
      <c r="BG53" s="2">
        <f t="shared" si="45"/>
        <v>0</v>
      </c>
      <c r="BH53" s="2"/>
      <c r="BI53" s="2">
        <f t="shared" ref="BI53:BI64" si="50">$BK53*BI$39</f>
        <v>0</v>
      </c>
      <c r="BJ53" s="2">
        <f t="shared" si="10"/>
        <v>94119.673095633509</v>
      </c>
      <c r="BK53" s="2">
        <f t="shared" si="39"/>
        <v>235299.18273908377</v>
      </c>
      <c r="BL53" s="2">
        <f t="shared" si="40"/>
        <v>0</v>
      </c>
      <c r="BM53" s="2"/>
    </row>
    <row r="54" spans="1:65" x14ac:dyDescent="0.2">
      <c r="A54">
        <f t="shared" si="6"/>
        <v>2003</v>
      </c>
      <c r="B54" s="2">
        <f t="shared" si="11"/>
        <v>181415.66989183359</v>
      </c>
      <c r="C54" s="2"/>
      <c r="D54" s="2">
        <f t="shared" si="46"/>
        <v>0</v>
      </c>
      <c r="E54" s="2">
        <f t="shared" si="46"/>
        <v>0</v>
      </c>
      <c r="F54" s="2"/>
      <c r="G54" s="2">
        <f t="shared" si="43"/>
        <v>0</v>
      </c>
      <c r="H54" s="2">
        <f t="shared" si="13"/>
        <v>97856.224117530161</v>
      </c>
      <c r="I54" s="2">
        <f t="shared" si="41"/>
        <v>279271.89400936372</v>
      </c>
      <c r="J54" s="2">
        <f t="shared" si="14"/>
        <v>35917.042297792505</v>
      </c>
      <c r="K54" s="6">
        <f t="shared" si="15"/>
        <v>0.14759123167333463</v>
      </c>
      <c r="L54" s="7">
        <f t="shared" si="16"/>
        <v>1.1475912316733345</v>
      </c>
      <c r="N54">
        <f t="shared" si="17"/>
        <v>2003</v>
      </c>
      <c r="O54" s="2">
        <f t="shared" si="18"/>
        <v>8216.7823519372032</v>
      </c>
      <c r="P54" s="2"/>
      <c r="Q54" s="2"/>
      <c r="R54">
        <f t="shared" si="19"/>
        <v>2003</v>
      </c>
      <c r="S54" s="2">
        <f t="shared" si="20"/>
        <v>176485.60048067127</v>
      </c>
      <c r="T54" s="2"/>
      <c r="U54" s="2"/>
      <c r="V54" s="2"/>
      <c r="W54" s="2"/>
      <c r="X54" s="2"/>
      <c r="Y54" s="2">
        <f t="shared" si="21"/>
        <v>94569.511176755273</v>
      </c>
      <c r="Z54" s="2">
        <f t="shared" si="22"/>
        <v>271055.11165742658</v>
      </c>
      <c r="AA54" s="2">
        <f t="shared" si="23"/>
        <v>35755.928918342805</v>
      </c>
      <c r="AB54" s="6">
        <f t="shared" si="24"/>
        <v>0.15195942672691509</v>
      </c>
      <c r="AC54" s="7">
        <f t="shared" si="25"/>
        <v>1.1519594267269151</v>
      </c>
      <c r="AD54" s="2">
        <f t="shared" si="26"/>
        <v>0</v>
      </c>
      <c r="AE54" s="2"/>
      <c r="AG54">
        <f t="shared" si="27"/>
        <v>2003</v>
      </c>
      <c r="AH54" s="6">
        <f t="shared" si="5"/>
        <v>0.65110596661140585</v>
      </c>
      <c r="AI54" s="7"/>
      <c r="AJ54" s="6">
        <f t="shared" si="44"/>
        <v>0</v>
      </c>
      <c r="AK54" s="6">
        <f t="shared" si="44"/>
        <v>0</v>
      </c>
      <c r="AL54" s="7"/>
      <c r="AM54" s="38">
        <f t="shared" si="28"/>
        <v>0</v>
      </c>
      <c r="AN54" s="38">
        <f t="shared" si="29"/>
        <v>0.34889403338859404</v>
      </c>
      <c r="AO54" s="6">
        <f t="shared" si="30"/>
        <v>0.99999999999999989</v>
      </c>
      <c r="AP54" s="7">
        <f t="shared" si="31"/>
        <v>0.65110596661140585</v>
      </c>
      <c r="AQ54" s="7">
        <f t="shared" si="32"/>
        <v>0</v>
      </c>
      <c r="AR54" s="24"/>
      <c r="AS54">
        <f t="shared" si="33"/>
        <v>2003</v>
      </c>
      <c r="AT54" s="1" t="b">
        <f t="shared" si="34"/>
        <v>0</v>
      </c>
      <c r="AU54" s="1"/>
      <c r="AV54" s="1" t="b">
        <f t="shared" si="47"/>
        <v>0</v>
      </c>
      <c r="AW54" s="1" t="b">
        <f t="shared" si="48"/>
        <v>0</v>
      </c>
      <c r="AX54" s="1"/>
      <c r="AY54" s="1" t="b">
        <f t="shared" si="42"/>
        <v>0</v>
      </c>
      <c r="AZ54" s="39" t="b">
        <f t="shared" si="36"/>
        <v>1</v>
      </c>
      <c r="BA54" s="1" t="b">
        <f t="shared" si="37"/>
        <v>1</v>
      </c>
      <c r="BC54">
        <f t="shared" si="38"/>
        <v>2003</v>
      </c>
      <c r="BD54" s="2">
        <f t="shared" si="49"/>
        <v>162633.06699445593</v>
      </c>
      <c r="BE54" s="2"/>
      <c r="BF54" s="2">
        <f t="shared" si="45"/>
        <v>0</v>
      </c>
      <c r="BG54" s="2">
        <f t="shared" si="45"/>
        <v>0</v>
      </c>
      <c r="BH54" s="2"/>
      <c r="BI54" s="2">
        <f t="shared" si="50"/>
        <v>0</v>
      </c>
      <c r="BJ54" s="2">
        <f t="shared" si="10"/>
        <v>108422.04466297064</v>
      </c>
      <c r="BK54" s="2">
        <f t="shared" si="39"/>
        <v>271055.11165742658</v>
      </c>
      <c r="BL54" s="2">
        <f t="shared" si="40"/>
        <v>0</v>
      </c>
      <c r="BM54" s="2"/>
    </row>
    <row r="55" spans="1:65" x14ac:dyDescent="0.2">
      <c r="A55">
        <f t="shared" si="6"/>
        <v>2004</v>
      </c>
      <c r="B55" s="2">
        <f t="shared" si="11"/>
        <v>180099.85838966048</v>
      </c>
      <c r="C55" s="2"/>
      <c r="D55" s="2">
        <f t="shared" si="46"/>
        <v>0</v>
      </c>
      <c r="E55" s="2">
        <f t="shared" si="46"/>
        <v>0</v>
      </c>
      <c r="F55" s="2"/>
      <c r="G55" s="2">
        <f t="shared" si="43"/>
        <v>0</v>
      </c>
      <c r="H55" s="2">
        <f t="shared" si="13"/>
        <v>113019.13935668059</v>
      </c>
      <c r="I55" s="2">
        <f t="shared" si="41"/>
        <v>293118.99774634105</v>
      </c>
      <c r="J55" s="2">
        <f t="shared" si="14"/>
        <v>13847.103736977326</v>
      </c>
      <c r="K55" s="6">
        <f t="shared" si="15"/>
        <v>4.9582876164806777E-2</v>
      </c>
      <c r="L55" s="7">
        <f t="shared" si="16"/>
        <v>1.0495828761648067</v>
      </c>
      <c r="N55">
        <f t="shared" si="17"/>
        <v>2004</v>
      </c>
      <c r="O55" s="2">
        <f t="shared" si="18"/>
        <v>8487.9361695511307</v>
      </c>
      <c r="P55" s="2"/>
      <c r="Q55" s="2"/>
      <c r="R55">
        <f t="shared" si="19"/>
        <v>2004</v>
      </c>
      <c r="S55" s="2">
        <f t="shared" si="20"/>
        <v>175007.09668792979</v>
      </c>
      <c r="T55" s="2"/>
      <c r="U55" s="2"/>
      <c r="V55" s="2"/>
      <c r="W55" s="2"/>
      <c r="X55" s="2"/>
      <c r="Y55" s="2">
        <f t="shared" si="21"/>
        <v>109623.96488886014</v>
      </c>
      <c r="Z55" s="2">
        <f t="shared" si="22"/>
        <v>284631.06157678994</v>
      </c>
      <c r="AA55" s="2">
        <f t="shared" si="23"/>
        <v>13575.949919363367</v>
      </c>
      <c r="AB55" s="6">
        <f t="shared" si="24"/>
        <v>5.0085570555560496E-2</v>
      </c>
      <c r="AC55" s="7">
        <f t="shared" si="25"/>
        <v>1.0500855705555605</v>
      </c>
      <c r="AD55" s="2">
        <f t="shared" si="26"/>
        <v>0</v>
      </c>
      <c r="AE55" s="2"/>
      <c r="AG55">
        <f t="shared" si="27"/>
        <v>2004</v>
      </c>
      <c r="AH55" s="6">
        <f t="shared" ref="AH55:AH64" si="51">S55/$Z55</f>
        <v>0.61485593216155376</v>
      </c>
      <c r="AI55" s="7"/>
      <c r="AJ55" s="6">
        <f t="shared" si="44"/>
        <v>0</v>
      </c>
      <c r="AK55" s="6">
        <f t="shared" si="44"/>
        <v>0</v>
      </c>
      <c r="AL55" s="7"/>
      <c r="AM55" s="6">
        <f t="shared" si="28"/>
        <v>0</v>
      </c>
      <c r="AN55" s="38">
        <f t="shared" si="29"/>
        <v>0.38514406783844618</v>
      </c>
      <c r="AO55" s="6">
        <f t="shared" si="30"/>
        <v>1</v>
      </c>
      <c r="AP55" s="7">
        <f t="shared" si="31"/>
        <v>0.61485593216155376</v>
      </c>
      <c r="AQ55" s="7">
        <f t="shared" si="32"/>
        <v>0</v>
      </c>
      <c r="AR55" s="24"/>
      <c r="AS55">
        <f t="shared" si="33"/>
        <v>2004</v>
      </c>
      <c r="AT55" s="1" t="b">
        <f t="shared" si="34"/>
        <v>0</v>
      </c>
      <c r="AV55" s="1" t="b">
        <f t="shared" si="47"/>
        <v>0</v>
      </c>
      <c r="AW55" s="1" t="b">
        <f t="shared" si="48"/>
        <v>0</v>
      </c>
      <c r="AY55" s="1" t="b">
        <f t="shared" si="42"/>
        <v>0</v>
      </c>
      <c r="AZ55" s="39" t="b">
        <f t="shared" si="36"/>
        <v>0</v>
      </c>
      <c r="BA55" s="1" t="b">
        <f t="shared" si="37"/>
        <v>1</v>
      </c>
      <c r="BC55">
        <f t="shared" si="38"/>
        <v>2004</v>
      </c>
      <c r="BD55" s="2">
        <f t="shared" si="49"/>
        <v>170778.63694607397</v>
      </c>
      <c r="BE55" s="2"/>
      <c r="BF55" s="2">
        <f t="shared" si="45"/>
        <v>0</v>
      </c>
      <c r="BG55" s="2">
        <f t="shared" si="45"/>
        <v>0</v>
      </c>
      <c r="BH55" s="2"/>
      <c r="BI55" s="2">
        <f t="shared" si="50"/>
        <v>0</v>
      </c>
      <c r="BJ55" s="2">
        <f t="shared" si="10"/>
        <v>113852.42463071598</v>
      </c>
      <c r="BK55" s="2">
        <f t="shared" si="39"/>
        <v>284631.06157678994</v>
      </c>
      <c r="BL55" s="2">
        <f t="shared" si="40"/>
        <v>0</v>
      </c>
      <c r="BM55" s="2"/>
    </row>
    <row r="56" spans="1:65" x14ac:dyDescent="0.2">
      <c r="A56">
        <f t="shared" si="6"/>
        <v>2005</v>
      </c>
      <c r="B56" s="2">
        <f t="shared" si="11"/>
        <v>178924.77792840172</v>
      </c>
      <c r="C56" s="2"/>
      <c r="D56" s="2">
        <f t="shared" si="46"/>
        <v>0</v>
      </c>
      <c r="E56" s="2">
        <f t="shared" si="46"/>
        <v>0</v>
      </c>
      <c r="F56" s="2"/>
      <c r="G56" s="2">
        <f t="shared" si="43"/>
        <v>0</v>
      </c>
      <c r="H56" s="2">
        <f t="shared" si="13"/>
        <v>116584.88282185316</v>
      </c>
      <c r="I56" s="2">
        <f t="shared" si="41"/>
        <v>295509.66075025487</v>
      </c>
      <c r="J56" s="2">
        <f>I56-I55</f>
        <v>2390.6630039138254</v>
      </c>
      <c r="K56" s="6">
        <f>(J56/I55)</f>
        <v>8.1559469781711472E-3</v>
      </c>
      <c r="L56" s="7">
        <f t="shared" si="16"/>
        <v>1.0081559469781711</v>
      </c>
      <c r="N56">
        <f t="shared" si="17"/>
        <v>2005</v>
      </c>
      <c r="O56" s="2">
        <f t="shared" si="18"/>
        <v>8768.0380631463177</v>
      </c>
      <c r="P56" s="2"/>
      <c r="Q56" s="2"/>
      <c r="R56">
        <f t="shared" si="19"/>
        <v>2005</v>
      </c>
      <c r="S56" s="2">
        <f t="shared" si="20"/>
        <v>173663.95509051392</v>
      </c>
      <c r="T56" s="2"/>
      <c r="U56" s="2"/>
      <c r="V56" s="2"/>
      <c r="W56" s="2"/>
      <c r="X56" s="2"/>
      <c r="Y56" s="2">
        <f t="shared" si="21"/>
        <v>113077.66759659463</v>
      </c>
      <c r="Z56" s="2">
        <f t="shared" si="22"/>
        <v>286741.62268710858</v>
      </c>
      <c r="AA56" s="2">
        <f>Z56-Z55</f>
        <v>2110.5611103186384</v>
      </c>
      <c r="AB56" s="6">
        <f>(AA56/Z55)</f>
        <v>7.4150765507693369E-3</v>
      </c>
      <c r="AC56" s="7">
        <f t="shared" si="25"/>
        <v>1.0074150765507692</v>
      </c>
      <c r="AD56" s="2">
        <f t="shared" si="26"/>
        <v>0</v>
      </c>
      <c r="AE56" s="2"/>
      <c r="AG56">
        <f t="shared" si="27"/>
        <v>2005</v>
      </c>
      <c r="AH56" s="6">
        <f t="shared" si="51"/>
        <v>0.60564613348797081</v>
      </c>
      <c r="AI56" s="7"/>
      <c r="AJ56" s="6">
        <f t="shared" si="44"/>
        <v>0</v>
      </c>
      <c r="AK56" s="6">
        <f t="shared" si="44"/>
        <v>0</v>
      </c>
      <c r="AL56" s="7"/>
      <c r="AM56" s="6">
        <f t="shared" si="28"/>
        <v>0</v>
      </c>
      <c r="AN56" s="6">
        <f t="shared" si="29"/>
        <v>0.39435386651202908</v>
      </c>
      <c r="AO56" s="6">
        <f t="shared" si="30"/>
        <v>0.99999999999999989</v>
      </c>
      <c r="AP56" s="7">
        <f t="shared" si="31"/>
        <v>0.60564613348797081</v>
      </c>
      <c r="AQ56" s="7">
        <f t="shared" si="32"/>
        <v>0</v>
      </c>
      <c r="AR56" s="24"/>
      <c r="AS56">
        <f t="shared" si="33"/>
        <v>2005</v>
      </c>
      <c r="AT56" s="1" t="b">
        <f t="shared" si="34"/>
        <v>0</v>
      </c>
      <c r="AV56" s="1" t="b">
        <f t="shared" si="47"/>
        <v>0</v>
      </c>
      <c r="AW56" s="1" t="b">
        <f t="shared" si="48"/>
        <v>0</v>
      </c>
      <c r="AY56" s="1" t="b">
        <f t="shared" si="42"/>
        <v>0</v>
      </c>
      <c r="AZ56" s="1" t="b">
        <f t="shared" si="36"/>
        <v>0</v>
      </c>
      <c r="BA56" s="1" t="b">
        <f t="shared" si="37"/>
        <v>1</v>
      </c>
      <c r="BC56">
        <f t="shared" si="38"/>
        <v>2005</v>
      </c>
      <c r="BD56" s="2">
        <f t="shared" si="49"/>
        <v>172044.97361226514</v>
      </c>
      <c r="BE56" s="2"/>
      <c r="BF56" s="2">
        <f t="shared" si="45"/>
        <v>0</v>
      </c>
      <c r="BG56" s="2">
        <f t="shared" si="45"/>
        <v>0</v>
      </c>
      <c r="BH56" s="2"/>
      <c r="BI56" s="2">
        <f t="shared" si="50"/>
        <v>0</v>
      </c>
      <c r="BJ56" s="2">
        <f t="shared" si="10"/>
        <v>114696.64907484344</v>
      </c>
      <c r="BK56" s="2">
        <f t="shared" si="39"/>
        <v>286741.62268710858</v>
      </c>
      <c r="BL56" s="2">
        <f t="shared" si="40"/>
        <v>0</v>
      </c>
      <c r="BM56" s="2"/>
    </row>
    <row r="57" spans="1:65" x14ac:dyDescent="0.2">
      <c r="A57">
        <f t="shared" si="6"/>
        <v>2006</v>
      </c>
      <c r="B57" s="2">
        <f t="shared" ref="B57:B64" si="52">BD56*(1+(B21/100))</f>
        <v>198952.80748522343</v>
      </c>
      <c r="C57" s="2"/>
      <c r="D57" s="2">
        <f t="shared" si="46"/>
        <v>0</v>
      </c>
      <c r="E57" s="2">
        <f t="shared" si="46"/>
        <v>0</v>
      </c>
      <c r="F57" s="2"/>
      <c r="G57" s="2">
        <f t="shared" si="43"/>
        <v>0</v>
      </c>
      <c r="H57" s="2">
        <f t="shared" si="13"/>
        <v>119594.19599033926</v>
      </c>
      <c r="I57" s="2">
        <f t="shared" si="41"/>
        <v>318547.00347556267</v>
      </c>
      <c r="J57" s="2">
        <f t="shared" si="14"/>
        <v>23037.342725307797</v>
      </c>
      <c r="K57" s="6">
        <f t="shared" si="15"/>
        <v>7.7958002005144009E-2</v>
      </c>
      <c r="L57" s="7">
        <f t="shared" si="16"/>
        <v>1.077958002005144</v>
      </c>
      <c r="N57">
        <f t="shared" si="17"/>
        <v>2006</v>
      </c>
      <c r="O57" s="2">
        <f t="shared" si="18"/>
        <v>8987.2390147249753</v>
      </c>
      <c r="P57" s="2"/>
      <c r="Q57" s="2"/>
      <c r="R57">
        <f t="shared" si="19"/>
        <v>2006</v>
      </c>
      <c r="S57" s="2">
        <f t="shared" si="20"/>
        <v>193560.46407638845</v>
      </c>
      <c r="T57" s="2"/>
      <c r="U57" s="2"/>
      <c r="V57" s="2"/>
      <c r="W57" s="2"/>
      <c r="X57" s="2"/>
      <c r="Y57" s="2">
        <f t="shared" si="21"/>
        <v>115999.30038444926</v>
      </c>
      <c r="Z57" s="2">
        <f t="shared" si="22"/>
        <v>309559.7644608377</v>
      </c>
      <c r="AA57" s="2">
        <f t="shared" ref="AA57:AA64" si="53">Z57-Z56</f>
        <v>22818.141773729119</v>
      </c>
      <c r="AB57" s="6">
        <f t="shared" ref="AB57:AB64" si="54">(AA57/Z56)</f>
        <v>7.9577361528110596E-2</v>
      </c>
      <c r="AC57" s="7">
        <f t="shared" si="25"/>
        <v>1.0795773615281106</v>
      </c>
      <c r="AD57" s="2">
        <f t="shared" si="26"/>
        <v>0</v>
      </c>
      <c r="AE57" s="2"/>
      <c r="AG57">
        <f t="shared" si="27"/>
        <v>2006</v>
      </c>
      <c r="AH57" s="6">
        <f t="shared" si="51"/>
        <v>0.6252765581906744</v>
      </c>
      <c r="AI57" s="7"/>
      <c r="AJ57" s="6">
        <f t="shared" si="44"/>
        <v>0</v>
      </c>
      <c r="AK57" s="6">
        <f t="shared" si="44"/>
        <v>0</v>
      </c>
      <c r="AL57" s="7"/>
      <c r="AM57" s="6">
        <f t="shared" ref="AM57:AM64" si="55">X57/$Z57</f>
        <v>0</v>
      </c>
      <c r="AN57" s="6">
        <f t="shared" si="29"/>
        <v>0.37472344180932565</v>
      </c>
      <c r="AO57" s="6">
        <f t="shared" si="30"/>
        <v>1</v>
      </c>
      <c r="AP57" s="7">
        <f t="shared" si="31"/>
        <v>0.6252765581906744</v>
      </c>
      <c r="AQ57" s="7">
        <f t="shared" si="32"/>
        <v>0</v>
      </c>
      <c r="AR57" s="24"/>
      <c r="AS57">
        <f t="shared" si="33"/>
        <v>2006</v>
      </c>
      <c r="AT57" s="1" t="b">
        <f t="shared" si="34"/>
        <v>0</v>
      </c>
      <c r="AV57" s="1" t="b">
        <f t="shared" si="47"/>
        <v>0</v>
      </c>
      <c r="AW57" s="1" t="b">
        <f t="shared" si="48"/>
        <v>0</v>
      </c>
      <c r="AY57" s="1" t="b">
        <f t="shared" si="42"/>
        <v>0</v>
      </c>
      <c r="AZ57" s="1" t="b">
        <f t="shared" si="36"/>
        <v>0</v>
      </c>
      <c r="BA57" s="1" t="b">
        <f t="shared" si="37"/>
        <v>1</v>
      </c>
      <c r="BC57">
        <f t="shared" si="38"/>
        <v>2006</v>
      </c>
      <c r="BD57" s="2">
        <f t="shared" si="49"/>
        <v>185735.85867650263</v>
      </c>
      <c r="BE57" s="2"/>
      <c r="BF57" s="2">
        <f t="shared" si="45"/>
        <v>0</v>
      </c>
      <c r="BG57" s="2">
        <f t="shared" si="45"/>
        <v>0</v>
      </c>
      <c r="BH57" s="2"/>
      <c r="BI57" s="2">
        <f t="shared" si="50"/>
        <v>0</v>
      </c>
      <c r="BJ57" s="2">
        <f t="shared" si="10"/>
        <v>123823.90578433509</v>
      </c>
      <c r="BK57" s="2">
        <f t="shared" si="39"/>
        <v>309559.7644608377</v>
      </c>
      <c r="BL57" s="2">
        <f t="shared" si="40"/>
        <v>0</v>
      </c>
      <c r="BM57" s="2"/>
    </row>
    <row r="58" spans="1:65" x14ac:dyDescent="0.2">
      <c r="A58">
        <f t="shared" si="6"/>
        <v>2007</v>
      </c>
      <c r="B58" s="2">
        <f t="shared" si="52"/>
        <v>195747.02145916614</v>
      </c>
      <c r="C58" s="2"/>
      <c r="D58" s="2">
        <f t="shared" si="46"/>
        <v>0</v>
      </c>
      <c r="E58" s="2">
        <f t="shared" si="46"/>
        <v>0</v>
      </c>
      <c r="F58" s="2"/>
      <c r="G58" s="2">
        <f t="shared" si="43"/>
        <v>0</v>
      </c>
      <c r="H58" s="2">
        <f t="shared" si="13"/>
        <v>132392.52006461108</v>
      </c>
      <c r="I58" s="2">
        <f t="shared" si="41"/>
        <v>328139.54152377718</v>
      </c>
      <c r="J58" s="2">
        <f t="shared" si="14"/>
        <v>9592.5380482145119</v>
      </c>
      <c r="K58" s="6">
        <f t="shared" si="15"/>
        <v>3.0113414797670209E-2</v>
      </c>
      <c r="L58" s="7">
        <f t="shared" si="16"/>
        <v>1.0301134147976703</v>
      </c>
      <c r="N58">
        <f t="shared" si="17"/>
        <v>2007</v>
      </c>
      <c r="O58" s="2">
        <f t="shared" si="18"/>
        <v>9355.7158143286979</v>
      </c>
      <c r="P58" s="2"/>
      <c r="Q58" s="2"/>
      <c r="R58">
        <f t="shared" si="19"/>
        <v>2007</v>
      </c>
      <c r="S58" s="2">
        <f t="shared" si="20"/>
        <v>190133.59197056893</v>
      </c>
      <c r="T58" s="2"/>
      <c r="U58" s="2"/>
      <c r="V58" s="2"/>
      <c r="W58" s="2"/>
      <c r="X58" s="2"/>
      <c r="Y58" s="2">
        <f t="shared" si="21"/>
        <v>128650.2337388796</v>
      </c>
      <c r="Z58" s="2">
        <f t="shared" si="22"/>
        <v>318783.82570944855</v>
      </c>
      <c r="AA58" s="2">
        <f t="shared" si="53"/>
        <v>9224.0612486108439</v>
      </c>
      <c r="AB58" s="6">
        <f t="shared" si="54"/>
        <v>2.9797351941640259E-2</v>
      </c>
      <c r="AC58" s="7">
        <f t="shared" si="25"/>
        <v>1.0297973519416403</v>
      </c>
      <c r="AD58" s="2">
        <f t="shared" si="26"/>
        <v>0</v>
      </c>
      <c r="AE58" s="2"/>
      <c r="AG58">
        <f t="shared" si="27"/>
        <v>2007</v>
      </c>
      <c r="AH58" s="6">
        <f t="shared" si="51"/>
        <v>0.59643424991035698</v>
      </c>
      <c r="AI58" s="7"/>
      <c r="AJ58" s="6">
        <f t="shared" si="44"/>
        <v>0</v>
      </c>
      <c r="AK58" s="6">
        <f t="shared" si="44"/>
        <v>0</v>
      </c>
      <c r="AL58" s="7"/>
      <c r="AM58" s="38">
        <f t="shared" si="55"/>
        <v>0</v>
      </c>
      <c r="AN58" s="38">
        <f t="shared" si="29"/>
        <v>0.40356575008964291</v>
      </c>
      <c r="AO58" s="6">
        <f t="shared" si="30"/>
        <v>0.99999999999999989</v>
      </c>
      <c r="AP58" s="7">
        <f t="shared" si="31"/>
        <v>0.59643424991035698</v>
      </c>
      <c r="AQ58" s="7">
        <f t="shared" si="32"/>
        <v>0</v>
      </c>
      <c r="AR58" s="24"/>
      <c r="AS58">
        <f t="shared" si="33"/>
        <v>2007</v>
      </c>
      <c r="AT58" s="1" t="b">
        <f t="shared" si="34"/>
        <v>0</v>
      </c>
      <c r="AV58" s="1" t="b">
        <f t="shared" si="47"/>
        <v>0</v>
      </c>
      <c r="AW58" s="1" t="b">
        <f t="shared" si="48"/>
        <v>0</v>
      </c>
      <c r="AY58" s="1" t="b">
        <f t="shared" si="42"/>
        <v>0</v>
      </c>
      <c r="AZ58" s="1" t="b">
        <f t="shared" si="36"/>
        <v>0</v>
      </c>
      <c r="BA58" s="1" t="b">
        <f t="shared" si="37"/>
        <v>1</v>
      </c>
      <c r="BC58">
        <f t="shared" si="38"/>
        <v>2007</v>
      </c>
      <c r="BD58" s="2">
        <f t="shared" si="49"/>
        <v>191270.29542566912</v>
      </c>
      <c r="BE58" s="2"/>
      <c r="BF58" s="2">
        <f t="shared" si="45"/>
        <v>0</v>
      </c>
      <c r="BG58" s="2">
        <f t="shared" si="45"/>
        <v>0</v>
      </c>
      <c r="BH58" s="2"/>
      <c r="BI58" s="2">
        <f t="shared" si="50"/>
        <v>0</v>
      </c>
      <c r="BJ58" s="2">
        <f t="shared" si="10"/>
        <v>127513.53028377943</v>
      </c>
      <c r="BK58" s="2">
        <f t="shared" si="39"/>
        <v>318783.82570944855</v>
      </c>
      <c r="BL58" s="2">
        <f t="shared" si="40"/>
        <v>0</v>
      </c>
      <c r="BM58" s="2"/>
    </row>
    <row r="59" spans="1:65" x14ac:dyDescent="0.2">
      <c r="A59">
        <f t="shared" si="6"/>
        <v>2008</v>
      </c>
      <c r="B59" s="2">
        <f t="shared" si="52"/>
        <v>120462.0320590864</v>
      </c>
      <c r="C59" s="2"/>
      <c r="D59" s="2">
        <f t="shared" si="46"/>
        <v>0</v>
      </c>
      <c r="E59" s="2">
        <f t="shared" si="46"/>
        <v>0</v>
      </c>
      <c r="F59" s="2"/>
      <c r="G59" s="2">
        <f t="shared" si="43"/>
        <v>0</v>
      </c>
      <c r="H59" s="2">
        <f t="shared" si="13"/>
        <v>133952.9635631103</v>
      </c>
      <c r="I59" s="2">
        <f t="shared" si="41"/>
        <v>254414.9956221967</v>
      </c>
      <c r="J59" s="2">
        <f t="shared" si="14"/>
        <v>-73724.545901580481</v>
      </c>
      <c r="K59" s="6">
        <f t="shared" si="15"/>
        <v>-0.22467437346693056</v>
      </c>
      <c r="L59" s="7">
        <f t="shared" si="16"/>
        <v>0.77532562653306947</v>
      </c>
      <c r="N59">
        <f t="shared" si="17"/>
        <v>2008</v>
      </c>
      <c r="O59" s="2">
        <f t="shared" si="18"/>
        <v>9355.7158143286979</v>
      </c>
      <c r="P59" s="2"/>
      <c r="Q59" s="2"/>
      <c r="R59">
        <f t="shared" si="19"/>
        <v>2008</v>
      </c>
      <c r="S59" s="2">
        <f t="shared" si="20"/>
        <v>114848.60257048918</v>
      </c>
      <c r="T59" s="2"/>
      <c r="U59" s="2"/>
      <c r="V59" s="2"/>
      <c r="W59" s="2"/>
      <c r="X59" s="2"/>
      <c r="Y59" s="2">
        <f t="shared" si="21"/>
        <v>130210.67723737883</v>
      </c>
      <c r="Z59" s="2">
        <f t="shared" si="22"/>
        <v>245059.27980786801</v>
      </c>
      <c r="AA59" s="2">
        <f t="shared" si="53"/>
        <v>-73724.545901580539</v>
      </c>
      <c r="AB59" s="6">
        <f t="shared" si="54"/>
        <v>-0.23126815087781724</v>
      </c>
      <c r="AC59" s="7">
        <f t="shared" si="25"/>
        <v>0.76873184912218273</v>
      </c>
      <c r="AD59" s="2">
        <f t="shared" si="26"/>
        <v>0</v>
      </c>
      <c r="AE59" s="2"/>
      <c r="AG59">
        <f t="shared" si="27"/>
        <v>2008</v>
      </c>
      <c r="AH59" s="6">
        <f t="shared" si="51"/>
        <v>0.4686564110550438</v>
      </c>
      <c r="AI59" s="7"/>
      <c r="AJ59" s="6">
        <f t="shared" si="44"/>
        <v>0</v>
      </c>
      <c r="AK59" s="6">
        <f t="shared" si="44"/>
        <v>0</v>
      </c>
      <c r="AL59" s="7"/>
      <c r="AM59" s="6">
        <f t="shared" si="55"/>
        <v>0</v>
      </c>
      <c r="AN59" s="6">
        <f t="shared" si="29"/>
        <v>0.53134358894495626</v>
      </c>
      <c r="AO59" s="6">
        <f t="shared" si="30"/>
        <v>1</v>
      </c>
      <c r="AP59" s="7">
        <f t="shared" si="31"/>
        <v>0.4686564110550438</v>
      </c>
      <c r="AQ59" s="7">
        <f t="shared" si="32"/>
        <v>0</v>
      </c>
      <c r="AR59" s="24"/>
      <c r="AS59">
        <f t="shared" si="33"/>
        <v>2008</v>
      </c>
      <c r="AT59" s="1" t="b">
        <f t="shared" si="34"/>
        <v>0</v>
      </c>
      <c r="AV59" s="1" t="b">
        <f t="shared" si="47"/>
        <v>0</v>
      </c>
      <c r="AW59" s="1" t="b">
        <f t="shared" si="48"/>
        <v>0</v>
      </c>
      <c r="AY59" s="1" t="b">
        <f t="shared" si="42"/>
        <v>0</v>
      </c>
      <c r="AZ59" s="1" t="b">
        <f t="shared" si="36"/>
        <v>0</v>
      </c>
      <c r="BA59" s="1" t="b">
        <f t="shared" si="37"/>
        <v>1</v>
      </c>
      <c r="BC59">
        <f t="shared" si="38"/>
        <v>2008</v>
      </c>
      <c r="BD59" s="2">
        <f t="shared" si="49"/>
        <v>147035.5678847208</v>
      </c>
      <c r="BE59" s="2"/>
      <c r="BF59" s="2">
        <f t="shared" si="45"/>
        <v>0</v>
      </c>
      <c r="BG59" s="2">
        <f t="shared" si="45"/>
        <v>0</v>
      </c>
      <c r="BH59" s="2"/>
      <c r="BI59" s="2">
        <f t="shared" si="50"/>
        <v>0</v>
      </c>
      <c r="BJ59" s="2">
        <f t="shared" si="10"/>
        <v>98023.711923147202</v>
      </c>
      <c r="BK59" s="2">
        <f t="shared" si="39"/>
        <v>245059.27980786801</v>
      </c>
      <c r="BL59" s="2">
        <f t="shared" si="40"/>
        <v>0</v>
      </c>
      <c r="BM59" s="2"/>
    </row>
    <row r="60" spans="1:65" x14ac:dyDescent="0.2">
      <c r="A60">
        <f t="shared" si="6"/>
        <v>2009</v>
      </c>
      <c r="B60" s="2">
        <f t="shared" si="52"/>
        <v>185985.28981738334</v>
      </c>
      <c r="C60" s="2"/>
      <c r="D60" s="2">
        <f t="shared" si="46"/>
        <v>0</v>
      </c>
      <c r="E60" s="2">
        <f t="shared" si="46"/>
        <v>0</v>
      </c>
      <c r="F60" s="2"/>
      <c r="G60" s="2">
        <f t="shared" si="43"/>
        <v>0</v>
      </c>
      <c r="H60" s="2">
        <f t="shared" si="13"/>
        <v>103836.51804018983</v>
      </c>
      <c r="I60" s="2">
        <f t="shared" si="41"/>
        <v>289821.80785757315</v>
      </c>
      <c r="J60" s="2">
        <f t="shared" si="14"/>
        <v>35406.812235376448</v>
      </c>
      <c r="K60" s="6">
        <f t="shared" si="15"/>
        <v>0.13916951769602115</v>
      </c>
      <c r="L60" s="7">
        <f t="shared" si="16"/>
        <v>1.139169517696021</v>
      </c>
      <c r="N60">
        <f t="shared" si="17"/>
        <v>2009</v>
      </c>
      <c r="O60" s="2">
        <f t="shared" si="18"/>
        <v>9617.6758571299015</v>
      </c>
      <c r="P60" s="2"/>
      <c r="Q60" s="2"/>
      <c r="R60">
        <f t="shared" si="19"/>
        <v>2009</v>
      </c>
      <c r="S60" s="2">
        <f t="shared" si="20"/>
        <v>180214.6843031054</v>
      </c>
      <c r="T60" s="2"/>
      <c r="U60" s="2"/>
      <c r="V60" s="2"/>
      <c r="W60" s="2"/>
      <c r="X60" s="2"/>
      <c r="Y60" s="2">
        <f t="shared" si="21"/>
        <v>99989.447697337862</v>
      </c>
      <c r="Z60" s="2">
        <f t="shared" si="22"/>
        <v>280204.13200044329</v>
      </c>
      <c r="AA60" s="2">
        <f t="shared" si="53"/>
        <v>35144.852192575287</v>
      </c>
      <c r="AB60" s="6">
        <f t="shared" si="54"/>
        <v>0.14341367615268291</v>
      </c>
      <c r="AC60" s="7">
        <f t="shared" si="25"/>
        <v>1.143413676152683</v>
      </c>
      <c r="AD60" s="2">
        <f t="shared" si="26"/>
        <v>0</v>
      </c>
      <c r="AE60" s="2"/>
      <c r="AG60">
        <f t="shared" si="27"/>
        <v>2009</v>
      </c>
      <c r="AH60" s="6">
        <f t="shared" si="51"/>
        <v>0.64315498496224999</v>
      </c>
      <c r="AI60" s="7"/>
      <c r="AJ60" s="6">
        <f t="shared" si="44"/>
        <v>0</v>
      </c>
      <c r="AK60" s="6">
        <f t="shared" si="44"/>
        <v>0</v>
      </c>
      <c r="AL60" s="7"/>
      <c r="AM60" s="6">
        <f t="shared" si="55"/>
        <v>0</v>
      </c>
      <c r="AN60" s="38">
        <f t="shared" si="29"/>
        <v>0.35684501503774996</v>
      </c>
      <c r="AO60" s="6">
        <f t="shared" si="30"/>
        <v>1</v>
      </c>
      <c r="AP60" s="7">
        <f t="shared" si="31"/>
        <v>0.64315498496224999</v>
      </c>
      <c r="AQ60" s="7">
        <f t="shared" si="32"/>
        <v>0</v>
      </c>
      <c r="AR60" s="24"/>
      <c r="AS60">
        <f t="shared" si="33"/>
        <v>2009</v>
      </c>
      <c r="AT60" s="1" t="b">
        <f t="shared" si="34"/>
        <v>0</v>
      </c>
      <c r="AV60" s="1" t="b">
        <f t="shared" si="47"/>
        <v>0</v>
      </c>
      <c r="AW60" s="1" t="b">
        <f t="shared" si="48"/>
        <v>0</v>
      </c>
      <c r="AY60" s="1" t="b">
        <f t="shared" si="42"/>
        <v>0</v>
      </c>
      <c r="AZ60" s="39" t="b">
        <f t="shared" si="36"/>
        <v>0</v>
      </c>
      <c r="BA60" s="1" t="b">
        <f t="shared" si="37"/>
        <v>1</v>
      </c>
      <c r="BC60">
        <f t="shared" si="38"/>
        <v>2009</v>
      </c>
      <c r="BD60" s="2">
        <f t="shared" si="49"/>
        <v>168122.47920026598</v>
      </c>
      <c r="BE60" s="2"/>
      <c r="BF60" s="2">
        <f t="shared" si="45"/>
        <v>0</v>
      </c>
      <c r="BG60" s="2">
        <f t="shared" si="45"/>
        <v>0</v>
      </c>
      <c r="BH60" s="2"/>
      <c r="BI60" s="2">
        <f t="shared" si="50"/>
        <v>0</v>
      </c>
      <c r="BJ60" s="2">
        <f t="shared" si="10"/>
        <v>112081.65280017733</v>
      </c>
      <c r="BK60" s="2">
        <f t="shared" si="39"/>
        <v>280204.13200044329</v>
      </c>
      <c r="BL60" s="2">
        <f t="shared" si="40"/>
        <v>0</v>
      </c>
      <c r="BM60" s="2"/>
    </row>
    <row r="61" spans="1:65" x14ac:dyDescent="0.2">
      <c r="A61">
        <f t="shared" si="6"/>
        <v>2010</v>
      </c>
      <c r="B61" s="2">
        <f t="shared" si="52"/>
        <v>193189.54084902565</v>
      </c>
      <c r="C61" s="2"/>
      <c r="D61" s="2">
        <f t="shared" si="46"/>
        <v>0</v>
      </c>
      <c r="E61" s="2">
        <f t="shared" si="46"/>
        <v>0</v>
      </c>
      <c r="F61" s="2"/>
      <c r="G61" s="2">
        <f t="shared" si="43"/>
        <v>0</v>
      </c>
      <c r="H61" s="2">
        <f t="shared" si="13"/>
        <v>119277.29490994872</v>
      </c>
      <c r="I61" s="2">
        <f t="shared" si="41"/>
        <v>312466.83575897437</v>
      </c>
      <c r="J61" s="2">
        <f t="shared" si="14"/>
        <v>22645.027901401219</v>
      </c>
      <c r="K61" s="6">
        <f t="shared" si="15"/>
        <v>7.813431317953011E-2</v>
      </c>
      <c r="L61" s="7">
        <f t="shared" si="16"/>
        <v>1.07813431317953</v>
      </c>
      <c r="N61">
        <f t="shared" si="17"/>
        <v>2010</v>
      </c>
      <c r="O61" s="2">
        <f t="shared" si="18"/>
        <v>9752.3233191297204</v>
      </c>
      <c r="P61" s="2"/>
      <c r="Q61" s="2"/>
      <c r="R61">
        <f t="shared" si="19"/>
        <v>2010</v>
      </c>
      <c r="S61" s="2">
        <f t="shared" si="20"/>
        <v>187338.14685754781</v>
      </c>
      <c r="T61" s="2"/>
      <c r="U61" s="2"/>
      <c r="V61" s="2"/>
      <c r="W61" s="2"/>
      <c r="X61" s="2"/>
      <c r="Y61" s="2">
        <f t="shared" si="21"/>
        <v>115376.36558229683</v>
      </c>
      <c r="Z61" s="2">
        <f t="shared" si="22"/>
        <v>302714.51243984466</v>
      </c>
      <c r="AA61" s="2">
        <f t="shared" si="53"/>
        <v>22510.380439401371</v>
      </c>
      <c r="AB61" s="6">
        <f t="shared" si="54"/>
        <v>8.033564772473005E-2</v>
      </c>
      <c r="AC61" s="7">
        <f t="shared" si="25"/>
        <v>1.0803356477247301</v>
      </c>
      <c r="AD61" s="2">
        <f t="shared" si="26"/>
        <v>0</v>
      </c>
      <c r="AE61" s="2"/>
      <c r="AG61">
        <f t="shared" si="27"/>
        <v>2010</v>
      </c>
      <c r="AH61" s="6">
        <f t="shared" si="51"/>
        <v>0.61886080501269525</v>
      </c>
      <c r="AI61" s="7"/>
      <c r="AJ61" s="6">
        <f t="shared" si="44"/>
        <v>0</v>
      </c>
      <c r="AK61" s="6">
        <f t="shared" si="44"/>
        <v>0</v>
      </c>
      <c r="AL61" s="7"/>
      <c r="AM61" s="6">
        <f t="shared" si="55"/>
        <v>0</v>
      </c>
      <c r="AN61" s="6">
        <f t="shared" si="29"/>
        <v>0.3811391949873047</v>
      </c>
      <c r="AO61" s="6">
        <f t="shared" si="30"/>
        <v>1</v>
      </c>
      <c r="AP61" s="7">
        <f t="shared" si="31"/>
        <v>0.61886080501269525</v>
      </c>
      <c r="AQ61" s="7">
        <f t="shared" si="32"/>
        <v>0</v>
      </c>
      <c r="AR61" s="24"/>
      <c r="AS61">
        <f t="shared" si="33"/>
        <v>2010</v>
      </c>
      <c r="AT61" s="1" t="b">
        <f t="shared" si="34"/>
        <v>0</v>
      </c>
      <c r="AV61" s="1" t="b">
        <f t="shared" si="47"/>
        <v>0</v>
      </c>
      <c r="AW61" s="1" t="b">
        <f t="shared" si="48"/>
        <v>0</v>
      </c>
      <c r="AY61" s="1" t="b">
        <f t="shared" si="42"/>
        <v>0</v>
      </c>
      <c r="AZ61" s="1" t="b">
        <f t="shared" si="36"/>
        <v>0</v>
      </c>
      <c r="BA61" s="1" t="b">
        <f t="shared" si="37"/>
        <v>1</v>
      </c>
      <c r="BC61">
        <f t="shared" si="38"/>
        <v>2010</v>
      </c>
      <c r="BD61" s="2">
        <f t="shared" si="49"/>
        <v>181628.70746390679</v>
      </c>
      <c r="BE61" s="2"/>
      <c r="BF61" s="2">
        <f t="shared" si="45"/>
        <v>0</v>
      </c>
      <c r="BG61" s="2">
        <f t="shared" si="45"/>
        <v>0</v>
      </c>
      <c r="BH61" s="2"/>
      <c r="BI61" s="2">
        <f t="shared" si="50"/>
        <v>0</v>
      </c>
      <c r="BJ61" s="2">
        <f t="shared" si="10"/>
        <v>121085.80497593788</v>
      </c>
      <c r="BK61" s="2">
        <f t="shared" si="39"/>
        <v>302714.51243984466</v>
      </c>
      <c r="BL61" s="2">
        <f t="shared" si="40"/>
        <v>0</v>
      </c>
      <c r="BM61" s="2"/>
    </row>
    <row r="62" spans="1:65" x14ac:dyDescent="0.2">
      <c r="A62">
        <f t="shared" si="6"/>
        <v>2011</v>
      </c>
      <c r="B62" s="2">
        <f t="shared" si="52"/>
        <v>185206.79300094576</v>
      </c>
      <c r="C62" s="2"/>
      <c r="D62" s="2">
        <f t="shared" si="46"/>
        <v>0</v>
      </c>
      <c r="E62" s="2">
        <f t="shared" si="46"/>
        <v>0</v>
      </c>
      <c r="F62" s="2"/>
      <c r="G62" s="2">
        <f t="shared" si="43"/>
        <v>0</v>
      </c>
      <c r="H62" s="2">
        <f t="shared" si="13"/>
        <v>130239.8918321188</v>
      </c>
      <c r="I62" s="2">
        <f t="shared" si="41"/>
        <v>315446.68483306456</v>
      </c>
      <c r="J62" s="2">
        <f t="shared" si="14"/>
        <v>2979.8490740901907</v>
      </c>
      <c r="K62" s="6">
        <f t="shared" si="15"/>
        <v>9.5365291066881047E-3</v>
      </c>
      <c r="L62" s="7">
        <f t="shared" si="16"/>
        <v>1.009536529106688</v>
      </c>
      <c r="N62">
        <f t="shared" si="17"/>
        <v>2011</v>
      </c>
      <c r="O62" s="2">
        <f t="shared" si="18"/>
        <v>10044.893018703613</v>
      </c>
      <c r="P62" s="2"/>
      <c r="Q62" s="2"/>
      <c r="R62">
        <f t="shared" si="19"/>
        <v>2011</v>
      </c>
      <c r="S62" s="2">
        <f t="shared" si="20"/>
        <v>179179.85718972358</v>
      </c>
      <c r="T62" s="2"/>
      <c r="U62" s="2"/>
      <c r="V62" s="2"/>
      <c r="W62" s="2"/>
      <c r="X62" s="2"/>
      <c r="Y62" s="2">
        <f t="shared" si="21"/>
        <v>126221.93462463735</v>
      </c>
      <c r="Z62" s="2">
        <f t="shared" si="22"/>
        <v>305401.79181436094</v>
      </c>
      <c r="AA62" s="2">
        <f t="shared" si="53"/>
        <v>2687.279374516278</v>
      </c>
      <c r="AB62" s="6">
        <f t="shared" si="54"/>
        <v>8.8772730215578733E-3</v>
      </c>
      <c r="AC62" s="7">
        <f t="shared" si="25"/>
        <v>1.0088772730215578</v>
      </c>
      <c r="AD62" s="2">
        <f t="shared" si="26"/>
        <v>0</v>
      </c>
      <c r="AE62" s="2"/>
      <c r="AG62">
        <f t="shared" si="27"/>
        <v>2011</v>
      </c>
      <c r="AH62" s="6">
        <f t="shared" si="51"/>
        <v>0.58670204953688809</v>
      </c>
      <c r="AI62" s="7"/>
      <c r="AJ62" s="6">
        <f t="shared" si="44"/>
        <v>0</v>
      </c>
      <c r="AK62" s="6">
        <f t="shared" si="44"/>
        <v>0</v>
      </c>
      <c r="AL62" s="7"/>
      <c r="AM62" s="6">
        <f t="shared" si="55"/>
        <v>0</v>
      </c>
      <c r="AN62" s="38">
        <f t="shared" si="29"/>
        <v>0.41329795046311185</v>
      </c>
      <c r="AO62" s="6">
        <f t="shared" si="30"/>
        <v>1</v>
      </c>
      <c r="AP62" s="7">
        <f t="shared" si="31"/>
        <v>0.58670204953688809</v>
      </c>
      <c r="AQ62" s="7">
        <f t="shared" si="32"/>
        <v>0</v>
      </c>
      <c r="AR62" s="24"/>
      <c r="AS62">
        <f t="shared" si="33"/>
        <v>2011</v>
      </c>
      <c r="AT62" s="1" t="b">
        <f t="shared" si="34"/>
        <v>0</v>
      </c>
      <c r="AV62" s="1" t="b">
        <f t="shared" si="47"/>
        <v>0</v>
      </c>
      <c r="AW62" s="1" t="b">
        <f t="shared" si="48"/>
        <v>0</v>
      </c>
      <c r="AY62" s="1" t="b">
        <f t="shared" si="42"/>
        <v>0</v>
      </c>
      <c r="AZ62" s="1" t="b">
        <f t="shared" si="36"/>
        <v>0</v>
      </c>
      <c r="BA62" s="1" t="b">
        <f t="shared" si="37"/>
        <v>1</v>
      </c>
      <c r="BC62">
        <f t="shared" si="38"/>
        <v>2011</v>
      </c>
      <c r="BD62" s="2">
        <f t="shared" si="49"/>
        <v>183241.07508861655</v>
      </c>
      <c r="BE62" s="2"/>
      <c r="BF62" s="2">
        <f t="shared" si="45"/>
        <v>0</v>
      </c>
      <c r="BG62" s="2">
        <f t="shared" si="45"/>
        <v>0</v>
      </c>
      <c r="BH62" s="2"/>
      <c r="BI62" s="2">
        <f t="shared" si="50"/>
        <v>0</v>
      </c>
      <c r="BJ62" s="2">
        <f t="shared" si="10"/>
        <v>122160.71672574438</v>
      </c>
      <c r="BK62" s="2">
        <f t="shared" si="39"/>
        <v>305401.79181436094</v>
      </c>
      <c r="BL62" s="2">
        <f t="shared" si="40"/>
        <v>0</v>
      </c>
      <c r="BM62" s="2"/>
    </row>
    <row r="63" spans="1:65" x14ac:dyDescent="0.2">
      <c r="A63">
        <f t="shared" si="6"/>
        <v>2012</v>
      </c>
      <c r="B63" s="2">
        <f t="shared" si="52"/>
        <v>212229.81316763567</v>
      </c>
      <c r="C63" s="2"/>
      <c r="D63" s="2">
        <f t="shared" si="46"/>
        <v>0</v>
      </c>
      <c r="E63" s="2">
        <f t="shared" si="46"/>
        <v>0</v>
      </c>
      <c r="F63" s="2"/>
      <c r="G63" s="2">
        <f t="shared" si="43"/>
        <v>0</v>
      </c>
      <c r="H63" s="2">
        <f t="shared" si="13"/>
        <v>127108.22575313703</v>
      </c>
      <c r="I63" s="2">
        <f t="shared" si="41"/>
        <v>339338.03892077273</v>
      </c>
      <c r="J63" s="2">
        <f t="shared" si="14"/>
        <v>23891.354087708169</v>
      </c>
      <c r="K63" s="6">
        <f t="shared" si="15"/>
        <v>7.5738168243396034E-2</v>
      </c>
      <c r="L63" s="7">
        <f t="shared" si="16"/>
        <v>1.075738168243396</v>
      </c>
      <c r="N63">
        <f t="shared" si="17"/>
        <v>2012</v>
      </c>
      <c r="O63" s="2">
        <f t="shared" si="18"/>
        <v>10225.701093040278</v>
      </c>
      <c r="P63" s="2"/>
      <c r="Q63" s="2"/>
      <c r="R63">
        <f t="shared" si="19"/>
        <v>2012</v>
      </c>
      <c r="S63" s="2">
        <f t="shared" si="20"/>
        <v>206094.39251181151</v>
      </c>
      <c r="T63" s="2"/>
      <c r="U63" s="2"/>
      <c r="V63" s="2"/>
      <c r="W63" s="2"/>
      <c r="X63" s="2"/>
      <c r="Y63" s="2">
        <f t="shared" si="21"/>
        <v>123017.94531592092</v>
      </c>
      <c r="Z63" s="2">
        <f t="shared" si="22"/>
        <v>329112.33782773244</v>
      </c>
      <c r="AA63" s="2">
        <f t="shared" si="53"/>
        <v>23710.546013371495</v>
      </c>
      <c r="AB63" s="6">
        <f t="shared" si="54"/>
        <v>7.7637219718029671E-2</v>
      </c>
      <c r="AC63" s="7">
        <f t="shared" si="25"/>
        <v>1.0776372197180297</v>
      </c>
      <c r="AD63" s="2">
        <f t="shared" si="26"/>
        <v>0</v>
      </c>
      <c r="AE63" s="2"/>
      <c r="AG63">
        <f t="shared" si="27"/>
        <v>2012</v>
      </c>
      <c r="AH63" s="6">
        <f t="shared" si="51"/>
        <v>0.62621290308383304</v>
      </c>
      <c r="AI63" s="7"/>
      <c r="AJ63" s="6">
        <f t="shared" si="44"/>
        <v>0</v>
      </c>
      <c r="AK63" s="6">
        <f t="shared" si="44"/>
        <v>0</v>
      </c>
      <c r="AL63" s="7"/>
      <c r="AM63" s="6">
        <f t="shared" si="55"/>
        <v>0</v>
      </c>
      <c r="AN63" s="6">
        <f t="shared" si="29"/>
        <v>0.37378709691616702</v>
      </c>
      <c r="AO63" s="6">
        <f t="shared" si="30"/>
        <v>1</v>
      </c>
      <c r="AP63" s="7">
        <f t="shared" si="31"/>
        <v>0.62621290308383304</v>
      </c>
      <c r="AQ63" s="7">
        <f t="shared" si="32"/>
        <v>0</v>
      </c>
      <c r="AR63" s="24"/>
      <c r="AS63">
        <f t="shared" si="33"/>
        <v>2012</v>
      </c>
      <c r="AT63" s="1" t="b">
        <f t="shared" si="34"/>
        <v>0</v>
      </c>
      <c r="AV63" s="1" t="b">
        <f t="shared" si="47"/>
        <v>0</v>
      </c>
      <c r="AW63" s="1" t="b">
        <f t="shared" si="48"/>
        <v>0</v>
      </c>
      <c r="AY63" s="1" t="b">
        <f t="shared" si="42"/>
        <v>0</v>
      </c>
      <c r="AZ63" s="1" t="b">
        <f t="shared" si="36"/>
        <v>0</v>
      </c>
      <c r="BA63" s="1" t="b">
        <f t="shared" si="37"/>
        <v>1</v>
      </c>
      <c r="BC63">
        <f t="shared" si="38"/>
        <v>2012</v>
      </c>
      <c r="BD63" s="2">
        <f t="shared" si="49"/>
        <v>197467.40269663944</v>
      </c>
      <c r="BE63" s="2"/>
      <c r="BF63" s="2">
        <f t="shared" si="45"/>
        <v>0</v>
      </c>
      <c r="BG63" s="2">
        <f t="shared" si="45"/>
        <v>0</v>
      </c>
      <c r="BH63" s="2"/>
      <c r="BI63" s="2">
        <f t="shared" si="50"/>
        <v>0</v>
      </c>
      <c r="BJ63" s="2">
        <f t="shared" si="10"/>
        <v>131644.93513109299</v>
      </c>
      <c r="BK63" s="2">
        <f t="shared" si="39"/>
        <v>329112.33782773244</v>
      </c>
      <c r="BL63" s="2">
        <f t="shared" si="40"/>
        <v>0</v>
      </c>
      <c r="BM63" s="2"/>
    </row>
    <row r="64" spans="1:65" x14ac:dyDescent="0.2">
      <c r="A64">
        <f t="shared" si="6"/>
        <v>2013</v>
      </c>
      <c r="B64" s="2">
        <f t="shared" si="52"/>
        <v>261012.41288441804</v>
      </c>
      <c r="C64" s="2"/>
      <c r="D64" s="2">
        <f t="shared" si="46"/>
        <v>0</v>
      </c>
      <c r="E64" s="2">
        <f t="shared" si="46"/>
        <v>0</v>
      </c>
      <c r="F64" s="2"/>
      <c r="G64" s="2">
        <f t="shared" si="43"/>
        <v>0</v>
      </c>
      <c r="H64" s="2">
        <f t="shared" si="13"/>
        <v>128669.75959713029</v>
      </c>
      <c r="I64" s="2">
        <f t="shared" si="41"/>
        <v>389682.17248154833</v>
      </c>
      <c r="J64" s="2">
        <f t="shared" si="14"/>
        <v>50344.133560775605</v>
      </c>
      <c r="K64" s="6">
        <f t="shared" si="15"/>
        <v>0.14835982939280717</v>
      </c>
      <c r="L64" s="7">
        <f t="shared" si="16"/>
        <v>1.1483598293928072</v>
      </c>
      <c r="N64">
        <f t="shared" si="17"/>
        <v>2013</v>
      </c>
      <c r="O64" s="2">
        <f t="shared" si="18"/>
        <v>10343.868446685563</v>
      </c>
      <c r="P64" s="2"/>
      <c r="Q64" s="2"/>
      <c r="R64">
        <f t="shared" si="19"/>
        <v>2013</v>
      </c>
      <c r="S64" s="2">
        <f t="shared" si="20"/>
        <v>254806.0918164067</v>
      </c>
      <c r="T64" s="2"/>
      <c r="U64" s="2"/>
      <c r="V64" s="2"/>
      <c r="W64" s="2"/>
      <c r="X64" s="2"/>
      <c r="Y64" s="2">
        <f t="shared" si="21"/>
        <v>124532.21221845607</v>
      </c>
      <c r="Z64" s="2">
        <f t="shared" si="22"/>
        <v>379338.30403486278</v>
      </c>
      <c r="AA64" s="2">
        <f t="shared" si="53"/>
        <v>50225.966207130346</v>
      </c>
      <c r="AB64" s="6">
        <f t="shared" si="54"/>
        <v>0.15261040208532131</v>
      </c>
      <c r="AC64" s="7">
        <f t="shared" si="25"/>
        <v>1.1526104020853214</v>
      </c>
      <c r="AD64" s="2">
        <f t="shared" si="26"/>
        <v>0</v>
      </c>
      <c r="AE64" s="2"/>
      <c r="AG64">
        <f t="shared" si="27"/>
        <v>2013</v>
      </c>
      <c r="AH64" s="6">
        <f t="shared" si="51"/>
        <v>0.67171200246888052</v>
      </c>
      <c r="AI64" s="7"/>
      <c r="AJ64" s="6">
        <f t="shared" si="44"/>
        <v>0</v>
      </c>
      <c r="AK64" s="6">
        <f t="shared" si="44"/>
        <v>0</v>
      </c>
      <c r="AL64" s="7"/>
      <c r="AM64" s="6">
        <f t="shared" si="55"/>
        <v>0</v>
      </c>
      <c r="AN64" s="6">
        <f t="shared" si="29"/>
        <v>0.32828799753111942</v>
      </c>
      <c r="AO64" s="6">
        <f t="shared" si="30"/>
        <v>1</v>
      </c>
      <c r="AP64" s="7">
        <f t="shared" si="31"/>
        <v>0.67171200246888052</v>
      </c>
      <c r="AQ64" s="7">
        <f t="shared" si="32"/>
        <v>0</v>
      </c>
      <c r="AR64" s="24"/>
      <c r="AS64">
        <f t="shared" si="33"/>
        <v>2013</v>
      </c>
      <c r="AT64" s="1" t="b">
        <f t="shared" si="34"/>
        <v>0</v>
      </c>
      <c r="AV64" s="1" t="b">
        <f t="shared" si="47"/>
        <v>0</v>
      </c>
      <c r="AW64" s="1" t="b">
        <f t="shared" si="48"/>
        <v>0</v>
      </c>
      <c r="AY64" s="1" t="b">
        <f t="shared" si="42"/>
        <v>0</v>
      </c>
      <c r="AZ64" s="1" t="b">
        <f t="shared" si="36"/>
        <v>1</v>
      </c>
      <c r="BA64" s="1" t="b">
        <f t="shared" si="37"/>
        <v>1</v>
      </c>
      <c r="BC64">
        <f t="shared" si="38"/>
        <v>2013</v>
      </c>
      <c r="BD64" s="2">
        <f t="shared" si="49"/>
        <v>227602.98242091766</v>
      </c>
      <c r="BE64" s="2"/>
      <c r="BF64" s="2">
        <f t="shared" si="45"/>
        <v>0</v>
      </c>
      <c r="BG64" s="2">
        <f t="shared" si="45"/>
        <v>0</v>
      </c>
      <c r="BH64" s="2"/>
      <c r="BI64" s="2">
        <f t="shared" si="50"/>
        <v>0</v>
      </c>
      <c r="BJ64" s="2">
        <f t="shared" si="10"/>
        <v>151735.32161394513</v>
      </c>
      <c r="BK64" s="2">
        <f t="shared" si="39"/>
        <v>379338.30403486278</v>
      </c>
      <c r="BL64" s="2">
        <f t="shared" si="40"/>
        <v>0</v>
      </c>
      <c r="BM64" s="2"/>
    </row>
    <row r="65" spans="1:62" x14ac:dyDescent="0.2">
      <c r="A65" s="9" t="s">
        <v>78</v>
      </c>
      <c r="B65" s="10">
        <f>BD64</f>
        <v>227602.98242091766</v>
      </c>
      <c r="C65" s="10"/>
      <c r="D65" s="10">
        <f>BF64</f>
        <v>0</v>
      </c>
      <c r="E65" s="10">
        <f>BG64</f>
        <v>0</v>
      </c>
      <c r="F65" s="10"/>
      <c r="G65" s="10">
        <f>BI64</f>
        <v>0</v>
      </c>
      <c r="H65" s="10">
        <f>BJ64</f>
        <v>151735.32161394513</v>
      </c>
      <c r="I65" s="10">
        <f>SUM(B65:H65)</f>
        <v>379338.30403486278</v>
      </c>
      <c r="J65" s="10"/>
      <c r="K65" s="10"/>
      <c r="L65" s="74"/>
      <c r="N65" t="s">
        <v>40</v>
      </c>
      <c r="O65" s="2">
        <f>O64</f>
        <v>10343.868446685563</v>
      </c>
      <c r="P65" s="2"/>
      <c r="R65" s="9" t="s">
        <v>78</v>
      </c>
      <c r="S65" s="10">
        <f>S64</f>
        <v>254806.0918164067</v>
      </c>
      <c r="T65" s="10"/>
      <c r="U65" s="10">
        <f>U64</f>
        <v>0</v>
      </c>
      <c r="V65" s="10">
        <f>V64</f>
        <v>0</v>
      </c>
      <c r="W65" s="10"/>
      <c r="X65" s="10">
        <f>X64</f>
        <v>0</v>
      </c>
      <c r="Y65" s="10">
        <f>Y64</f>
        <v>124532.21221845607</v>
      </c>
      <c r="Z65" s="10">
        <f>Z64</f>
        <v>379338.30403486278</v>
      </c>
      <c r="AA65" s="10"/>
      <c r="AB65" s="10"/>
      <c r="AC65" s="74"/>
      <c r="AD65" s="10"/>
      <c r="AE65" s="43"/>
      <c r="AK65" s="7"/>
      <c r="BC65" s="21"/>
      <c r="BD65" s="22"/>
      <c r="BF65" s="22"/>
      <c r="BG65" s="22"/>
      <c r="BI65" s="22"/>
      <c r="BJ65" s="22"/>
    </row>
    <row r="66" spans="1:62" x14ac:dyDescent="0.2">
      <c r="A66" s="11" t="s">
        <v>11</v>
      </c>
      <c r="I66" s="6">
        <f>(Z65-Z39)/Z39</f>
        <v>2.7933830403486279</v>
      </c>
      <c r="K66" s="6"/>
      <c r="N66" t="s">
        <v>70</v>
      </c>
      <c r="O66" s="2">
        <f>SUM(O40:O64)</f>
        <v>199710.26798568509</v>
      </c>
      <c r="P66" s="2"/>
      <c r="AB66" s="6"/>
      <c r="BF66" s="22"/>
    </row>
    <row r="67" spans="1:62" x14ac:dyDescent="0.2">
      <c r="A67" s="1" t="s">
        <v>12</v>
      </c>
      <c r="I67" s="12">
        <f>STDEV(AC40:AC64)</f>
        <v>0.11256455903300745</v>
      </c>
    </row>
    <row r="68" spans="1:62" x14ac:dyDescent="0.2">
      <c r="A68" s="1" t="s">
        <v>13</v>
      </c>
      <c r="I68" s="13">
        <f>((1+I66)^(1/I75))-1</f>
        <v>5.477801213426936E-2</v>
      </c>
    </row>
    <row r="69" spans="1:62" x14ac:dyDescent="0.2">
      <c r="A69" s="1" t="s">
        <v>82</v>
      </c>
      <c r="I69" s="31">
        <f>J60</f>
        <v>35406.812235376448</v>
      </c>
      <c r="O69" s="2"/>
      <c r="P69" s="2"/>
    </row>
    <row r="70" spans="1:62" x14ac:dyDescent="0.2">
      <c r="A70" s="1" t="s">
        <v>83</v>
      </c>
      <c r="I70" s="32">
        <f>K60</f>
        <v>0.13916951769602115</v>
      </c>
    </row>
    <row r="71" spans="1:62" x14ac:dyDescent="0.2">
      <c r="A71" s="1" t="s">
        <v>42</v>
      </c>
      <c r="I71" s="2">
        <f>O66</f>
        <v>199710.26798568509</v>
      </c>
    </row>
    <row r="72" spans="1:62" x14ac:dyDescent="0.2">
      <c r="A72" s="3" t="s">
        <v>5</v>
      </c>
      <c r="B72" s="3"/>
      <c r="C72" s="3"/>
      <c r="D72" s="3"/>
      <c r="E72" s="3"/>
      <c r="F72" s="3"/>
      <c r="G72" s="3"/>
      <c r="H72" s="3"/>
      <c r="I72" s="33">
        <f>I65-Z65</f>
        <v>0</v>
      </c>
      <c r="Z72" s="2"/>
    </row>
    <row r="73" spans="1:62" x14ac:dyDescent="0.2">
      <c r="A73" s="3" t="s">
        <v>148</v>
      </c>
      <c r="B73" s="3"/>
      <c r="C73" s="3"/>
      <c r="D73" s="3"/>
      <c r="E73" s="3"/>
      <c r="F73" s="3"/>
      <c r="G73" s="3"/>
      <c r="H73" s="3"/>
      <c r="I73" s="33">
        <f>((SUM(AA40:AA64)))-(I65-I39)</f>
        <v>0</v>
      </c>
    </row>
    <row r="74" spans="1:62" x14ac:dyDescent="0.2">
      <c r="A74" s="3" t="s">
        <v>147</v>
      </c>
      <c r="B74" s="3"/>
      <c r="C74" s="3"/>
      <c r="D74" s="3"/>
      <c r="E74" s="3"/>
      <c r="F74" s="3"/>
      <c r="G74" s="3"/>
      <c r="H74" s="3"/>
      <c r="I74" s="33">
        <f>(SUM(O40:O64))-I71</f>
        <v>0</v>
      </c>
      <c r="Z74" s="73"/>
    </row>
    <row r="75" spans="1:62" x14ac:dyDescent="0.2">
      <c r="A75" s="3" t="s">
        <v>159</v>
      </c>
      <c r="B75" s="3"/>
      <c r="C75" s="3"/>
      <c r="D75" s="3"/>
      <c r="E75" s="3"/>
      <c r="F75" s="3"/>
      <c r="G75" s="3"/>
      <c r="H75" s="3"/>
      <c r="I75" s="75">
        <f>COUNTA(I40:I64)</f>
        <v>25</v>
      </c>
    </row>
    <row r="76" spans="1:62" x14ac:dyDescent="0.2">
      <c r="A76" s="1" t="s">
        <v>105</v>
      </c>
      <c r="B76" s="63"/>
      <c r="C76" s="63"/>
      <c r="D76" s="63"/>
      <c r="E76" s="63"/>
      <c r="G76" s="63"/>
      <c r="H76" s="63"/>
      <c r="I76" s="83">
        <f>(SUM(B65:G65)/I65)</f>
        <v>0.6</v>
      </c>
    </row>
    <row r="77" spans="1:62" x14ac:dyDescent="0.2">
      <c r="A77" s="1" t="s">
        <v>106</v>
      </c>
      <c r="B77" s="63"/>
      <c r="C77" s="63"/>
      <c r="D77" s="63"/>
      <c r="E77" s="63"/>
      <c r="G77" s="63"/>
      <c r="H77" s="63"/>
      <c r="I77" s="83">
        <f>(H65/I65)</f>
        <v>0.4</v>
      </c>
    </row>
    <row r="78" spans="1:62" x14ac:dyDescent="0.2">
      <c r="A78" s="3" t="s">
        <v>107</v>
      </c>
      <c r="I78" s="3">
        <f>100%-(I76+I77)</f>
        <v>0</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EF7A-1F90-46E2-B7D2-E1997346F85C}">
  <dimension ref="A1:AP79"/>
  <sheetViews>
    <sheetView topLeftCell="A58" zoomScaleNormal="100" workbookViewId="0">
      <selection activeCell="A76" sqref="A76:I78"/>
    </sheetView>
  </sheetViews>
  <sheetFormatPr baseColWidth="10" defaultColWidth="8.83203125" defaultRowHeight="15" x14ac:dyDescent="0.2"/>
  <cols>
    <col min="1" max="1" width="25.5" customWidth="1"/>
    <col min="2" max="4" width="9.33203125" bestFit="1" customWidth="1"/>
    <col min="5" max="5" width="9.5"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2" max="22" width="10.1640625" customWidth="1"/>
    <col min="24" max="24" width="10.83203125" bestFit="1" customWidth="1"/>
    <col min="26" max="26" width="10.83203125" bestFit="1" customWidth="1"/>
    <col min="27" max="30" width="10.83203125"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
      <c r="A4" s="17">
        <f>'Non-Rebalanced Portfolio'!A4</f>
        <v>1989</v>
      </c>
      <c r="B4" s="17">
        <f>'Non-Rebalanced Portfolio'!B4</f>
        <v>31.36</v>
      </c>
      <c r="C4" s="17">
        <f>'Non-Rebalanced Portfolio'!C4</f>
        <v>24.096</v>
      </c>
      <c r="D4" s="17"/>
      <c r="E4" s="17"/>
      <c r="F4" s="17">
        <f>'Non-Rebalanced Portfolio'!F4</f>
        <v>25.971</v>
      </c>
      <c r="G4" s="17"/>
      <c r="H4" s="17">
        <f>'Non-Rebalanced Portfolio'!H4</f>
        <v>13.64</v>
      </c>
      <c r="N4" s="49">
        <f>'4.5% Withdrawals-No Rebalancing'!N4</f>
        <v>1989</v>
      </c>
      <c r="O4" s="50">
        <f>'4.5% Withdrawals-No Rebalancing'!O4</f>
        <v>4.5999999999999999E-2</v>
      </c>
      <c r="P4" s="44"/>
    </row>
    <row r="5" spans="1:16" x14ac:dyDescent="0.2">
      <c r="A5" s="17">
        <f>'Non-Rebalanced Portfolio'!A5</f>
        <v>1990</v>
      </c>
      <c r="B5" s="17">
        <f>'Non-Rebalanced Portfolio'!B5</f>
        <v>-3.32</v>
      </c>
      <c r="C5" s="17">
        <f>'Non-Rebalanced Portfolio'!C5</f>
        <v>-14.045</v>
      </c>
      <c r="D5" s="17"/>
      <c r="E5" s="17"/>
      <c r="F5" s="17">
        <f>'Non-Rebalanced Portfolio'!F5</f>
        <v>-12.26</v>
      </c>
      <c r="G5" s="17"/>
      <c r="H5" s="17">
        <f>'Non-Rebalanced Portfolio'!H5</f>
        <v>8.65</v>
      </c>
      <c r="N5" s="49">
        <f>'4.5% Withdrawals-No Rebalancing'!N5</f>
        <v>1990</v>
      </c>
      <c r="O5" s="50">
        <f>'4.5% Withdrawals-No Rebalancing'!O5</f>
        <v>6.3E-2</v>
      </c>
      <c r="P5" s="44"/>
    </row>
    <row r="6" spans="1:16" x14ac:dyDescent="0.2">
      <c r="A6" s="17">
        <f>'Non-Rebalanced Portfolio'!A6</f>
        <v>1991</v>
      </c>
      <c r="B6" s="17">
        <f>'Non-Rebalanced Portfolio'!B6</f>
        <v>30.22</v>
      </c>
      <c r="C6" s="17">
        <f>'Non-Rebalanced Portfolio'!C6</f>
        <v>41.85</v>
      </c>
      <c r="D6" s="17"/>
      <c r="E6" s="17"/>
      <c r="F6" s="17">
        <f>'Non-Rebalanced Portfolio'!F6</f>
        <v>9.9559999999999995</v>
      </c>
      <c r="G6" s="17"/>
      <c r="H6" s="17">
        <f>'Non-Rebalanced Portfolio'!H6</f>
        <v>15.25</v>
      </c>
      <c r="N6" s="49">
        <f>'4.5% Withdrawals-No Rebalancing'!N6</f>
        <v>1991</v>
      </c>
      <c r="O6" s="50">
        <f>'4.5% Withdrawals-No Rebalancing'!O6</f>
        <v>0.03</v>
      </c>
      <c r="P6" s="44"/>
    </row>
    <row r="7" spans="1:16" x14ac:dyDescent="0.2">
      <c r="A7" s="17">
        <f>'Non-Rebalanced Portfolio'!A7</f>
        <v>1992</v>
      </c>
      <c r="B7" s="17">
        <f>'Non-Rebalanced Portfolio'!B7</f>
        <v>7.42</v>
      </c>
      <c r="C7" s="17">
        <f>'Non-Rebalanced Portfolio'!C7</f>
        <v>12.465999999999999</v>
      </c>
      <c r="D7" s="17"/>
      <c r="E7" s="17"/>
      <c r="F7" s="17">
        <f>'Non-Rebalanced Portfolio'!F7</f>
        <v>-8.7210000000000001</v>
      </c>
      <c r="G7" s="17"/>
      <c r="H7" s="17">
        <f>'Non-Rebalanced Portfolio'!H7</f>
        <v>7.14</v>
      </c>
      <c r="N7" s="49">
        <f>'4.5% Withdrawals-No Rebalancing'!N7</f>
        <v>1992</v>
      </c>
      <c r="O7" s="50">
        <f>'4.5% Withdrawals-No Rebalancing'!O7</f>
        <v>0.03</v>
      </c>
      <c r="P7" s="44"/>
    </row>
    <row r="8" spans="1:16" x14ac:dyDescent="0.2">
      <c r="A8" s="17">
        <f>'Non-Rebalanced Portfolio'!A8</f>
        <v>1993</v>
      </c>
      <c r="B8" s="17">
        <f>'Non-Rebalanced Portfolio'!B8</f>
        <v>9.89</v>
      </c>
      <c r="C8" s="17">
        <f>'Non-Rebalanced Portfolio'!C8</f>
        <v>14.49</v>
      </c>
      <c r="D8" s="17"/>
      <c r="E8" s="17"/>
      <c r="F8" s="17">
        <f>'Non-Rebalanced Portfolio'!F8</f>
        <v>30.494</v>
      </c>
      <c r="G8" s="17"/>
      <c r="H8" s="17">
        <f>'Non-Rebalanced Portfolio'!H8</f>
        <v>9.68</v>
      </c>
      <c r="N8" s="49">
        <f>'4.5% Withdrawals-No Rebalancing'!N8</f>
        <v>1993</v>
      </c>
      <c r="O8" s="50">
        <f>'4.5% Withdrawals-No Rebalancing'!O8</f>
        <v>2.8000000000000001E-2</v>
      </c>
      <c r="P8" s="44"/>
    </row>
    <row r="9" spans="1:16" x14ac:dyDescent="0.2">
      <c r="A9" s="17">
        <f>'Non-Rebalanced Portfolio'!A9</f>
        <v>1994</v>
      </c>
      <c r="B9" s="17">
        <f>'Non-Rebalanced Portfolio'!B9</f>
        <v>1.18</v>
      </c>
      <c r="C9" s="17">
        <f>'Non-Rebalanced Portfolio'!C9</f>
        <v>-1.764</v>
      </c>
      <c r="D9" s="17"/>
      <c r="E9" s="17"/>
      <c r="F9" s="17">
        <f>'Non-Rebalanced Portfolio'!F9</f>
        <v>5.2549999999999999</v>
      </c>
      <c r="G9" s="17"/>
      <c r="H9" s="17">
        <f>'Non-Rebalanced Portfolio'!H9</f>
        <v>-2.66</v>
      </c>
      <c r="N9" s="49">
        <f>'4.5% Withdrawals-No Rebalancing'!N9</f>
        <v>1994</v>
      </c>
      <c r="O9" s="50">
        <f>'4.5% Withdrawals-No Rebalancing'!O9</f>
        <v>2.5999999999999999E-2</v>
      </c>
      <c r="P9" s="44"/>
    </row>
    <row r="10" spans="1:16" x14ac:dyDescent="0.2">
      <c r="A10" s="17">
        <f>'Non-Rebalanced Portfolio'!A10</f>
        <v>1995</v>
      </c>
      <c r="B10" s="17">
        <f>'Non-Rebalanced Portfolio'!B10</f>
        <v>37.450000000000003</v>
      </c>
      <c r="C10" s="17">
        <f>'Non-Rebalanced Portfolio'!C10</f>
        <v>33.796999999999997</v>
      </c>
      <c r="D10" s="17"/>
      <c r="E10" s="17"/>
      <c r="F10" s="17">
        <f>'Non-Rebalanced Portfolio'!F10</f>
        <v>9.6460000000000008</v>
      </c>
      <c r="G10" s="17"/>
      <c r="H10" s="17">
        <f>'Non-Rebalanced Portfolio'!H10</f>
        <v>18.18</v>
      </c>
      <c r="N10" s="49">
        <f>'4.5% Withdrawals-No Rebalancing'!N10</f>
        <v>1995</v>
      </c>
      <c r="O10" s="50">
        <f>'4.5% Withdrawals-No Rebalancing'!O10</f>
        <v>2.5000000000000001E-2</v>
      </c>
      <c r="P10" s="44"/>
    </row>
    <row r="11" spans="1:16" x14ac:dyDescent="0.2">
      <c r="A11" s="17">
        <f>'Non-Rebalanced Portfolio'!A11</f>
        <v>1996</v>
      </c>
      <c r="B11" s="17">
        <f>'Non-Rebalanced Portfolio'!B11</f>
        <v>22.88</v>
      </c>
      <c r="C11" s="17">
        <f>'Non-Rebalanced Portfolio'!C11</f>
        <v>17.646999999999998</v>
      </c>
      <c r="D11" s="17"/>
      <c r="E11" s="17"/>
      <c r="F11" s="17">
        <f>'Non-Rebalanced Portfolio'!F11</f>
        <v>10.218999999999999</v>
      </c>
      <c r="G11" s="17"/>
      <c r="H11" s="17">
        <f>'Non-Rebalanced Portfolio'!H11</f>
        <v>3.58</v>
      </c>
      <c r="N11" s="49">
        <f>'4.5% Withdrawals-No Rebalancing'!N11</f>
        <v>1996</v>
      </c>
      <c r="O11" s="50">
        <f>'4.5% Withdrawals-No Rebalancing'!O11</f>
        <v>3.4000000000000002E-2</v>
      </c>
      <c r="P11" s="44"/>
    </row>
    <row r="12" spans="1:16" x14ac:dyDescent="0.2">
      <c r="A12" s="17">
        <f>'Non-Rebalanced Portfolio'!A12</f>
        <v>1997</v>
      </c>
      <c r="B12" s="17">
        <f>'Non-Rebalanced Portfolio'!B12</f>
        <v>33.19</v>
      </c>
      <c r="C12" s="17">
        <f>'Non-Rebalanced Portfolio'!C12</f>
        <v>26.687000000000001</v>
      </c>
      <c r="D12" s="17"/>
      <c r="E12" s="17"/>
      <c r="F12" s="17">
        <f>'Non-Rebalanced Portfolio'!F12</f>
        <v>0</v>
      </c>
      <c r="G12" s="18">
        <f>'Non-Rebalanced Portfolio'!G12</f>
        <v>-0.77500000000000002</v>
      </c>
      <c r="H12" s="17">
        <f>'Non-Rebalanced Portfolio'!H12</f>
        <v>9.44</v>
      </c>
      <c r="N12" s="49">
        <f>'4.5% Withdrawals-No Rebalancing'!N12</f>
        <v>1997</v>
      </c>
      <c r="O12" s="50">
        <f>'4.5% Withdrawals-No Rebalancing'!O12</f>
        <v>1.7000000000000001E-2</v>
      </c>
      <c r="P12" s="44"/>
    </row>
    <row r="13" spans="1:16" x14ac:dyDescent="0.2">
      <c r="A13" s="17">
        <f>'Non-Rebalanced Portfolio'!A13</f>
        <v>1998</v>
      </c>
      <c r="B13" s="17">
        <f>'Non-Rebalanced Portfolio'!B13</f>
        <v>28.66</v>
      </c>
      <c r="C13" s="17">
        <f>'Non-Rebalanced Portfolio'!C13</f>
        <v>8.3529999999999998</v>
      </c>
      <c r="D13" s="17"/>
      <c r="E13" s="17"/>
      <c r="F13" s="17"/>
      <c r="G13" s="18">
        <f>'Non-Rebalanced Portfolio'!G13</f>
        <v>15.603</v>
      </c>
      <c r="H13" s="17">
        <f>'Non-Rebalanced Portfolio'!H13</f>
        <v>8.58</v>
      </c>
      <c r="N13" s="49">
        <f>'4.5% Withdrawals-No Rebalancing'!N13</f>
        <v>1998</v>
      </c>
      <c r="O13" s="50">
        <f>'4.5% Withdrawals-No Rebalancing'!O13</f>
        <v>1.6E-2</v>
      </c>
      <c r="P13" s="44"/>
    </row>
    <row r="14" spans="1:16" x14ac:dyDescent="0.2">
      <c r="A14" s="17">
        <f>'Non-Rebalanced Portfolio'!A14</f>
        <v>1999</v>
      </c>
      <c r="B14" s="17">
        <f>'Non-Rebalanced Portfolio'!B14</f>
        <v>21.07</v>
      </c>
      <c r="C14" s="17">
        <f>'Non-Rebalanced Portfolio'!C14</f>
        <v>0</v>
      </c>
      <c r="D14" s="18">
        <f>'Non-Rebalanced Portfolio'!D14</f>
        <v>15.319000000000001</v>
      </c>
      <c r="E14" s="18">
        <f>'Non-Rebalanced Portfolio'!E14</f>
        <v>23.132999999999999</v>
      </c>
      <c r="F14" s="17"/>
      <c r="G14" s="17">
        <f>'Non-Rebalanced Portfolio'!G14</f>
        <v>29.919</v>
      </c>
      <c r="H14" s="17">
        <f>'Non-Rebalanced Portfolio'!H14</f>
        <v>-0.76</v>
      </c>
      <c r="N14" s="49">
        <f>'4.5% Withdrawals-No Rebalancing'!N14</f>
        <v>1999</v>
      </c>
      <c r="O14" s="50">
        <f>'4.5% Withdrawals-No Rebalancing'!O14</f>
        <v>2.7E-2</v>
      </c>
      <c r="P14" s="44"/>
    </row>
    <row r="15" spans="1:16" x14ac:dyDescent="0.2">
      <c r="A15" s="17">
        <f>'Non-Rebalanced Portfolio'!A15</f>
        <v>2000</v>
      </c>
      <c r="B15" s="17">
        <f>'Non-Rebalanced Portfolio'!B15</f>
        <v>-9.06</v>
      </c>
      <c r="C15" s="17"/>
      <c r="D15" s="18">
        <f>'Non-Rebalanced Portfolio'!D15</f>
        <v>18.097999999999999</v>
      </c>
      <c r="E15" s="18">
        <f>'Non-Rebalanced Portfolio'!E15</f>
        <v>-2.665</v>
      </c>
      <c r="F15" s="17"/>
      <c r="G15" s="17">
        <f>'Non-Rebalanced Portfolio'!G15</f>
        <v>-15.614000000000001</v>
      </c>
      <c r="H15" s="17">
        <f>'Non-Rebalanced Portfolio'!H15</f>
        <v>11.39</v>
      </c>
      <c r="N15" s="49">
        <f>'4.5% Withdrawals-No Rebalancing'!N15</f>
        <v>2000</v>
      </c>
      <c r="O15" s="50">
        <f>'4.5% Withdrawals-No Rebalancing'!O15</f>
        <v>3.4000000000000002E-2</v>
      </c>
      <c r="P15" s="44"/>
    </row>
    <row r="16" spans="1:16"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c r="N16" s="49">
        <f>'4.5% Withdrawals-No Rebalancing'!N16</f>
        <v>2001</v>
      </c>
      <c r="O16" s="50">
        <f>'4.5% Withdrawals-No Rebalancing'!O16</f>
        <v>1.6E-2</v>
      </c>
      <c r="P16" s="44"/>
    </row>
    <row r="17" spans="1:16"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c r="N17" s="49">
        <f>'4.5% Withdrawals-No Rebalancing'!N17</f>
        <v>2002</v>
      </c>
      <c r="O17" s="50">
        <f>'4.5% Withdrawals-No Rebalancing'!O17</f>
        <v>2.5000000000000001E-2</v>
      </c>
      <c r="P17" s="44"/>
    </row>
    <row r="18" spans="1:16"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c r="N18" s="49">
        <f>'4.5% Withdrawals-No Rebalancing'!N18</f>
        <v>2003</v>
      </c>
      <c r="O18" s="50">
        <f>'4.5% Withdrawals-No Rebalancing'!O18</f>
        <v>0.02</v>
      </c>
      <c r="P18" s="44"/>
    </row>
    <row r="19" spans="1:16"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c r="N19" s="49">
        <f>'4.5% Withdrawals-No Rebalancing'!N19</f>
        <v>2004</v>
      </c>
      <c r="O19" s="50">
        <f>'4.5% Withdrawals-No Rebalancing'!O19</f>
        <v>3.3000000000000002E-2</v>
      </c>
      <c r="P19" s="44"/>
    </row>
    <row r="20" spans="1:16"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c r="N20" s="49">
        <f>'4.5% Withdrawals-No Rebalancing'!N20</f>
        <v>2005</v>
      </c>
      <c r="O20" s="50">
        <f>'4.5% Withdrawals-No Rebalancing'!O20</f>
        <v>3.3000000000000002E-2</v>
      </c>
      <c r="P20" s="44"/>
    </row>
    <row r="21" spans="1:16"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c r="N21" s="49">
        <f>'4.5% Withdrawals-No Rebalancing'!N21</f>
        <v>2006</v>
      </c>
      <c r="O21" s="50">
        <f>'4.5% Withdrawals-No Rebalancing'!O21</f>
        <v>2.5000000000000001E-2</v>
      </c>
      <c r="P21" s="44"/>
    </row>
    <row r="22" spans="1:16"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c r="N22" s="49">
        <f>'4.5% Withdrawals-No Rebalancing'!N22</f>
        <v>2007</v>
      </c>
      <c r="O22" s="50">
        <f>'4.5% Withdrawals-No Rebalancing'!O22</f>
        <v>4.1000000000000002E-2</v>
      </c>
      <c r="P22" s="44"/>
    </row>
    <row r="23" spans="1:16"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c r="N23" s="49">
        <f>'4.5% Withdrawals-No Rebalancing'!N23</f>
        <v>2008</v>
      </c>
      <c r="O23" s="50">
        <f>'4.5% Withdrawals-No Rebalancing'!O23</f>
        <v>0</v>
      </c>
      <c r="P23" s="44"/>
    </row>
    <row r="24" spans="1:16"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c r="N24" s="49">
        <f>'4.5% Withdrawals-No Rebalancing'!N24</f>
        <v>2009</v>
      </c>
      <c r="O24" s="50">
        <f>'4.5% Withdrawals-No Rebalancing'!O24</f>
        <v>2.8000000000000001E-2</v>
      </c>
      <c r="P24" s="44"/>
    </row>
    <row r="25" spans="1:16"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c r="N25" s="49">
        <f>'4.5% Withdrawals-No Rebalancing'!N25</f>
        <v>2010</v>
      </c>
      <c r="O25" s="50">
        <f>'4.5% Withdrawals-No Rebalancing'!O25</f>
        <v>1.4E-2</v>
      </c>
      <c r="P25" s="44"/>
    </row>
    <row r="26" spans="1:16"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c r="N26" s="49">
        <f>'4.5% Withdrawals-No Rebalancing'!N26</f>
        <v>2011</v>
      </c>
      <c r="O26" s="50">
        <f>'4.5% Withdrawals-No Rebalancing'!O26</f>
        <v>0.03</v>
      </c>
      <c r="P26" s="44"/>
    </row>
    <row r="27" spans="1:16"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c r="N27" s="49">
        <f>'4.5% Withdrawals-No Rebalancing'!N27</f>
        <v>2012</v>
      </c>
      <c r="O27" s="50">
        <f>'4.5% Withdrawals-No Rebalancing'!O27</f>
        <v>1.7999999999999999E-2</v>
      </c>
    </row>
    <row r="28" spans="1:16" x14ac:dyDescent="0.2">
      <c r="A28" s="17">
        <f>'Non-Rebalanced Portfolio'!A28</f>
        <v>2013</v>
      </c>
      <c r="B28" s="17">
        <f>'Non-Rebalanced Portfolio'!B28</f>
        <v>32.18</v>
      </c>
      <c r="C28" s="19"/>
      <c r="D28" s="17">
        <f>'Non-Rebalanced Portfolio'!D28</f>
        <v>35</v>
      </c>
      <c r="E28" s="17">
        <f>'Non-Rebalanced Portfolio'!E28</f>
        <v>37.619999999999997</v>
      </c>
      <c r="F28" s="19"/>
      <c r="G28" s="17">
        <f>'Non-Rebalanced Portfolio'!G28</f>
        <v>15.04</v>
      </c>
      <c r="H28" s="17">
        <f>'Non-Rebalanced Portfolio'!H28</f>
        <v>-2.2599999999999998</v>
      </c>
      <c r="N28" s="49">
        <f>'4.5% Withdrawals-No Rebalancing'!N28</f>
        <v>2013</v>
      </c>
      <c r="O28" s="50">
        <f>'4.5% Withdrawals-No Rebalancing'!O28</f>
        <v>1.15559170535223E-2</v>
      </c>
    </row>
    <row r="29" spans="1:16"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2014</v>
      </c>
      <c r="O29" s="50">
        <f>'4.5% Withdrawals-No Rebalancing'!O29</f>
        <v>1.29E-2</v>
      </c>
    </row>
    <row r="30" spans="1:16"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2015</v>
      </c>
      <c r="O30" s="50">
        <f>'4.5% Withdrawals-No Rebalancing'!O30</f>
        <v>4.4000000000000003E-3</v>
      </c>
    </row>
    <row r="31" spans="1:16"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2016</v>
      </c>
      <c r="O31" s="50">
        <f>'4.5% Withdrawals-No Rebalancing'!O31</f>
        <v>1.7000000000000001E-2</v>
      </c>
    </row>
    <row r="32" spans="1:16"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2017</v>
      </c>
      <c r="O32" s="50">
        <f>'4.5% Withdrawals-No Rebalancing'!O32</f>
        <v>2.23E-2</v>
      </c>
    </row>
    <row r="33" spans="1:42"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42" x14ac:dyDescent="0.2">
      <c r="A36" s="20" t="s">
        <v>123</v>
      </c>
      <c r="N36" s="20" t="s">
        <v>25</v>
      </c>
      <c r="R36" s="20" t="s">
        <v>163</v>
      </c>
      <c r="AF36" s="20" t="s">
        <v>138</v>
      </c>
    </row>
    <row r="37" spans="1:42"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O37" s="81">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111</v>
      </c>
      <c r="AP37" s="5" t="s">
        <v>112</v>
      </c>
    </row>
    <row r="38" spans="1:42"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F38" t="s">
        <v>72</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70</v>
      </c>
      <c r="AO38" s="5" t="s">
        <v>112</v>
      </c>
      <c r="AP38" s="5" t="s">
        <v>87</v>
      </c>
    </row>
    <row r="39" spans="1:42" x14ac:dyDescent="0.2">
      <c r="A39" t="s">
        <v>71</v>
      </c>
      <c r="B39" s="2">
        <v>100000</v>
      </c>
      <c r="C39" s="2">
        <v>0</v>
      </c>
      <c r="F39" s="2">
        <v>0</v>
      </c>
      <c r="H39" s="2">
        <v>0</v>
      </c>
      <c r="I39" s="2">
        <f>SUM(B39:H39)</f>
        <v>100000</v>
      </c>
      <c r="N39" s="21"/>
      <c r="R39" t="str">
        <f>A39</f>
        <v>Stating Balance</v>
      </c>
      <c r="S39" s="2">
        <f>B39</f>
        <v>100000</v>
      </c>
      <c r="T39" s="2">
        <f t="shared" si="1"/>
        <v>0</v>
      </c>
      <c r="U39" s="2">
        <f t="shared" si="1"/>
        <v>0</v>
      </c>
      <c r="V39" s="2">
        <f t="shared" si="1"/>
        <v>0</v>
      </c>
      <c r="W39" s="2">
        <f t="shared" si="1"/>
        <v>0</v>
      </c>
      <c r="X39" s="2">
        <f t="shared" si="1"/>
        <v>0</v>
      </c>
      <c r="Y39" s="2">
        <f t="shared" si="1"/>
        <v>0</v>
      </c>
      <c r="Z39" s="2">
        <f t="shared" si="1"/>
        <v>100000</v>
      </c>
      <c r="AD39" s="2"/>
      <c r="AF39" s="21" t="s">
        <v>86</v>
      </c>
      <c r="AG39" s="6">
        <f t="shared" ref="AG39:AH54" si="3">S39/$Z39</f>
        <v>1</v>
      </c>
      <c r="AH39" s="6">
        <f t="shared" si="3"/>
        <v>0</v>
      </c>
      <c r="AI39" s="23">
        <v>0.2</v>
      </c>
      <c r="AJ39" s="23">
        <v>0.1</v>
      </c>
      <c r="AK39" s="6">
        <f t="shared" ref="AK39:AK48" si="4">W39/$Z39</f>
        <v>0</v>
      </c>
      <c r="AL39" s="23">
        <v>0.2</v>
      </c>
      <c r="AM39" s="6">
        <f>Y39/$Z39</f>
        <v>0</v>
      </c>
      <c r="AN39" s="6">
        <f>Z39/$Z39</f>
        <v>1</v>
      </c>
      <c r="AO39" s="24"/>
    </row>
    <row r="40" spans="1:42" x14ac:dyDescent="0.2">
      <c r="A40">
        <f t="shared" ref="A40:A64" si="5">A4</f>
        <v>1989</v>
      </c>
      <c r="B40" s="2">
        <f>B39*(1+(B4/100))</f>
        <v>131360</v>
      </c>
      <c r="C40" s="2">
        <f>C39*(1+(C4/100))</f>
        <v>0</v>
      </c>
      <c r="D40" s="2"/>
      <c r="E40" s="2"/>
      <c r="F40" s="2">
        <f>F39*(1+(F4/100))</f>
        <v>0</v>
      </c>
      <c r="G40" s="2"/>
      <c r="H40" s="2">
        <f>H39*(1+(H4/100))</f>
        <v>0</v>
      </c>
      <c r="I40" s="2">
        <f>SUM(B40:H40)</f>
        <v>131360</v>
      </c>
      <c r="J40" s="2">
        <f>I40-I39</f>
        <v>31360</v>
      </c>
      <c r="K40" s="6">
        <f>(J40/I39)</f>
        <v>0.31359999999999999</v>
      </c>
      <c r="L40" s="7">
        <f>K40+1</f>
        <v>1.3136000000000001</v>
      </c>
      <c r="N40">
        <f>A40</f>
        <v>1989</v>
      </c>
      <c r="O40" s="2">
        <f>I40*O37</f>
        <v>5911.2</v>
      </c>
      <c r="P40" s="2"/>
      <c r="Q40" s="2"/>
      <c r="R40">
        <f>A40</f>
        <v>1989</v>
      </c>
      <c r="S40" s="2">
        <f>B40-($O40)</f>
        <v>125448.8</v>
      </c>
      <c r="T40" s="2">
        <f>C40</f>
        <v>0</v>
      </c>
      <c r="U40" s="2"/>
      <c r="V40" s="2"/>
      <c r="W40" s="2">
        <f>F40</f>
        <v>0</v>
      </c>
      <c r="X40" s="2"/>
      <c r="Y40" s="2">
        <f>H40</f>
        <v>0</v>
      </c>
      <c r="Z40" s="2">
        <f>SUM(S40:Y40)</f>
        <v>125448.8</v>
      </c>
      <c r="AA40" s="2">
        <f>Z40-Z39</f>
        <v>25448.800000000003</v>
      </c>
      <c r="AB40" s="6">
        <f>(AA40/Z39)</f>
        <v>0.25448800000000005</v>
      </c>
      <c r="AC40" s="7">
        <f>AB40+1</f>
        <v>1.254488</v>
      </c>
      <c r="AD40" s="2">
        <f>Z40-(I40-O40)</f>
        <v>0</v>
      </c>
      <c r="AF40">
        <f t="shared" ref="AF40:AF64" si="6">A40</f>
        <v>1989</v>
      </c>
      <c r="AG40" s="6">
        <f t="shared" si="3"/>
        <v>1</v>
      </c>
      <c r="AH40" s="6">
        <f t="shared" si="3"/>
        <v>0</v>
      </c>
      <c r="AI40" s="7"/>
      <c r="AJ40" s="7"/>
      <c r="AK40" s="6">
        <f t="shared" si="4"/>
        <v>0</v>
      </c>
      <c r="AL40" s="7"/>
      <c r="AM40" s="6">
        <f t="shared" ref="AM40:AM64" si="7">Y40/$Z40</f>
        <v>0</v>
      </c>
      <c r="AN40" s="6">
        <f>SUM(AG40:AM40)</f>
        <v>1</v>
      </c>
      <c r="AO40" s="7">
        <f>SUM(AG40:AL40)</f>
        <v>1</v>
      </c>
      <c r="AP40" s="7">
        <f>AN40-(AO40+AM40)</f>
        <v>0</v>
      </c>
    </row>
    <row r="41" spans="1:42" x14ac:dyDescent="0.2">
      <c r="A41">
        <f t="shared" si="5"/>
        <v>1990</v>
      </c>
      <c r="B41" s="2">
        <f t="shared" ref="B41:C56" si="8">S40*(1+(B5/100))</f>
        <v>121283.89984</v>
      </c>
      <c r="C41" s="2">
        <f t="shared" si="8"/>
        <v>0</v>
      </c>
      <c r="D41" s="2"/>
      <c r="E41" s="2"/>
      <c r="F41" s="2">
        <f t="shared" ref="F41:F48" si="9">W40*(1+(F5/100))</f>
        <v>0</v>
      </c>
      <c r="G41" s="2"/>
      <c r="H41" s="2">
        <f t="shared" ref="H41:H64" si="10">Y40*(1+(H5/100))</f>
        <v>0</v>
      </c>
      <c r="I41" s="2">
        <f t="shared" ref="I41:I64" si="11">SUM(B41:H41)</f>
        <v>121283.89984</v>
      </c>
      <c r="J41" s="2">
        <f t="shared" ref="J41:J64" si="12">I41-I40</f>
        <v>-10076.100160000002</v>
      </c>
      <c r="K41" s="6">
        <f t="shared" ref="K41:K64" si="13">(J41/I40)</f>
        <v>-7.670600000000001E-2</v>
      </c>
      <c r="L41" s="7">
        <f t="shared" ref="L41:L64" si="14">K41+1</f>
        <v>0.92329399999999995</v>
      </c>
      <c r="N41">
        <f t="shared" ref="N41:N64" si="15">A41</f>
        <v>1990</v>
      </c>
      <c r="O41" s="2">
        <f t="shared" ref="O41:O64" si="16">O40*(1+O5)</f>
        <v>6283.6055999999999</v>
      </c>
      <c r="P41" s="2"/>
      <c r="Q41" s="2"/>
      <c r="R41">
        <f t="shared" ref="R41:R64" si="17">A41</f>
        <v>1990</v>
      </c>
      <c r="S41" s="2">
        <f t="shared" ref="S41:S64" si="18">B41-($O41)</f>
        <v>115000.29424</v>
      </c>
      <c r="T41" s="2">
        <f t="shared" ref="T41:T50" si="19">C41</f>
        <v>0</v>
      </c>
      <c r="U41" s="2"/>
      <c r="V41" s="2"/>
      <c r="W41" s="2">
        <f t="shared" ref="W41:W48" si="20">F41</f>
        <v>0</v>
      </c>
      <c r="X41" s="2"/>
      <c r="Y41" s="2">
        <f t="shared" ref="Y41:Y64" si="21">H41</f>
        <v>0</v>
      </c>
      <c r="Z41" s="2">
        <f t="shared" ref="Z41:Z64" si="22">SUM(S41:Y41)</f>
        <v>115000.29424</v>
      </c>
      <c r="AA41" s="2">
        <f t="shared" ref="AA41:AA55" si="23">Z41-Z40</f>
        <v>-10448.50576</v>
      </c>
      <c r="AB41" s="6">
        <f t="shared" ref="AB41:AB55" si="24">(AA41/Z40)</f>
        <v>-8.3289005235602093E-2</v>
      </c>
      <c r="AC41" s="7">
        <f t="shared" ref="AC41:AC64" si="25">AB41+1</f>
        <v>0.91671099476439788</v>
      </c>
      <c r="AD41" s="2">
        <f t="shared" ref="AD41:AD64" si="26">Z41-(I41-O41)</f>
        <v>0</v>
      </c>
      <c r="AF41">
        <f t="shared" si="6"/>
        <v>1990</v>
      </c>
      <c r="AG41" s="6">
        <f t="shared" si="3"/>
        <v>1</v>
      </c>
      <c r="AH41" s="6">
        <f t="shared" si="3"/>
        <v>0</v>
      </c>
      <c r="AI41" s="7"/>
      <c r="AJ41" s="7"/>
      <c r="AK41" s="6">
        <f t="shared" si="4"/>
        <v>0</v>
      </c>
      <c r="AL41" s="7"/>
      <c r="AM41" s="6">
        <f t="shared" si="7"/>
        <v>0</v>
      </c>
      <c r="AN41" s="6">
        <f t="shared" ref="AN41:AN64" si="27">SUM(AG41:AM41)</f>
        <v>1</v>
      </c>
      <c r="AO41" s="7">
        <f t="shared" ref="AO41:AO64" si="28">SUM(AG41:AL41)</f>
        <v>1</v>
      </c>
      <c r="AP41" s="7">
        <f t="shared" ref="AP41:AP64" si="29">AN41-(AO41+AM41)</f>
        <v>0</v>
      </c>
    </row>
    <row r="42" spans="1:42" x14ac:dyDescent="0.2">
      <c r="A42">
        <f t="shared" si="5"/>
        <v>1991</v>
      </c>
      <c r="B42" s="2">
        <f t="shared" si="8"/>
        <v>149753.38315932802</v>
      </c>
      <c r="C42" s="2">
        <f t="shared" si="8"/>
        <v>0</v>
      </c>
      <c r="D42" s="2"/>
      <c r="E42" s="2"/>
      <c r="F42" s="2">
        <f t="shared" si="9"/>
        <v>0</v>
      </c>
      <c r="G42" s="2"/>
      <c r="H42" s="2">
        <f t="shared" si="10"/>
        <v>0</v>
      </c>
      <c r="I42" s="2">
        <f t="shared" ref="I42:I48" si="30">SUM(B42:H42)</f>
        <v>149753.38315932802</v>
      </c>
      <c r="J42" s="2">
        <f t="shared" si="12"/>
        <v>28469.483319328021</v>
      </c>
      <c r="K42" s="6">
        <f t="shared" si="13"/>
        <v>0.23473423394931642</v>
      </c>
      <c r="L42" s="7">
        <f t="shared" si="14"/>
        <v>1.2347342339493164</v>
      </c>
      <c r="N42">
        <f t="shared" si="15"/>
        <v>1991</v>
      </c>
      <c r="O42" s="2">
        <f t="shared" si="16"/>
        <v>6472.1137680000002</v>
      </c>
      <c r="P42" s="2"/>
      <c r="Q42" s="2"/>
      <c r="R42">
        <f t="shared" si="17"/>
        <v>1991</v>
      </c>
      <c r="S42" s="2">
        <f t="shared" si="18"/>
        <v>143281.26939132801</v>
      </c>
      <c r="T42" s="2">
        <f t="shared" si="19"/>
        <v>0</v>
      </c>
      <c r="U42" s="2"/>
      <c r="V42" s="2"/>
      <c r="W42" s="2">
        <f t="shared" si="20"/>
        <v>0</v>
      </c>
      <c r="X42" s="2"/>
      <c r="Y42" s="2">
        <f t="shared" si="21"/>
        <v>0</v>
      </c>
      <c r="Z42" s="2">
        <f t="shared" si="22"/>
        <v>143281.26939132801</v>
      </c>
      <c r="AA42" s="2">
        <f t="shared" si="23"/>
        <v>28280.975151328006</v>
      </c>
      <c r="AB42" s="6">
        <f t="shared" si="24"/>
        <v>0.24592089383968871</v>
      </c>
      <c r="AC42" s="7">
        <f t="shared" si="25"/>
        <v>1.2459208938396886</v>
      </c>
      <c r="AD42" s="2">
        <f t="shared" si="26"/>
        <v>0</v>
      </c>
      <c r="AF42">
        <f t="shared" si="6"/>
        <v>1991</v>
      </c>
      <c r="AG42" s="6">
        <f t="shared" si="3"/>
        <v>1</v>
      </c>
      <c r="AH42" s="6">
        <f t="shared" si="3"/>
        <v>0</v>
      </c>
      <c r="AI42" s="7"/>
      <c r="AJ42" s="7"/>
      <c r="AK42" s="6">
        <f t="shared" si="4"/>
        <v>0</v>
      </c>
      <c r="AL42" s="7"/>
      <c r="AM42" s="6">
        <f t="shared" si="7"/>
        <v>0</v>
      </c>
      <c r="AN42" s="6">
        <f t="shared" si="27"/>
        <v>1</v>
      </c>
      <c r="AO42" s="7">
        <f t="shared" si="28"/>
        <v>1</v>
      </c>
      <c r="AP42" s="7">
        <f t="shared" si="29"/>
        <v>0</v>
      </c>
    </row>
    <row r="43" spans="1:42" x14ac:dyDescent="0.2">
      <c r="A43">
        <f t="shared" si="5"/>
        <v>1992</v>
      </c>
      <c r="B43" s="2">
        <f t="shared" si="8"/>
        <v>153912.73958016455</v>
      </c>
      <c r="C43" s="2">
        <f t="shared" si="8"/>
        <v>0</v>
      </c>
      <c r="D43" s="2"/>
      <c r="E43" s="2"/>
      <c r="F43" s="2">
        <f t="shared" si="9"/>
        <v>0</v>
      </c>
      <c r="G43" s="2"/>
      <c r="H43" s="2">
        <f t="shared" si="10"/>
        <v>0</v>
      </c>
      <c r="I43" s="2">
        <f t="shared" si="30"/>
        <v>153912.73958016455</v>
      </c>
      <c r="J43" s="2">
        <f t="shared" si="12"/>
        <v>4159.3564208365278</v>
      </c>
      <c r="K43" s="6">
        <f t="shared" si="13"/>
        <v>2.7774707543075931E-2</v>
      </c>
      <c r="L43" s="7">
        <f t="shared" si="14"/>
        <v>1.0277747075430759</v>
      </c>
      <c r="N43">
        <f t="shared" si="15"/>
        <v>1992</v>
      </c>
      <c r="O43" s="2">
        <f t="shared" si="16"/>
        <v>6666.27718104</v>
      </c>
      <c r="P43" s="2"/>
      <c r="Q43" s="2"/>
      <c r="R43">
        <f t="shared" si="17"/>
        <v>1992</v>
      </c>
      <c r="S43" s="2">
        <f t="shared" si="18"/>
        <v>147246.46239912455</v>
      </c>
      <c r="T43" s="2">
        <f t="shared" si="19"/>
        <v>0</v>
      </c>
      <c r="U43" s="2"/>
      <c r="V43" s="2"/>
      <c r="W43" s="2">
        <f t="shared" si="20"/>
        <v>0</v>
      </c>
      <c r="X43" s="2"/>
      <c r="Y43" s="2">
        <f t="shared" si="21"/>
        <v>0</v>
      </c>
      <c r="Z43" s="2">
        <f t="shared" si="22"/>
        <v>147246.46239912455</v>
      </c>
      <c r="AA43" s="2">
        <f t="shared" si="23"/>
        <v>3965.1930077965371</v>
      </c>
      <c r="AB43" s="6">
        <f t="shared" si="24"/>
        <v>2.7674189547880482E-2</v>
      </c>
      <c r="AC43" s="7">
        <f t="shared" si="25"/>
        <v>1.0276741895478805</v>
      </c>
      <c r="AD43" s="2">
        <f t="shared" si="26"/>
        <v>0</v>
      </c>
      <c r="AF43">
        <f t="shared" si="6"/>
        <v>1992</v>
      </c>
      <c r="AG43" s="6">
        <f t="shared" si="3"/>
        <v>1</v>
      </c>
      <c r="AH43" s="6">
        <f t="shared" si="3"/>
        <v>0</v>
      </c>
      <c r="AI43" s="7"/>
      <c r="AJ43" s="7"/>
      <c r="AK43" s="6">
        <f t="shared" si="4"/>
        <v>0</v>
      </c>
      <c r="AL43" s="7"/>
      <c r="AM43" s="6">
        <f t="shared" si="7"/>
        <v>0</v>
      </c>
      <c r="AN43" s="6">
        <f t="shared" si="27"/>
        <v>1</v>
      </c>
      <c r="AO43" s="7">
        <f t="shared" si="28"/>
        <v>1</v>
      </c>
      <c r="AP43" s="7">
        <f t="shared" si="29"/>
        <v>0</v>
      </c>
    </row>
    <row r="44" spans="1:42" x14ac:dyDescent="0.2">
      <c r="A44">
        <f t="shared" si="5"/>
        <v>1993</v>
      </c>
      <c r="B44" s="2">
        <f t="shared" si="8"/>
        <v>161809.13753039797</v>
      </c>
      <c r="C44" s="2">
        <f t="shared" si="8"/>
        <v>0</v>
      </c>
      <c r="D44" s="2"/>
      <c r="E44" s="2"/>
      <c r="F44" s="2">
        <f t="shared" si="9"/>
        <v>0</v>
      </c>
      <c r="G44" s="2"/>
      <c r="H44" s="2">
        <f t="shared" si="10"/>
        <v>0</v>
      </c>
      <c r="I44" s="2">
        <f t="shared" si="30"/>
        <v>161809.13753039797</v>
      </c>
      <c r="J44" s="2">
        <f t="shared" si="12"/>
        <v>7896.3979502334259</v>
      </c>
      <c r="K44" s="6">
        <f t="shared" si="13"/>
        <v>5.1304381767050759E-2</v>
      </c>
      <c r="L44" s="7">
        <f t="shared" si="14"/>
        <v>1.0513043817670507</v>
      </c>
      <c r="N44">
        <f t="shared" si="15"/>
        <v>1993</v>
      </c>
      <c r="O44" s="2">
        <f t="shared" si="16"/>
        <v>6852.9329421091197</v>
      </c>
      <c r="P44" s="2"/>
      <c r="Q44" s="2"/>
      <c r="R44">
        <f t="shared" si="17"/>
        <v>1993</v>
      </c>
      <c r="S44" s="2">
        <f t="shared" si="18"/>
        <v>154956.20458828885</v>
      </c>
      <c r="T44" s="2">
        <f t="shared" si="19"/>
        <v>0</v>
      </c>
      <c r="U44" s="2"/>
      <c r="V44" s="2"/>
      <c r="W44" s="2">
        <f t="shared" si="20"/>
        <v>0</v>
      </c>
      <c r="X44" s="2"/>
      <c r="Y44" s="2">
        <f t="shared" si="21"/>
        <v>0</v>
      </c>
      <c r="Z44" s="2">
        <f t="shared" si="22"/>
        <v>154956.20458828885</v>
      </c>
      <c r="AA44" s="2">
        <f t="shared" si="23"/>
        <v>7709.7421891643025</v>
      </c>
      <c r="AB44" s="6">
        <f t="shared" si="24"/>
        <v>5.2359439157637383E-2</v>
      </c>
      <c r="AC44" s="7">
        <f t="shared" si="25"/>
        <v>1.0523594391576374</v>
      </c>
      <c r="AD44" s="2">
        <f t="shared" si="26"/>
        <v>0</v>
      </c>
      <c r="AF44">
        <f t="shared" si="6"/>
        <v>1993</v>
      </c>
      <c r="AG44" s="6">
        <f t="shared" si="3"/>
        <v>1</v>
      </c>
      <c r="AH44" s="6">
        <f t="shared" si="3"/>
        <v>0</v>
      </c>
      <c r="AI44" s="7"/>
      <c r="AJ44" s="7"/>
      <c r="AK44" s="6">
        <f t="shared" si="4"/>
        <v>0</v>
      </c>
      <c r="AL44" s="7"/>
      <c r="AM44" s="6">
        <f t="shared" si="7"/>
        <v>0</v>
      </c>
      <c r="AN44" s="6">
        <f t="shared" si="27"/>
        <v>1</v>
      </c>
      <c r="AO44" s="7">
        <f t="shared" si="28"/>
        <v>1</v>
      </c>
      <c r="AP44" s="7">
        <f t="shared" si="29"/>
        <v>0</v>
      </c>
    </row>
    <row r="45" spans="1:42" x14ac:dyDescent="0.2">
      <c r="A45">
        <f t="shared" si="5"/>
        <v>1994</v>
      </c>
      <c r="B45" s="2">
        <f t="shared" si="8"/>
        <v>156784.68780243065</v>
      </c>
      <c r="C45" s="2">
        <f t="shared" si="8"/>
        <v>0</v>
      </c>
      <c r="D45" s="2"/>
      <c r="E45" s="2"/>
      <c r="F45" s="2">
        <f t="shared" si="9"/>
        <v>0</v>
      </c>
      <c r="G45" s="2"/>
      <c r="H45" s="2">
        <f t="shared" si="10"/>
        <v>0</v>
      </c>
      <c r="I45" s="2">
        <f t="shared" si="30"/>
        <v>156784.68780243065</v>
      </c>
      <c r="J45" s="2">
        <f t="shared" si="12"/>
        <v>-5024.4497279673233</v>
      </c>
      <c r="K45" s="6">
        <f t="shared" si="13"/>
        <v>-3.1051705760581132E-2</v>
      </c>
      <c r="L45" s="7">
        <f t="shared" si="14"/>
        <v>0.96894829423941886</v>
      </c>
      <c r="N45">
        <f t="shared" si="15"/>
        <v>1994</v>
      </c>
      <c r="O45" s="2">
        <f t="shared" si="16"/>
        <v>7031.1091986039573</v>
      </c>
      <c r="P45" s="2"/>
      <c r="Q45" s="2"/>
      <c r="R45">
        <f t="shared" si="17"/>
        <v>1994</v>
      </c>
      <c r="S45" s="2">
        <f t="shared" si="18"/>
        <v>149753.5786038267</v>
      </c>
      <c r="T45" s="2">
        <f t="shared" si="19"/>
        <v>0</v>
      </c>
      <c r="U45" s="2"/>
      <c r="V45" s="2"/>
      <c r="W45" s="2">
        <f t="shared" si="20"/>
        <v>0</v>
      </c>
      <c r="X45" s="2"/>
      <c r="Y45" s="2">
        <f t="shared" si="21"/>
        <v>0</v>
      </c>
      <c r="Z45" s="2">
        <f t="shared" si="22"/>
        <v>149753.5786038267</v>
      </c>
      <c r="AA45" s="2">
        <f t="shared" si="23"/>
        <v>-5202.6259844621527</v>
      </c>
      <c r="AB45" s="6">
        <f t="shared" si="24"/>
        <v>-3.3574815531170747E-2</v>
      </c>
      <c r="AC45" s="7">
        <f t="shared" si="25"/>
        <v>0.9664251844688293</v>
      </c>
      <c r="AD45" s="2">
        <f t="shared" si="26"/>
        <v>0</v>
      </c>
      <c r="AF45">
        <f t="shared" si="6"/>
        <v>1994</v>
      </c>
      <c r="AG45" s="6">
        <f t="shared" si="3"/>
        <v>1</v>
      </c>
      <c r="AH45" s="6">
        <f t="shared" si="3"/>
        <v>0</v>
      </c>
      <c r="AI45" s="7"/>
      <c r="AJ45" s="7"/>
      <c r="AK45" s="6">
        <f t="shared" si="4"/>
        <v>0</v>
      </c>
      <c r="AL45" s="7"/>
      <c r="AM45" s="6">
        <f t="shared" si="7"/>
        <v>0</v>
      </c>
      <c r="AN45" s="6">
        <f t="shared" si="27"/>
        <v>1</v>
      </c>
      <c r="AO45" s="7">
        <f t="shared" si="28"/>
        <v>1</v>
      </c>
      <c r="AP45" s="7">
        <f t="shared" si="29"/>
        <v>0</v>
      </c>
    </row>
    <row r="46" spans="1:42" x14ac:dyDescent="0.2">
      <c r="A46">
        <f t="shared" si="5"/>
        <v>1995</v>
      </c>
      <c r="B46" s="2">
        <f t="shared" si="8"/>
        <v>205836.29379095981</v>
      </c>
      <c r="C46" s="2">
        <f t="shared" si="8"/>
        <v>0</v>
      </c>
      <c r="D46" s="2"/>
      <c r="E46" s="2"/>
      <c r="F46" s="2">
        <f t="shared" si="9"/>
        <v>0</v>
      </c>
      <c r="G46" s="2"/>
      <c r="H46" s="2">
        <f t="shared" si="10"/>
        <v>0</v>
      </c>
      <c r="I46" s="2">
        <f t="shared" si="30"/>
        <v>205836.29379095981</v>
      </c>
      <c r="J46" s="2">
        <f t="shared" si="12"/>
        <v>49051.605988529162</v>
      </c>
      <c r="K46" s="6">
        <f t="shared" si="13"/>
        <v>0.31285967192370623</v>
      </c>
      <c r="L46" s="7">
        <f t="shared" si="14"/>
        <v>1.3128596719237062</v>
      </c>
      <c r="N46">
        <f t="shared" si="15"/>
        <v>1995</v>
      </c>
      <c r="O46" s="2">
        <f t="shared" si="16"/>
        <v>7206.8869285690553</v>
      </c>
      <c r="P46" s="2"/>
      <c r="Q46" s="2"/>
      <c r="R46">
        <f t="shared" si="17"/>
        <v>1995</v>
      </c>
      <c r="S46" s="2">
        <f t="shared" si="18"/>
        <v>198629.40686239075</v>
      </c>
      <c r="T46" s="2">
        <f t="shared" si="19"/>
        <v>0</v>
      </c>
      <c r="U46" s="2"/>
      <c r="V46" s="2"/>
      <c r="W46" s="2">
        <f t="shared" si="20"/>
        <v>0</v>
      </c>
      <c r="X46" s="2"/>
      <c r="Y46" s="2">
        <f t="shared" si="21"/>
        <v>0</v>
      </c>
      <c r="Z46" s="2">
        <f t="shared" si="22"/>
        <v>198629.40686239075</v>
      </c>
      <c r="AA46" s="2">
        <f t="shared" si="23"/>
        <v>48875.828258564055</v>
      </c>
      <c r="AB46" s="6">
        <f t="shared" si="24"/>
        <v>0.32637502698927234</v>
      </c>
      <c r="AC46" s="7">
        <f t="shared" si="25"/>
        <v>1.3263750269892722</v>
      </c>
      <c r="AD46" s="2">
        <f t="shared" si="26"/>
        <v>0</v>
      </c>
      <c r="AF46">
        <f t="shared" si="6"/>
        <v>1995</v>
      </c>
      <c r="AG46" s="6">
        <f t="shared" si="3"/>
        <v>1</v>
      </c>
      <c r="AH46" s="6">
        <f t="shared" si="3"/>
        <v>0</v>
      </c>
      <c r="AI46" s="7"/>
      <c r="AJ46" s="7"/>
      <c r="AK46" s="6">
        <f t="shared" si="4"/>
        <v>0</v>
      </c>
      <c r="AL46" s="7"/>
      <c r="AM46" s="6">
        <f t="shared" si="7"/>
        <v>0</v>
      </c>
      <c r="AN46" s="6">
        <f t="shared" si="27"/>
        <v>1</v>
      </c>
      <c r="AO46" s="7">
        <f t="shared" si="28"/>
        <v>1</v>
      </c>
      <c r="AP46" s="7">
        <f t="shared" si="29"/>
        <v>0</v>
      </c>
    </row>
    <row r="47" spans="1:42" x14ac:dyDescent="0.2">
      <c r="A47">
        <f t="shared" si="5"/>
        <v>1996</v>
      </c>
      <c r="B47" s="2">
        <f t="shared" si="8"/>
        <v>244075.81515250579</v>
      </c>
      <c r="C47" s="2">
        <f t="shared" si="8"/>
        <v>0</v>
      </c>
      <c r="D47" s="2"/>
      <c r="E47" s="2"/>
      <c r="F47" s="2">
        <f t="shared" si="9"/>
        <v>0</v>
      </c>
      <c r="G47" s="2"/>
      <c r="H47" s="2">
        <f t="shared" si="10"/>
        <v>0</v>
      </c>
      <c r="I47" s="2">
        <f t="shared" si="30"/>
        <v>244075.81515250579</v>
      </c>
      <c r="J47" s="2">
        <f t="shared" si="12"/>
        <v>38239.52136154598</v>
      </c>
      <c r="K47" s="6">
        <f t="shared" si="13"/>
        <v>0.18577637916654635</v>
      </c>
      <c r="L47" s="7">
        <f t="shared" si="14"/>
        <v>1.1857763791665463</v>
      </c>
      <c r="N47">
        <f t="shared" si="15"/>
        <v>1996</v>
      </c>
      <c r="O47" s="2">
        <f t="shared" si="16"/>
        <v>7451.9210841404038</v>
      </c>
      <c r="P47" s="2"/>
      <c r="Q47" s="2"/>
      <c r="R47">
        <f t="shared" si="17"/>
        <v>1996</v>
      </c>
      <c r="S47" s="2">
        <f t="shared" si="18"/>
        <v>236623.89406836539</v>
      </c>
      <c r="T47" s="2">
        <f t="shared" si="19"/>
        <v>0</v>
      </c>
      <c r="U47" s="2"/>
      <c r="V47" s="2"/>
      <c r="W47" s="2">
        <f t="shared" si="20"/>
        <v>0</v>
      </c>
      <c r="X47" s="2"/>
      <c r="Y47" s="2">
        <f t="shared" si="21"/>
        <v>0</v>
      </c>
      <c r="Z47" s="2">
        <f t="shared" si="22"/>
        <v>236623.89406836539</v>
      </c>
      <c r="AA47" s="2">
        <f t="shared" si="23"/>
        <v>37994.487205974641</v>
      </c>
      <c r="AB47" s="6">
        <f t="shared" si="24"/>
        <v>0.19128329387952606</v>
      </c>
      <c r="AC47" s="7">
        <f t="shared" si="25"/>
        <v>1.1912832938795261</v>
      </c>
      <c r="AD47" s="2">
        <f t="shared" si="26"/>
        <v>0</v>
      </c>
      <c r="AF47">
        <f t="shared" si="6"/>
        <v>1996</v>
      </c>
      <c r="AG47" s="6">
        <f t="shared" si="3"/>
        <v>1</v>
      </c>
      <c r="AH47" s="6">
        <f t="shared" si="3"/>
        <v>0</v>
      </c>
      <c r="AI47" s="7"/>
      <c r="AJ47" s="7"/>
      <c r="AK47" s="6">
        <f t="shared" si="4"/>
        <v>0</v>
      </c>
      <c r="AL47" s="7"/>
      <c r="AM47" s="6">
        <f t="shared" si="7"/>
        <v>0</v>
      </c>
      <c r="AN47" s="6">
        <f t="shared" si="27"/>
        <v>1</v>
      </c>
      <c r="AO47" s="7">
        <f t="shared" si="28"/>
        <v>1</v>
      </c>
      <c r="AP47" s="7">
        <f t="shared" si="29"/>
        <v>0</v>
      </c>
    </row>
    <row r="48" spans="1:42" x14ac:dyDescent="0.2">
      <c r="A48">
        <f t="shared" si="5"/>
        <v>1997</v>
      </c>
      <c r="B48" s="2">
        <f t="shared" si="8"/>
        <v>315159.36450965586</v>
      </c>
      <c r="C48" s="2">
        <f t="shared" si="8"/>
        <v>0</v>
      </c>
      <c r="D48" s="2"/>
      <c r="E48" s="2"/>
      <c r="F48" s="2">
        <f t="shared" si="9"/>
        <v>0</v>
      </c>
      <c r="G48" s="2"/>
      <c r="H48" s="2">
        <f t="shared" si="10"/>
        <v>0</v>
      </c>
      <c r="I48" s="2">
        <f t="shared" si="30"/>
        <v>315159.36450965586</v>
      </c>
      <c r="J48" s="2">
        <f t="shared" si="12"/>
        <v>71083.54935715007</v>
      </c>
      <c r="K48" s="6">
        <f t="shared" si="13"/>
        <v>0.29123552988129925</v>
      </c>
      <c r="L48" s="7">
        <f t="shared" si="14"/>
        <v>1.2912355298812992</v>
      </c>
      <c r="N48">
        <f t="shared" si="15"/>
        <v>1997</v>
      </c>
      <c r="O48" s="2">
        <f t="shared" si="16"/>
        <v>7578.60374257079</v>
      </c>
      <c r="P48" s="2"/>
      <c r="Q48" s="2"/>
      <c r="R48">
        <f t="shared" si="17"/>
        <v>1997</v>
      </c>
      <c r="S48" s="2">
        <f t="shared" si="18"/>
        <v>307580.76076708507</v>
      </c>
      <c r="T48" s="2">
        <f t="shared" si="19"/>
        <v>0</v>
      </c>
      <c r="U48" s="2"/>
      <c r="V48" s="2"/>
      <c r="W48" s="2">
        <f t="shared" si="20"/>
        <v>0</v>
      </c>
      <c r="X48" s="2"/>
      <c r="Y48" s="2">
        <f t="shared" si="21"/>
        <v>0</v>
      </c>
      <c r="Z48" s="2">
        <f t="shared" si="22"/>
        <v>307580.76076708507</v>
      </c>
      <c r="AA48" s="2">
        <f t="shared" si="23"/>
        <v>70956.866698719678</v>
      </c>
      <c r="AB48" s="6">
        <f t="shared" si="24"/>
        <v>0.29987194225710279</v>
      </c>
      <c r="AC48" s="7">
        <f t="shared" si="25"/>
        <v>1.2998719422571028</v>
      </c>
      <c r="AD48" s="2">
        <f t="shared" si="26"/>
        <v>0</v>
      </c>
      <c r="AF48">
        <f t="shared" si="6"/>
        <v>1997</v>
      </c>
      <c r="AG48" s="6">
        <f t="shared" si="3"/>
        <v>1</v>
      </c>
      <c r="AH48" s="6">
        <f t="shared" si="3"/>
        <v>0</v>
      </c>
      <c r="AI48" s="7"/>
      <c r="AJ48" s="7"/>
      <c r="AK48" s="6">
        <f t="shared" si="4"/>
        <v>0</v>
      </c>
      <c r="AL48" s="6"/>
      <c r="AM48" s="6">
        <f t="shared" si="7"/>
        <v>0</v>
      </c>
      <c r="AN48" s="6">
        <f t="shared" si="27"/>
        <v>1</v>
      </c>
      <c r="AO48" s="7">
        <f t="shared" si="28"/>
        <v>1</v>
      </c>
      <c r="AP48" s="7">
        <f t="shared" si="29"/>
        <v>0</v>
      </c>
    </row>
    <row r="49" spans="1:42" x14ac:dyDescent="0.2">
      <c r="A49">
        <f t="shared" si="5"/>
        <v>1998</v>
      </c>
      <c r="B49" s="2">
        <f t="shared" si="8"/>
        <v>395733.40680293163</v>
      </c>
      <c r="C49" s="2">
        <f t="shared" si="8"/>
        <v>0</v>
      </c>
      <c r="D49" s="2"/>
      <c r="E49" s="2"/>
      <c r="F49" s="2"/>
      <c r="G49" s="2">
        <f>W48*(1+(G13/100))</f>
        <v>0</v>
      </c>
      <c r="H49" s="2">
        <f t="shared" si="10"/>
        <v>0</v>
      </c>
      <c r="I49" s="2">
        <f t="shared" si="11"/>
        <v>395733.40680293163</v>
      </c>
      <c r="J49" s="2">
        <f>I49-I48</f>
        <v>80574.042293275765</v>
      </c>
      <c r="K49" s="6">
        <f>(J49/I48)</f>
        <v>0.25566126654252452</v>
      </c>
      <c r="L49" s="7">
        <f t="shared" si="14"/>
        <v>1.2556612665425244</v>
      </c>
      <c r="N49">
        <f t="shared" si="15"/>
        <v>1998</v>
      </c>
      <c r="O49" s="2">
        <f t="shared" si="16"/>
        <v>7699.8614024519229</v>
      </c>
      <c r="P49" s="2"/>
      <c r="Q49" s="2"/>
      <c r="R49">
        <f t="shared" si="17"/>
        <v>1998</v>
      </c>
      <c r="S49" s="2">
        <f t="shared" si="18"/>
        <v>388033.54540047969</v>
      </c>
      <c r="T49" s="2">
        <f t="shared" si="19"/>
        <v>0</v>
      </c>
      <c r="U49" s="2"/>
      <c r="V49" s="2"/>
      <c r="W49" s="2"/>
      <c r="X49" s="2">
        <f>G49</f>
        <v>0</v>
      </c>
      <c r="Y49" s="2">
        <f t="shared" si="21"/>
        <v>0</v>
      </c>
      <c r="Z49" s="2">
        <f t="shared" si="22"/>
        <v>388033.54540047969</v>
      </c>
      <c r="AA49" s="2">
        <f>Z49-Z48</f>
        <v>80452.784633394622</v>
      </c>
      <c r="AB49" s="6">
        <f>(AA49/Z48)</f>
        <v>0.26156637506439273</v>
      </c>
      <c r="AC49" s="7">
        <f t="shared" si="25"/>
        <v>1.2615663750643926</v>
      </c>
      <c r="AD49" s="2">
        <f t="shared" si="26"/>
        <v>0</v>
      </c>
      <c r="AF49">
        <f t="shared" si="6"/>
        <v>1998</v>
      </c>
      <c r="AG49" s="6">
        <f t="shared" si="3"/>
        <v>1</v>
      </c>
      <c r="AH49" s="6">
        <f t="shared" si="3"/>
        <v>0</v>
      </c>
      <c r="AI49" s="7"/>
      <c r="AJ49" s="7"/>
      <c r="AK49" s="6"/>
      <c r="AL49" s="6">
        <f t="shared" ref="AL49:AL64" si="31">X49/$Z49</f>
        <v>0</v>
      </c>
      <c r="AM49" s="6">
        <f t="shared" si="7"/>
        <v>0</v>
      </c>
      <c r="AN49" s="6">
        <f t="shared" si="27"/>
        <v>1</v>
      </c>
      <c r="AO49" s="7">
        <f t="shared" si="28"/>
        <v>1</v>
      </c>
      <c r="AP49" s="7">
        <f t="shared" si="29"/>
        <v>0</v>
      </c>
    </row>
    <row r="50" spans="1:42" x14ac:dyDescent="0.2">
      <c r="A50">
        <f t="shared" si="5"/>
        <v>1999</v>
      </c>
      <c r="B50" s="2">
        <f t="shared" si="8"/>
        <v>469792.21341636078</v>
      </c>
      <c r="C50" s="2">
        <f t="shared" si="8"/>
        <v>0</v>
      </c>
      <c r="D50" s="2"/>
      <c r="E50" s="2"/>
      <c r="F50" s="2"/>
      <c r="G50" s="2">
        <f t="shared" ref="G50:G64" si="32">X49*(1+(G14/100))</f>
        <v>0</v>
      </c>
      <c r="H50" s="2">
        <f t="shared" si="10"/>
        <v>0</v>
      </c>
      <c r="I50" s="2">
        <f t="shared" si="11"/>
        <v>469792.21341636078</v>
      </c>
      <c r="J50" s="2">
        <f>I50-I49</f>
        <v>74058.806613429158</v>
      </c>
      <c r="K50" s="6">
        <f>(J50/I49)</f>
        <v>0.18714317603797639</v>
      </c>
      <c r="L50" s="7">
        <f t="shared" si="14"/>
        <v>1.1871431760379765</v>
      </c>
      <c r="N50">
        <f t="shared" si="15"/>
        <v>1999</v>
      </c>
      <c r="O50" s="2">
        <f t="shared" si="16"/>
        <v>7907.7576603181242</v>
      </c>
      <c r="P50" s="2"/>
      <c r="Q50" s="2"/>
      <c r="R50">
        <f t="shared" si="17"/>
        <v>1999</v>
      </c>
      <c r="S50" s="2">
        <f t="shared" si="18"/>
        <v>461884.45575604268</v>
      </c>
      <c r="T50" s="2">
        <f t="shared" si="19"/>
        <v>0</v>
      </c>
      <c r="U50" s="2"/>
      <c r="V50" s="2"/>
      <c r="W50" s="2"/>
      <c r="X50" s="2">
        <f t="shared" ref="X50:X64" si="33">G50</f>
        <v>0</v>
      </c>
      <c r="Y50" s="2">
        <f t="shared" si="21"/>
        <v>0</v>
      </c>
      <c r="Z50" s="2">
        <f t="shared" si="22"/>
        <v>461884.45575604268</v>
      </c>
      <c r="AA50" s="2">
        <f>Z50-Z49</f>
        <v>73850.910355562984</v>
      </c>
      <c r="AB50" s="6">
        <f>(AA50/Z49)</f>
        <v>0.19032094320439052</v>
      </c>
      <c r="AC50" s="7">
        <f t="shared" si="25"/>
        <v>1.1903209432043904</v>
      </c>
      <c r="AD50" s="2">
        <f t="shared" si="26"/>
        <v>0</v>
      </c>
      <c r="AF50">
        <f t="shared" si="6"/>
        <v>1999</v>
      </c>
      <c r="AG50" s="6">
        <f t="shared" si="3"/>
        <v>1</v>
      </c>
      <c r="AH50" s="6">
        <f t="shared" si="3"/>
        <v>0</v>
      </c>
      <c r="AI50" s="7"/>
      <c r="AJ50" s="7"/>
      <c r="AK50" s="7"/>
      <c r="AL50" s="6">
        <f t="shared" si="31"/>
        <v>0</v>
      </c>
      <c r="AM50" s="6">
        <f t="shared" si="7"/>
        <v>0</v>
      </c>
      <c r="AN50" s="6">
        <f t="shared" si="27"/>
        <v>1</v>
      </c>
      <c r="AO50" s="7">
        <f t="shared" si="28"/>
        <v>1</v>
      </c>
      <c r="AP50" s="7">
        <f t="shared" si="29"/>
        <v>0</v>
      </c>
    </row>
    <row r="51" spans="1:42" x14ac:dyDescent="0.2">
      <c r="A51">
        <f t="shared" si="5"/>
        <v>2000</v>
      </c>
      <c r="B51" s="2">
        <f t="shared" si="8"/>
        <v>420037.72406454518</v>
      </c>
      <c r="C51" s="2"/>
      <c r="D51" s="2">
        <f>($T50*0.67)*(1+(D15/100))</f>
        <v>0</v>
      </c>
      <c r="E51" s="2">
        <f>($T50*0.33)*(1+(E15/100))</f>
        <v>0</v>
      </c>
      <c r="F51" s="2"/>
      <c r="G51" s="2">
        <f t="shared" si="32"/>
        <v>0</v>
      </c>
      <c r="H51" s="2">
        <f t="shared" si="10"/>
        <v>0</v>
      </c>
      <c r="I51" s="2">
        <f t="shared" si="11"/>
        <v>420037.72406454518</v>
      </c>
      <c r="J51" s="2">
        <f t="shared" si="12"/>
        <v>-49754.489351815602</v>
      </c>
      <c r="K51" s="6">
        <f t="shared" si="13"/>
        <v>-0.10590743722633797</v>
      </c>
      <c r="L51" s="7">
        <f t="shared" si="14"/>
        <v>0.894092562773662</v>
      </c>
      <c r="N51">
        <f t="shared" si="15"/>
        <v>2000</v>
      </c>
      <c r="O51" s="2">
        <f t="shared" si="16"/>
        <v>8176.6214207689409</v>
      </c>
      <c r="P51" s="2"/>
      <c r="Q51" s="2"/>
      <c r="R51">
        <f t="shared" si="17"/>
        <v>2000</v>
      </c>
      <c r="S51" s="2">
        <f t="shared" si="18"/>
        <v>411861.10264377622</v>
      </c>
      <c r="T51" s="2"/>
      <c r="U51" s="2">
        <f>D51</f>
        <v>0</v>
      </c>
      <c r="V51" s="2">
        <f>E51</f>
        <v>0</v>
      </c>
      <c r="W51" s="2"/>
      <c r="X51" s="2">
        <f t="shared" si="33"/>
        <v>0</v>
      </c>
      <c r="Y51" s="2">
        <f t="shared" si="21"/>
        <v>0</v>
      </c>
      <c r="Z51" s="2">
        <f t="shared" si="22"/>
        <v>411861.10264377622</v>
      </c>
      <c r="AA51" s="2">
        <f t="shared" si="23"/>
        <v>-50023.353112266457</v>
      </c>
      <c r="AB51" s="6">
        <f t="shared" si="24"/>
        <v>-0.10830274214442866</v>
      </c>
      <c r="AC51" s="7">
        <f t="shared" si="25"/>
        <v>0.8916972578555713</v>
      </c>
      <c r="AD51" s="2">
        <f t="shared" si="26"/>
        <v>0</v>
      </c>
      <c r="AF51">
        <f t="shared" si="6"/>
        <v>2000</v>
      </c>
      <c r="AG51" s="6">
        <f t="shared" si="3"/>
        <v>1</v>
      </c>
      <c r="AH51" s="7"/>
      <c r="AI51" s="6">
        <f>U51/$Z51</f>
        <v>0</v>
      </c>
      <c r="AJ51" s="6">
        <f>V51/$Z51</f>
        <v>0</v>
      </c>
      <c r="AK51" s="7"/>
      <c r="AL51" s="6">
        <f t="shared" si="31"/>
        <v>0</v>
      </c>
      <c r="AM51" s="6">
        <f t="shared" si="7"/>
        <v>0</v>
      </c>
      <c r="AN51" s="6">
        <f t="shared" si="27"/>
        <v>1</v>
      </c>
      <c r="AO51" s="7">
        <f t="shared" si="28"/>
        <v>1</v>
      </c>
      <c r="AP51" s="7">
        <f t="shared" si="29"/>
        <v>0</v>
      </c>
    </row>
    <row r="52" spans="1:42" x14ac:dyDescent="0.2">
      <c r="A52">
        <f t="shared" si="5"/>
        <v>2001</v>
      </c>
      <c r="B52" s="2">
        <f t="shared" si="8"/>
        <v>362355.39810599433</v>
      </c>
      <c r="C52" s="2"/>
      <c r="D52" s="2">
        <f t="shared" ref="D52:E64" si="34">U51*(1+(D16/100))</f>
        <v>0</v>
      </c>
      <c r="E52" s="2">
        <f t="shared" si="34"/>
        <v>0</v>
      </c>
      <c r="F52" s="2"/>
      <c r="G52" s="2">
        <f t="shared" si="32"/>
        <v>0</v>
      </c>
      <c r="H52" s="2">
        <f t="shared" si="10"/>
        <v>0</v>
      </c>
      <c r="I52" s="2">
        <f t="shared" si="11"/>
        <v>362355.39810599433</v>
      </c>
      <c r="J52" s="2">
        <f t="shared" si="12"/>
        <v>-57682.325958550849</v>
      </c>
      <c r="K52" s="6">
        <f t="shared" si="13"/>
        <v>-0.13732653677003326</v>
      </c>
      <c r="L52" s="7">
        <f t="shared" si="14"/>
        <v>0.86267346322996674</v>
      </c>
      <c r="N52">
        <f t="shared" si="15"/>
        <v>2001</v>
      </c>
      <c r="O52" s="2">
        <f t="shared" si="16"/>
        <v>8307.4473635012437</v>
      </c>
      <c r="P52" s="2"/>
      <c r="Q52" s="2"/>
      <c r="R52">
        <f t="shared" si="17"/>
        <v>2001</v>
      </c>
      <c r="S52" s="2">
        <f t="shared" si="18"/>
        <v>354047.95074249309</v>
      </c>
      <c r="T52" s="2"/>
      <c r="U52" s="2">
        <f t="shared" ref="U52:U64" si="35">D52</f>
        <v>0</v>
      </c>
      <c r="V52" s="2">
        <f t="shared" ref="V52:V64" si="36">E52</f>
        <v>0</v>
      </c>
      <c r="W52" s="2"/>
      <c r="X52" s="2">
        <f t="shared" si="33"/>
        <v>0</v>
      </c>
      <c r="Y52" s="2">
        <f t="shared" si="21"/>
        <v>0</v>
      </c>
      <c r="Z52" s="2">
        <f t="shared" si="22"/>
        <v>354047.95074249309</v>
      </c>
      <c r="AA52" s="2">
        <f t="shared" si="23"/>
        <v>-57813.151901283127</v>
      </c>
      <c r="AB52" s="6">
        <f t="shared" si="24"/>
        <v>-0.14037050726610237</v>
      </c>
      <c r="AC52" s="7">
        <f t="shared" si="25"/>
        <v>0.85962949273389766</v>
      </c>
      <c r="AD52" s="2">
        <f t="shared" si="26"/>
        <v>0</v>
      </c>
      <c r="AF52">
        <f t="shared" si="6"/>
        <v>2001</v>
      </c>
      <c r="AG52" s="6">
        <f t="shared" si="3"/>
        <v>1</v>
      </c>
      <c r="AH52" s="7"/>
      <c r="AI52" s="6">
        <f t="shared" ref="AI52:AJ64" si="37">U52/$Z52</f>
        <v>0</v>
      </c>
      <c r="AJ52" s="6">
        <f t="shared" si="37"/>
        <v>0</v>
      </c>
      <c r="AK52" s="7"/>
      <c r="AL52" s="6">
        <f t="shared" si="31"/>
        <v>0</v>
      </c>
      <c r="AM52" s="6">
        <f t="shared" si="7"/>
        <v>0</v>
      </c>
      <c r="AN52" s="6">
        <f t="shared" si="27"/>
        <v>1</v>
      </c>
      <c r="AO52" s="7">
        <f t="shared" si="28"/>
        <v>1</v>
      </c>
      <c r="AP52" s="7">
        <f t="shared" si="29"/>
        <v>0</v>
      </c>
    </row>
    <row r="53" spans="1:42" x14ac:dyDescent="0.2">
      <c r="A53">
        <f t="shared" si="5"/>
        <v>2002</v>
      </c>
      <c r="B53" s="2">
        <f t="shared" si="8"/>
        <v>275626.32965303084</v>
      </c>
      <c r="C53" s="2"/>
      <c r="D53" s="2">
        <f t="shared" si="34"/>
        <v>0</v>
      </c>
      <c r="E53" s="2">
        <f t="shared" si="34"/>
        <v>0</v>
      </c>
      <c r="F53" s="2"/>
      <c r="G53" s="2">
        <f t="shared" si="32"/>
        <v>0</v>
      </c>
      <c r="H53" s="2">
        <f t="shared" si="10"/>
        <v>0</v>
      </c>
      <c r="I53" s="2">
        <f t="shared" si="11"/>
        <v>275626.32965303084</v>
      </c>
      <c r="J53" s="2">
        <f t="shared" si="12"/>
        <v>-86729.068452963489</v>
      </c>
      <c r="K53" s="6">
        <f t="shared" si="13"/>
        <v>-0.239348079002797</v>
      </c>
      <c r="L53" s="7">
        <f t="shared" si="14"/>
        <v>0.76065192099720302</v>
      </c>
      <c r="N53">
        <f t="shared" si="15"/>
        <v>2002</v>
      </c>
      <c r="O53" s="2">
        <f t="shared" si="16"/>
        <v>8515.1335475887736</v>
      </c>
      <c r="P53" s="2"/>
      <c r="Q53" s="2"/>
      <c r="R53">
        <f t="shared" si="17"/>
        <v>2002</v>
      </c>
      <c r="S53" s="2">
        <f t="shared" si="18"/>
        <v>267111.19610544207</v>
      </c>
      <c r="T53" s="2"/>
      <c r="U53" s="2">
        <f t="shared" si="35"/>
        <v>0</v>
      </c>
      <c r="V53" s="2">
        <f t="shared" si="36"/>
        <v>0</v>
      </c>
      <c r="W53" s="2"/>
      <c r="X53" s="2">
        <f t="shared" si="33"/>
        <v>0</v>
      </c>
      <c r="Y53" s="2">
        <f t="shared" si="21"/>
        <v>0</v>
      </c>
      <c r="Z53" s="2">
        <f t="shared" si="22"/>
        <v>267111.19610544207</v>
      </c>
      <c r="AA53" s="2">
        <f t="shared" si="23"/>
        <v>-86936.754637051024</v>
      </c>
      <c r="AB53" s="6">
        <f t="shared" si="24"/>
        <v>-0.24555079179170861</v>
      </c>
      <c r="AC53" s="7">
        <f t="shared" si="25"/>
        <v>0.75444920820829142</v>
      </c>
      <c r="AD53" s="2">
        <f t="shared" si="26"/>
        <v>0</v>
      </c>
      <c r="AF53">
        <f t="shared" si="6"/>
        <v>2002</v>
      </c>
      <c r="AG53" s="6">
        <f t="shared" si="3"/>
        <v>1</v>
      </c>
      <c r="AH53" s="7"/>
      <c r="AI53" s="6">
        <f t="shared" si="37"/>
        <v>0</v>
      </c>
      <c r="AJ53" s="6">
        <f t="shared" si="37"/>
        <v>0</v>
      </c>
      <c r="AK53" s="7"/>
      <c r="AL53" s="6">
        <f t="shared" si="31"/>
        <v>0</v>
      </c>
      <c r="AM53" s="6">
        <f t="shared" si="7"/>
        <v>0</v>
      </c>
      <c r="AN53" s="6">
        <f t="shared" si="27"/>
        <v>1</v>
      </c>
      <c r="AO53" s="7">
        <f t="shared" si="28"/>
        <v>1</v>
      </c>
      <c r="AP53" s="7">
        <f t="shared" si="29"/>
        <v>0</v>
      </c>
    </row>
    <row r="54" spans="1:42" x14ac:dyDescent="0.2">
      <c r="A54">
        <f t="shared" si="5"/>
        <v>2003</v>
      </c>
      <c r="B54" s="2">
        <f t="shared" si="8"/>
        <v>343237.88699549303</v>
      </c>
      <c r="C54" s="2"/>
      <c r="D54" s="2">
        <f t="shared" si="34"/>
        <v>0</v>
      </c>
      <c r="E54" s="2">
        <f t="shared" si="34"/>
        <v>0</v>
      </c>
      <c r="F54" s="2"/>
      <c r="G54" s="2">
        <f t="shared" si="32"/>
        <v>0</v>
      </c>
      <c r="H54" s="2">
        <f t="shared" si="10"/>
        <v>0</v>
      </c>
      <c r="I54" s="2">
        <f t="shared" si="11"/>
        <v>343237.88699549303</v>
      </c>
      <c r="J54" s="2">
        <f t="shared" si="12"/>
        <v>67611.557342462183</v>
      </c>
      <c r="K54" s="6">
        <f t="shared" si="13"/>
        <v>0.24530151900790553</v>
      </c>
      <c r="L54" s="7">
        <f t="shared" si="14"/>
        <v>1.2453015190079055</v>
      </c>
      <c r="N54">
        <f t="shared" si="15"/>
        <v>2003</v>
      </c>
      <c r="O54" s="2">
        <f t="shared" si="16"/>
        <v>8685.4362185405498</v>
      </c>
      <c r="P54" s="2"/>
      <c r="Q54" s="2"/>
      <c r="R54">
        <f t="shared" si="17"/>
        <v>2003</v>
      </c>
      <c r="S54" s="2">
        <f t="shared" si="18"/>
        <v>334552.45077695249</v>
      </c>
      <c r="T54" s="2"/>
      <c r="U54" s="2">
        <f t="shared" si="35"/>
        <v>0</v>
      </c>
      <c r="V54" s="2">
        <f t="shared" si="36"/>
        <v>0</v>
      </c>
      <c r="W54" s="2"/>
      <c r="X54" s="2">
        <f t="shared" si="33"/>
        <v>0</v>
      </c>
      <c r="Y54" s="2">
        <f t="shared" si="21"/>
        <v>0</v>
      </c>
      <c r="Z54" s="2">
        <f t="shared" si="22"/>
        <v>334552.45077695249</v>
      </c>
      <c r="AA54" s="2">
        <f t="shared" si="23"/>
        <v>67441.254671510425</v>
      </c>
      <c r="AB54" s="6">
        <f t="shared" si="24"/>
        <v>0.25248381818068011</v>
      </c>
      <c r="AC54" s="7">
        <f t="shared" si="25"/>
        <v>1.2524838181806801</v>
      </c>
      <c r="AD54" s="2">
        <f t="shared" si="26"/>
        <v>0</v>
      </c>
      <c r="AF54">
        <f t="shared" si="6"/>
        <v>2003</v>
      </c>
      <c r="AG54" s="6">
        <f t="shared" si="3"/>
        <v>1</v>
      </c>
      <c r="AH54" s="7"/>
      <c r="AI54" s="6">
        <f t="shared" si="37"/>
        <v>0</v>
      </c>
      <c r="AJ54" s="6">
        <f t="shared" si="37"/>
        <v>0</v>
      </c>
      <c r="AK54" s="7"/>
      <c r="AL54" s="6">
        <f t="shared" si="31"/>
        <v>0</v>
      </c>
      <c r="AM54" s="6">
        <f t="shared" si="7"/>
        <v>0</v>
      </c>
      <c r="AN54" s="6">
        <f t="shared" si="27"/>
        <v>1</v>
      </c>
      <c r="AO54" s="7">
        <f t="shared" si="28"/>
        <v>1</v>
      </c>
      <c r="AP54" s="7">
        <f t="shared" si="29"/>
        <v>0</v>
      </c>
    </row>
    <row r="55" spans="1:42" x14ac:dyDescent="0.2">
      <c r="A55">
        <f t="shared" si="5"/>
        <v>2004</v>
      </c>
      <c r="B55" s="2">
        <f t="shared" si="8"/>
        <v>370483.38399039715</v>
      </c>
      <c r="C55" s="2"/>
      <c r="D55" s="2">
        <f t="shared" si="34"/>
        <v>0</v>
      </c>
      <c r="E55" s="2">
        <f t="shared" si="34"/>
        <v>0</v>
      </c>
      <c r="F55" s="2"/>
      <c r="G55" s="2">
        <f t="shared" si="32"/>
        <v>0</v>
      </c>
      <c r="H55" s="2">
        <f t="shared" si="10"/>
        <v>0</v>
      </c>
      <c r="I55" s="2">
        <f t="shared" si="11"/>
        <v>370483.38399039715</v>
      </c>
      <c r="J55" s="2">
        <f t="shared" si="12"/>
        <v>27245.496994904126</v>
      </c>
      <c r="K55" s="6">
        <f t="shared" si="13"/>
        <v>7.9377883465591548E-2</v>
      </c>
      <c r="L55" s="7">
        <f t="shared" si="14"/>
        <v>1.0793778834655916</v>
      </c>
      <c r="N55">
        <f t="shared" si="15"/>
        <v>2004</v>
      </c>
      <c r="O55" s="2">
        <f t="shared" si="16"/>
        <v>8972.0556137523872</v>
      </c>
      <c r="P55" s="2"/>
      <c r="Q55" s="2"/>
      <c r="R55">
        <f t="shared" si="17"/>
        <v>2004</v>
      </c>
      <c r="S55" s="2">
        <f t="shared" si="18"/>
        <v>361511.32837664476</v>
      </c>
      <c r="T55" s="2"/>
      <c r="U55" s="2">
        <f t="shared" si="35"/>
        <v>0</v>
      </c>
      <c r="V55" s="2">
        <f t="shared" si="36"/>
        <v>0</v>
      </c>
      <c r="W55" s="2"/>
      <c r="X55" s="2">
        <f t="shared" si="33"/>
        <v>0</v>
      </c>
      <c r="Y55" s="2">
        <f t="shared" si="21"/>
        <v>0</v>
      </c>
      <c r="Z55" s="2">
        <f t="shared" si="22"/>
        <v>361511.32837664476</v>
      </c>
      <c r="AA55" s="2">
        <f t="shared" si="23"/>
        <v>26958.877599692263</v>
      </c>
      <c r="AB55" s="6">
        <f t="shared" si="24"/>
        <v>8.0581916339527451E-2</v>
      </c>
      <c r="AC55" s="7">
        <f t="shared" si="25"/>
        <v>1.0805819163395274</v>
      </c>
      <c r="AD55" s="2">
        <f t="shared" si="26"/>
        <v>0</v>
      </c>
      <c r="AF55">
        <f t="shared" si="6"/>
        <v>2004</v>
      </c>
      <c r="AG55" s="6">
        <f t="shared" ref="AG55:AG64" si="38">S55/$Z55</f>
        <v>1</v>
      </c>
      <c r="AH55" s="7"/>
      <c r="AI55" s="6">
        <f t="shared" si="37"/>
        <v>0</v>
      </c>
      <c r="AJ55" s="6">
        <f t="shared" si="37"/>
        <v>0</v>
      </c>
      <c r="AK55" s="7"/>
      <c r="AL55" s="6">
        <f t="shared" si="31"/>
        <v>0</v>
      </c>
      <c r="AM55" s="6">
        <f t="shared" si="7"/>
        <v>0</v>
      </c>
      <c r="AN55" s="6">
        <f t="shared" si="27"/>
        <v>1</v>
      </c>
      <c r="AO55" s="7">
        <f t="shared" si="28"/>
        <v>1</v>
      </c>
      <c r="AP55" s="7">
        <f t="shared" si="29"/>
        <v>0</v>
      </c>
    </row>
    <row r="56" spans="1:42" x14ac:dyDescent="0.2">
      <c r="A56">
        <f t="shared" si="5"/>
        <v>2005</v>
      </c>
      <c r="B56" s="2">
        <f t="shared" si="8"/>
        <v>378755.41874021076</v>
      </c>
      <c r="C56" s="2"/>
      <c r="D56" s="2">
        <f t="shared" si="34"/>
        <v>0</v>
      </c>
      <c r="E56" s="2">
        <f t="shared" si="34"/>
        <v>0</v>
      </c>
      <c r="F56" s="2"/>
      <c r="G56" s="2">
        <f t="shared" si="32"/>
        <v>0</v>
      </c>
      <c r="H56" s="2">
        <f t="shared" si="10"/>
        <v>0</v>
      </c>
      <c r="I56" s="2">
        <f t="shared" si="11"/>
        <v>378755.41874021076</v>
      </c>
      <c r="J56" s="2">
        <f>I56-I55</f>
        <v>8272.0347498136107</v>
      </c>
      <c r="K56" s="6">
        <f>(J56/I55)</f>
        <v>2.2327680827996379E-2</v>
      </c>
      <c r="L56" s="7">
        <f t="shared" si="14"/>
        <v>1.0223276808279964</v>
      </c>
      <c r="N56">
        <f t="shared" si="15"/>
        <v>2005</v>
      </c>
      <c r="O56" s="2">
        <f t="shared" si="16"/>
        <v>9268.1334490062145</v>
      </c>
      <c r="P56" s="2"/>
      <c r="Q56" s="2"/>
      <c r="R56">
        <f t="shared" si="17"/>
        <v>2005</v>
      </c>
      <c r="S56" s="2">
        <f t="shared" si="18"/>
        <v>369487.28529120458</v>
      </c>
      <c r="T56" s="2"/>
      <c r="U56" s="2">
        <f t="shared" si="35"/>
        <v>0</v>
      </c>
      <c r="V56" s="2">
        <f t="shared" si="36"/>
        <v>0</v>
      </c>
      <c r="W56" s="2"/>
      <c r="X56" s="2">
        <f t="shared" si="33"/>
        <v>0</v>
      </c>
      <c r="Y56" s="2">
        <f t="shared" si="21"/>
        <v>0</v>
      </c>
      <c r="Z56" s="2">
        <f t="shared" si="22"/>
        <v>369487.28529120458</v>
      </c>
      <c r="AA56" s="2">
        <f>Z56-Z55</f>
        <v>7975.9569145598216</v>
      </c>
      <c r="AB56" s="6">
        <f>(AA56/Z55)</f>
        <v>2.2062813219092207E-2</v>
      </c>
      <c r="AC56" s="7">
        <f t="shared" si="25"/>
        <v>1.0220628132190923</v>
      </c>
      <c r="AD56" s="2">
        <f t="shared" si="26"/>
        <v>0</v>
      </c>
      <c r="AF56">
        <f t="shared" si="6"/>
        <v>2005</v>
      </c>
      <c r="AG56" s="6">
        <f t="shared" si="38"/>
        <v>1</v>
      </c>
      <c r="AH56" s="7"/>
      <c r="AI56" s="6">
        <f t="shared" si="37"/>
        <v>0</v>
      </c>
      <c r="AJ56" s="6">
        <f t="shared" si="37"/>
        <v>0</v>
      </c>
      <c r="AK56" s="7"/>
      <c r="AL56" s="6">
        <f t="shared" si="31"/>
        <v>0</v>
      </c>
      <c r="AM56" s="6">
        <f t="shared" si="7"/>
        <v>0</v>
      </c>
      <c r="AN56" s="6">
        <f t="shared" si="27"/>
        <v>1</v>
      </c>
      <c r="AO56" s="7">
        <f t="shared" si="28"/>
        <v>1</v>
      </c>
      <c r="AP56" s="7">
        <f t="shared" si="29"/>
        <v>0</v>
      </c>
    </row>
    <row r="57" spans="1:42" x14ac:dyDescent="0.2">
      <c r="A57">
        <f t="shared" si="5"/>
        <v>2006</v>
      </c>
      <c r="B57" s="2">
        <f t="shared" ref="B57:B64" si="39">S56*(1+(B21/100))</f>
        <v>427275.09671074903</v>
      </c>
      <c r="C57" s="2"/>
      <c r="D57" s="2">
        <f t="shared" si="34"/>
        <v>0</v>
      </c>
      <c r="E57" s="2">
        <f t="shared" si="34"/>
        <v>0</v>
      </c>
      <c r="F57" s="2"/>
      <c r="G57" s="2">
        <f t="shared" si="32"/>
        <v>0</v>
      </c>
      <c r="H57" s="2">
        <f t="shared" si="10"/>
        <v>0</v>
      </c>
      <c r="I57" s="2">
        <f t="shared" si="11"/>
        <v>427275.09671074903</v>
      </c>
      <c r="J57" s="2">
        <f t="shared" si="12"/>
        <v>48519.677970538265</v>
      </c>
      <c r="K57" s="6">
        <f t="shared" si="13"/>
        <v>0.12810292756185762</v>
      </c>
      <c r="L57" s="7">
        <f t="shared" si="14"/>
        <v>1.1281029275618577</v>
      </c>
      <c r="N57">
        <f t="shared" si="15"/>
        <v>2006</v>
      </c>
      <c r="O57" s="2">
        <f t="shared" si="16"/>
        <v>9499.8367852313695</v>
      </c>
      <c r="P57" s="2"/>
      <c r="Q57" s="2"/>
      <c r="R57">
        <f t="shared" si="17"/>
        <v>2006</v>
      </c>
      <c r="S57" s="2">
        <f t="shared" si="18"/>
        <v>417775.25992551766</v>
      </c>
      <c r="T57" s="2"/>
      <c r="U57" s="2">
        <f t="shared" si="35"/>
        <v>0</v>
      </c>
      <c r="V57" s="2">
        <f t="shared" si="36"/>
        <v>0</v>
      </c>
      <c r="W57" s="2"/>
      <c r="X57" s="2">
        <f t="shared" si="33"/>
        <v>0</v>
      </c>
      <c r="Y57" s="2">
        <f t="shared" si="21"/>
        <v>0</v>
      </c>
      <c r="Z57" s="2">
        <f t="shared" si="22"/>
        <v>417775.25992551766</v>
      </c>
      <c r="AA57" s="2">
        <f t="shared" ref="AA57:AA64" si="40">Z57-Z56</f>
        <v>48287.974634313083</v>
      </c>
      <c r="AB57" s="6">
        <f t="shared" ref="AB57:AB64" si="41">(AA57/Z56)</f>
        <v>0.13068913750646605</v>
      </c>
      <c r="AC57" s="7">
        <f t="shared" si="25"/>
        <v>1.130689137506466</v>
      </c>
      <c r="AD57" s="2">
        <f t="shared" si="26"/>
        <v>0</v>
      </c>
      <c r="AF57">
        <f t="shared" si="6"/>
        <v>2006</v>
      </c>
      <c r="AG57" s="6">
        <f t="shared" si="38"/>
        <v>1</v>
      </c>
      <c r="AH57" s="7"/>
      <c r="AI57" s="6">
        <f t="shared" si="37"/>
        <v>0</v>
      </c>
      <c r="AJ57" s="6">
        <f t="shared" si="37"/>
        <v>0</v>
      </c>
      <c r="AK57" s="7"/>
      <c r="AL57" s="6">
        <f t="shared" si="31"/>
        <v>0</v>
      </c>
      <c r="AM57" s="6">
        <f t="shared" si="7"/>
        <v>0</v>
      </c>
      <c r="AN57" s="6">
        <f t="shared" si="27"/>
        <v>1</v>
      </c>
      <c r="AO57" s="7">
        <f t="shared" si="28"/>
        <v>1</v>
      </c>
      <c r="AP57" s="7">
        <f t="shared" si="29"/>
        <v>0</v>
      </c>
    </row>
    <row r="58" spans="1:42" x14ac:dyDescent="0.2">
      <c r="A58">
        <f t="shared" si="5"/>
        <v>2007</v>
      </c>
      <c r="B58" s="2">
        <f t="shared" si="39"/>
        <v>440293.3464355031</v>
      </c>
      <c r="C58" s="2"/>
      <c r="D58" s="2">
        <f t="shared" si="34"/>
        <v>0</v>
      </c>
      <c r="E58" s="2">
        <f t="shared" si="34"/>
        <v>0</v>
      </c>
      <c r="F58" s="2"/>
      <c r="G58" s="2">
        <f t="shared" si="32"/>
        <v>0</v>
      </c>
      <c r="H58" s="2">
        <f t="shared" si="10"/>
        <v>0</v>
      </c>
      <c r="I58" s="2">
        <f t="shared" si="11"/>
        <v>440293.3464355031</v>
      </c>
      <c r="J58" s="2">
        <f t="shared" si="12"/>
        <v>13018.249724754074</v>
      </c>
      <c r="K58" s="6">
        <f t="shared" si="13"/>
        <v>3.0468075076154028E-2</v>
      </c>
      <c r="L58" s="7">
        <f t="shared" si="14"/>
        <v>1.0304680750761541</v>
      </c>
      <c r="N58">
        <f t="shared" si="15"/>
        <v>2007</v>
      </c>
      <c r="O58" s="2">
        <f t="shared" si="16"/>
        <v>9889.330093425855</v>
      </c>
      <c r="P58" s="2"/>
      <c r="Q58" s="2"/>
      <c r="R58">
        <f t="shared" si="17"/>
        <v>2007</v>
      </c>
      <c r="S58" s="2">
        <f t="shared" si="18"/>
        <v>430404.01634207723</v>
      </c>
      <c r="T58" s="2"/>
      <c r="U58" s="2">
        <f t="shared" si="35"/>
        <v>0</v>
      </c>
      <c r="V58" s="2">
        <f t="shared" si="36"/>
        <v>0</v>
      </c>
      <c r="W58" s="2"/>
      <c r="X58" s="2">
        <f t="shared" si="33"/>
        <v>0</v>
      </c>
      <c r="Y58" s="2">
        <f t="shared" si="21"/>
        <v>0</v>
      </c>
      <c r="Z58" s="2">
        <f t="shared" si="22"/>
        <v>430404.01634207723</v>
      </c>
      <c r="AA58" s="2">
        <f t="shared" si="40"/>
        <v>12628.756416559569</v>
      </c>
      <c r="AB58" s="6">
        <f t="shared" si="41"/>
        <v>3.0228588497105035E-2</v>
      </c>
      <c r="AC58" s="7">
        <f t="shared" si="25"/>
        <v>1.030228588497105</v>
      </c>
      <c r="AD58" s="2">
        <f t="shared" si="26"/>
        <v>0</v>
      </c>
      <c r="AF58">
        <f t="shared" si="6"/>
        <v>2007</v>
      </c>
      <c r="AG58" s="6">
        <f t="shared" si="38"/>
        <v>1</v>
      </c>
      <c r="AH58" s="7"/>
      <c r="AI58" s="6">
        <f t="shared" si="37"/>
        <v>0</v>
      </c>
      <c r="AJ58" s="6">
        <f t="shared" si="37"/>
        <v>0</v>
      </c>
      <c r="AK58" s="7"/>
      <c r="AL58" s="6">
        <f t="shared" si="31"/>
        <v>0</v>
      </c>
      <c r="AM58" s="6">
        <f t="shared" si="7"/>
        <v>0</v>
      </c>
      <c r="AN58" s="6">
        <f t="shared" si="27"/>
        <v>1</v>
      </c>
      <c r="AO58" s="7">
        <f t="shared" si="28"/>
        <v>1</v>
      </c>
      <c r="AP58" s="7">
        <f t="shared" si="29"/>
        <v>0</v>
      </c>
    </row>
    <row r="59" spans="1:42" x14ac:dyDescent="0.2">
      <c r="A59">
        <f t="shared" si="5"/>
        <v>2008</v>
      </c>
      <c r="B59" s="2">
        <f t="shared" si="39"/>
        <v>271068.44949224021</v>
      </c>
      <c r="C59" s="2"/>
      <c r="D59" s="2">
        <f t="shared" si="34"/>
        <v>0</v>
      </c>
      <c r="E59" s="2">
        <f t="shared" si="34"/>
        <v>0</v>
      </c>
      <c r="F59" s="2"/>
      <c r="G59" s="2">
        <f t="shared" si="32"/>
        <v>0</v>
      </c>
      <c r="H59" s="2">
        <f t="shared" si="10"/>
        <v>0</v>
      </c>
      <c r="I59" s="2">
        <f t="shared" si="11"/>
        <v>271068.44949224021</v>
      </c>
      <c r="J59" s="2">
        <f t="shared" si="12"/>
        <v>-169224.89694326289</v>
      </c>
      <c r="K59" s="6">
        <f t="shared" si="13"/>
        <v>-0.38434579653147677</v>
      </c>
      <c r="L59" s="7">
        <f t="shared" si="14"/>
        <v>0.61565420346852329</v>
      </c>
      <c r="N59">
        <f t="shared" si="15"/>
        <v>2008</v>
      </c>
      <c r="O59" s="2">
        <f t="shared" si="16"/>
        <v>9889.330093425855</v>
      </c>
      <c r="P59" s="2"/>
      <c r="Q59" s="2"/>
      <c r="R59">
        <f t="shared" si="17"/>
        <v>2008</v>
      </c>
      <c r="S59" s="2">
        <f t="shared" si="18"/>
        <v>261179.11939881436</v>
      </c>
      <c r="T59" s="2"/>
      <c r="U59" s="2">
        <f t="shared" si="35"/>
        <v>0</v>
      </c>
      <c r="V59" s="2">
        <f t="shared" si="36"/>
        <v>0</v>
      </c>
      <c r="W59" s="2"/>
      <c r="X59" s="2">
        <f t="shared" si="33"/>
        <v>0</v>
      </c>
      <c r="Y59" s="2">
        <f t="shared" si="21"/>
        <v>0</v>
      </c>
      <c r="Z59" s="2">
        <f t="shared" si="22"/>
        <v>261179.11939881436</v>
      </c>
      <c r="AA59" s="2">
        <f t="shared" si="40"/>
        <v>-169224.89694326287</v>
      </c>
      <c r="AB59" s="6">
        <f t="shared" si="41"/>
        <v>-0.39317685364898181</v>
      </c>
      <c r="AC59" s="7">
        <f t="shared" si="25"/>
        <v>0.60682314635101819</v>
      </c>
      <c r="AD59" s="2">
        <f t="shared" si="26"/>
        <v>0</v>
      </c>
      <c r="AF59">
        <f t="shared" si="6"/>
        <v>2008</v>
      </c>
      <c r="AG59" s="6">
        <f t="shared" si="38"/>
        <v>1</v>
      </c>
      <c r="AH59" s="7"/>
      <c r="AI59" s="6">
        <f t="shared" si="37"/>
        <v>0</v>
      </c>
      <c r="AJ59" s="6">
        <f t="shared" si="37"/>
        <v>0</v>
      </c>
      <c r="AK59" s="7"/>
      <c r="AL59" s="6">
        <f t="shared" si="31"/>
        <v>0</v>
      </c>
      <c r="AM59" s="6">
        <f t="shared" si="7"/>
        <v>0</v>
      </c>
      <c r="AN59" s="6">
        <f t="shared" si="27"/>
        <v>1</v>
      </c>
      <c r="AO59" s="7">
        <f t="shared" si="28"/>
        <v>1</v>
      </c>
      <c r="AP59" s="7">
        <f t="shared" si="29"/>
        <v>0</v>
      </c>
    </row>
    <row r="60" spans="1:42" x14ac:dyDescent="0.2">
      <c r="A60">
        <f t="shared" si="5"/>
        <v>2009</v>
      </c>
      <c r="B60" s="2">
        <f t="shared" si="39"/>
        <v>330365.46812756028</v>
      </c>
      <c r="C60" s="2"/>
      <c r="D60" s="2">
        <f t="shared" si="34"/>
        <v>0</v>
      </c>
      <c r="E60" s="2">
        <f t="shared" si="34"/>
        <v>0</v>
      </c>
      <c r="F60" s="2"/>
      <c r="G60" s="2">
        <f t="shared" si="32"/>
        <v>0</v>
      </c>
      <c r="H60" s="2">
        <f t="shared" si="10"/>
        <v>0</v>
      </c>
      <c r="I60" s="2">
        <f t="shared" si="11"/>
        <v>330365.46812756028</v>
      </c>
      <c r="J60" s="2">
        <f t="shared" si="12"/>
        <v>59297.01863532007</v>
      </c>
      <c r="K60" s="6">
        <f t="shared" si="13"/>
        <v>0.21875293397809303</v>
      </c>
      <c r="L60" s="7">
        <f t="shared" si="14"/>
        <v>1.2187529339780929</v>
      </c>
      <c r="N60">
        <f t="shared" si="15"/>
        <v>2009</v>
      </c>
      <c r="O60" s="2">
        <f t="shared" si="16"/>
        <v>10166.231336041779</v>
      </c>
      <c r="P60" s="2"/>
      <c r="Q60" s="2"/>
      <c r="R60">
        <f t="shared" si="17"/>
        <v>2009</v>
      </c>
      <c r="S60" s="2">
        <f t="shared" si="18"/>
        <v>320199.23679151852</v>
      </c>
      <c r="T60" s="2"/>
      <c r="U60" s="2">
        <f t="shared" si="35"/>
        <v>0</v>
      </c>
      <c r="V60" s="2">
        <f t="shared" si="36"/>
        <v>0</v>
      </c>
      <c r="W60" s="2"/>
      <c r="X60" s="2">
        <f t="shared" si="33"/>
        <v>0</v>
      </c>
      <c r="Y60" s="2">
        <f t="shared" si="21"/>
        <v>0</v>
      </c>
      <c r="Z60" s="2">
        <f t="shared" si="22"/>
        <v>320199.23679151852</v>
      </c>
      <c r="AA60" s="2">
        <f t="shared" si="40"/>
        <v>59020.117392704153</v>
      </c>
      <c r="AB60" s="6">
        <f t="shared" si="41"/>
        <v>0.22597563514479052</v>
      </c>
      <c r="AC60" s="7">
        <f t="shared" si="25"/>
        <v>1.2259756351447906</v>
      </c>
      <c r="AD60" s="2">
        <f t="shared" si="26"/>
        <v>0</v>
      </c>
      <c r="AF60">
        <f t="shared" si="6"/>
        <v>2009</v>
      </c>
      <c r="AG60" s="6">
        <f t="shared" si="38"/>
        <v>1</v>
      </c>
      <c r="AH60" s="7"/>
      <c r="AI60" s="6">
        <f t="shared" si="37"/>
        <v>0</v>
      </c>
      <c r="AJ60" s="6">
        <f t="shared" si="37"/>
        <v>0</v>
      </c>
      <c r="AK60" s="7"/>
      <c r="AL60" s="6">
        <f t="shared" si="31"/>
        <v>0</v>
      </c>
      <c r="AM60" s="6">
        <f t="shared" si="7"/>
        <v>0</v>
      </c>
      <c r="AN60" s="6">
        <f t="shared" si="27"/>
        <v>1</v>
      </c>
      <c r="AO60" s="7">
        <f t="shared" si="28"/>
        <v>1</v>
      </c>
      <c r="AP60" s="7">
        <f t="shared" si="29"/>
        <v>0</v>
      </c>
    </row>
    <row r="61" spans="1:42" x14ac:dyDescent="0.2">
      <c r="A61">
        <f t="shared" si="5"/>
        <v>2010</v>
      </c>
      <c r="B61" s="2">
        <f t="shared" si="39"/>
        <v>367940.94299713394</v>
      </c>
      <c r="C61" s="2"/>
      <c r="D61" s="2">
        <f t="shared" si="34"/>
        <v>0</v>
      </c>
      <c r="E61" s="2">
        <f t="shared" si="34"/>
        <v>0</v>
      </c>
      <c r="F61" s="2"/>
      <c r="G61" s="2">
        <f t="shared" si="32"/>
        <v>0</v>
      </c>
      <c r="H61" s="2">
        <f t="shared" si="10"/>
        <v>0</v>
      </c>
      <c r="I61" s="2">
        <f t="shared" si="11"/>
        <v>367940.94299713394</v>
      </c>
      <c r="J61" s="2">
        <f t="shared" si="12"/>
        <v>37575.474869573663</v>
      </c>
      <c r="K61" s="6">
        <f t="shared" si="13"/>
        <v>0.11373911166485799</v>
      </c>
      <c r="L61" s="7">
        <f t="shared" si="14"/>
        <v>1.1137391116648581</v>
      </c>
      <c r="N61">
        <f t="shared" si="15"/>
        <v>2010</v>
      </c>
      <c r="O61" s="2">
        <f t="shared" si="16"/>
        <v>10308.558574746365</v>
      </c>
      <c r="P61" s="2"/>
      <c r="Q61" s="2"/>
      <c r="R61">
        <f t="shared" si="17"/>
        <v>2010</v>
      </c>
      <c r="S61" s="2">
        <f t="shared" si="18"/>
        <v>357632.38442238758</v>
      </c>
      <c r="T61" s="2"/>
      <c r="U61" s="2">
        <f t="shared" si="35"/>
        <v>0</v>
      </c>
      <c r="V61" s="2">
        <f t="shared" si="36"/>
        <v>0</v>
      </c>
      <c r="W61" s="2"/>
      <c r="X61" s="2">
        <f t="shared" si="33"/>
        <v>0</v>
      </c>
      <c r="Y61" s="2">
        <f t="shared" si="21"/>
        <v>0</v>
      </c>
      <c r="Z61" s="2">
        <f t="shared" si="22"/>
        <v>357632.38442238758</v>
      </c>
      <c r="AA61" s="2">
        <f t="shared" si="40"/>
        <v>37433.147630869062</v>
      </c>
      <c r="AB61" s="6">
        <f t="shared" si="41"/>
        <v>0.11690579904549166</v>
      </c>
      <c r="AC61" s="7">
        <f t="shared" si="25"/>
        <v>1.1169057990454916</v>
      </c>
      <c r="AD61" s="2">
        <f t="shared" si="26"/>
        <v>0</v>
      </c>
      <c r="AF61">
        <f t="shared" si="6"/>
        <v>2010</v>
      </c>
      <c r="AG61" s="6">
        <f t="shared" si="38"/>
        <v>1</v>
      </c>
      <c r="AH61" s="7"/>
      <c r="AI61" s="6">
        <f t="shared" si="37"/>
        <v>0</v>
      </c>
      <c r="AJ61" s="6">
        <f t="shared" si="37"/>
        <v>0</v>
      </c>
      <c r="AK61" s="7"/>
      <c r="AL61" s="6">
        <f t="shared" si="31"/>
        <v>0</v>
      </c>
      <c r="AM61" s="6">
        <f t="shared" si="7"/>
        <v>0</v>
      </c>
      <c r="AN61" s="6">
        <f t="shared" si="27"/>
        <v>1</v>
      </c>
      <c r="AO61" s="7">
        <f t="shared" si="28"/>
        <v>1</v>
      </c>
      <c r="AP61" s="7">
        <f t="shared" si="29"/>
        <v>0</v>
      </c>
    </row>
    <row r="62" spans="1:42" x14ac:dyDescent="0.2">
      <c r="A62">
        <f t="shared" si="5"/>
        <v>2011</v>
      </c>
      <c r="B62" s="2">
        <f t="shared" si="39"/>
        <v>364677.74239550863</v>
      </c>
      <c r="C62" s="2"/>
      <c r="D62" s="2">
        <f t="shared" si="34"/>
        <v>0</v>
      </c>
      <c r="E62" s="2">
        <f t="shared" si="34"/>
        <v>0</v>
      </c>
      <c r="F62" s="2"/>
      <c r="G62" s="2">
        <f t="shared" si="32"/>
        <v>0</v>
      </c>
      <c r="H62" s="2">
        <f t="shared" si="10"/>
        <v>0</v>
      </c>
      <c r="I62" s="2">
        <f t="shared" si="11"/>
        <v>364677.74239550863</v>
      </c>
      <c r="J62" s="2">
        <f t="shared" si="12"/>
        <v>-3263.2006016253144</v>
      </c>
      <c r="K62" s="6">
        <f t="shared" si="13"/>
        <v>-8.8688162155705873E-3</v>
      </c>
      <c r="L62" s="7">
        <f t="shared" si="14"/>
        <v>0.99113118378442944</v>
      </c>
      <c r="N62">
        <f t="shared" si="15"/>
        <v>2011</v>
      </c>
      <c r="O62" s="2">
        <f t="shared" si="16"/>
        <v>10617.815331988755</v>
      </c>
      <c r="P62" s="2"/>
      <c r="Q62" s="2"/>
      <c r="R62">
        <f t="shared" si="17"/>
        <v>2011</v>
      </c>
      <c r="S62" s="2">
        <f t="shared" si="18"/>
        <v>354059.92706351989</v>
      </c>
      <c r="T62" s="2"/>
      <c r="U62" s="2">
        <f t="shared" si="35"/>
        <v>0</v>
      </c>
      <c r="V62" s="2">
        <f t="shared" si="36"/>
        <v>0</v>
      </c>
      <c r="W62" s="2"/>
      <c r="X62" s="2">
        <f t="shared" si="33"/>
        <v>0</v>
      </c>
      <c r="Y62" s="2">
        <f t="shared" si="21"/>
        <v>0</v>
      </c>
      <c r="Z62" s="2">
        <f t="shared" si="22"/>
        <v>354059.92706351989</v>
      </c>
      <c r="AA62" s="2">
        <f t="shared" si="40"/>
        <v>-3572.4573588676867</v>
      </c>
      <c r="AB62" s="6">
        <f t="shared" si="41"/>
        <v>-9.9891886598512773E-3</v>
      </c>
      <c r="AC62" s="7">
        <f t="shared" si="25"/>
        <v>0.99001081134014868</v>
      </c>
      <c r="AD62" s="2">
        <f t="shared" si="26"/>
        <v>0</v>
      </c>
      <c r="AF62">
        <f t="shared" si="6"/>
        <v>2011</v>
      </c>
      <c r="AG62" s="6">
        <f t="shared" si="38"/>
        <v>1</v>
      </c>
      <c r="AH62" s="7"/>
      <c r="AI62" s="6">
        <f t="shared" si="37"/>
        <v>0</v>
      </c>
      <c r="AJ62" s="6">
        <f t="shared" si="37"/>
        <v>0</v>
      </c>
      <c r="AK62" s="7"/>
      <c r="AL62" s="6">
        <f t="shared" si="31"/>
        <v>0</v>
      </c>
      <c r="AM62" s="6">
        <f t="shared" si="7"/>
        <v>0</v>
      </c>
      <c r="AN62" s="6">
        <f t="shared" si="27"/>
        <v>1</v>
      </c>
      <c r="AO62" s="7">
        <f t="shared" si="28"/>
        <v>1</v>
      </c>
      <c r="AP62" s="7">
        <f t="shared" si="29"/>
        <v>0</v>
      </c>
    </row>
    <row r="63" spans="1:42" x14ac:dyDescent="0.2">
      <c r="A63">
        <f t="shared" si="5"/>
        <v>2012</v>
      </c>
      <c r="B63" s="2">
        <f t="shared" si="39"/>
        <v>410072.20752496872</v>
      </c>
      <c r="C63" s="2"/>
      <c r="D63" s="2">
        <f t="shared" si="34"/>
        <v>0</v>
      </c>
      <c r="E63" s="2">
        <f t="shared" si="34"/>
        <v>0</v>
      </c>
      <c r="F63" s="2"/>
      <c r="G63" s="2">
        <f t="shared" si="32"/>
        <v>0</v>
      </c>
      <c r="H63" s="2">
        <f t="shared" si="10"/>
        <v>0</v>
      </c>
      <c r="I63" s="2">
        <f t="shared" si="11"/>
        <v>410072.20752496872</v>
      </c>
      <c r="J63" s="2">
        <f t="shared" si="12"/>
        <v>45394.465129460092</v>
      </c>
      <c r="K63" s="6">
        <f t="shared" si="13"/>
        <v>0.12447829919992169</v>
      </c>
      <c r="L63" s="7">
        <f t="shared" si="14"/>
        <v>1.1244782991999216</v>
      </c>
      <c r="N63">
        <f t="shared" si="15"/>
        <v>2012</v>
      </c>
      <c r="O63" s="2">
        <f t="shared" si="16"/>
        <v>10808.936007964552</v>
      </c>
      <c r="P63" s="2"/>
      <c r="Q63" s="2"/>
      <c r="R63">
        <f t="shared" si="17"/>
        <v>2012</v>
      </c>
      <c r="S63" s="2">
        <f t="shared" si="18"/>
        <v>399263.27151700418</v>
      </c>
      <c r="T63" s="2"/>
      <c r="U63" s="2">
        <f t="shared" si="35"/>
        <v>0</v>
      </c>
      <c r="V63" s="2">
        <f t="shared" si="36"/>
        <v>0</v>
      </c>
      <c r="W63" s="2"/>
      <c r="X63" s="2">
        <f t="shared" si="33"/>
        <v>0</v>
      </c>
      <c r="Y63" s="2">
        <f t="shared" si="21"/>
        <v>0</v>
      </c>
      <c r="Z63" s="2">
        <f t="shared" si="22"/>
        <v>399263.27151700418</v>
      </c>
      <c r="AA63" s="2">
        <f t="shared" si="40"/>
        <v>45203.344453484286</v>
      </c>
      <c r="AB63" s="6">
        <f t="shared" si="41"/>
        <v>0.12767145050384257</v>
      </c>
      <c r="AC63" s="7">
        <f t="shared" si="25"/>
        <v>1.1276714505038425</v>
      </c>
      <c r="AD63" s="2">
        <f t="shared" si="26"/>
        <v>0</v>
      </c>
      <c r="AF63">
        <f t="shared" si="6"/>
        <v>2012</v>
      </c>
      <c r="AG63" s="6">
        <f t="shared" si="38"/>
        <v>1</v>
      </c>
      <c r="AH63" s="7"/>
      <c r="AI63" s="6">
        <f t="shared" si="37"/>
        <v>0</v>
      </c>
      <c r="AJ63" s="6">
        <f t="shared" si="37"/>
        <v>0</v>
      </c>
      <c r="AK63" s="7"/>
      <c r="AL63" s="6">
        <f t="shared" si="31"/>
        <v>0</v>
      </c>
      <c r="AM63" s="6">
        <f t="shared" si="7"/>
        <v>0</v>
      </c>
      <c r="AN63" s="6">
        <f t="shared" si="27"/>
        <v>1</v>
      </c>
      <c r="AO63" s="7">
        <f t="shared" si="28"/>
        <v>1</v>
      </c>
      <c r="AP63" s="7">
        <f t="shared" si="29"/>
        <v>0</v>
      </c>
    </row>
    <row r="64" spans="1:42" x14ac:dyDescent="0.2">
      <c r="A64">
        <f t="shared" si="5"/>
        <v>2013</v>
      </c>
      <c r="B64" s="2">
        <f t="shared" si="39"/>
        <v>527746.19229117618</v>
      </c>
      <c r="C64" s="2"/>
      <c r="D64" s="2">
        <f t="shared" si="34"/>
        <v>0</v>
      </c>
      <c r="E64" s="2">
        <f t="shared" si="34"/>
        <v>0</v>
      </c>
      <c r="F64" s="2"/>
      <c r="G64" s="2">
        <f t="shared" si="32"/>
        <v>0</v>
      </c>
      <c r="H64" s="2">
        <f t="shared" si="10"/>
        <v>0</v>
      </c>
      <c r="I64" s="2">
        <f t="shared" si="11"/>
        <v>527746.19229117618</v>
      </c>
      <c r="J64" s="2">
        <f t="shared" si="12"/>
        <v>117673.98476620746</v>
      </c>
      <c r="K64" s="6">
        <f t="shared" si="13"/>
        <v>0.28695918086339089</v>
      </c>
      <c r="L64" s="7">
        <f t="shared" si="14"/>
        <v>1.2869591808633909</v>
      </c>
      <c r="N64">
        <f t="shared" si="15"/>
        <v>2013</v>
      </c>
      <c r="O64" s="2">
        <f t="shared" si="16"/>
        <v>10933.84317590942</v>
      </c>
      <c r="P64" s="2"/>
      <c r="Q64" s="2"/>
      <c r="R64">
        <f t="shared" si="17"/>
        <v>2013</v>
      </c>
      <c r="S64" s="2">
        <f t="shared" si="18"/>
        <v>516812.34911526676</v>
      </c>
      <c r="T64" s="2"/>
      <c r="U64" s="2">
        <f t="shared" si="35"/>
        <v>0</v>
      </c>
      <c r="V64" s="2">
        <f t="shared" si="36"/>
        <v>0</v>
      </c>
      <c r="W64" s="2"/>
      <c r="X64" s="2">
        <f t="shared" si="33"/>
        <v>0</v>
      </c>
      <c r="Y64" s="2">
        <f t="shared" si="21"/>
        <v>0</v>
      </c>
      <c r="Z64" s="2">
        <f t="shared" si="22"/>
        <v>516812.34911526676</v>
      </c>
      <c r="AA64" s="2">
        <f t="shared" si="40"/>
        <v>117549.07759826258</v>
      </c>
      <c r="AB64" s="6">
        <f t="shared" si="41"/>
        <v>0.29441495370118537</v>
      </c>
      <c r="AC64" s="7">
        <f t="shared" si="25"/>
        <v>1.2944149537011853</v>
      </c>
      <c r="AD64" s="2">
        <f t="shared" si="26"/>
        <v>0</v>
      </c>
      <c r="AF64">
        <f t="shared" si="6"/>
        <v>2013</v>
      </c>
      <c r="AG64" s="6">
        <f t="shared" si="38"/>
        <v>1</v>
      </c>
      <c r="AH64" s="7"/>
      <c r="AI64" s="6">
        <f t="shared" si="37"/>
        <v>0</v>
      </c>
      <c r="AJ64" s="6">
        <f t="shared" si="37"/>
        <v>0</v>
      </c>
      <c r="AK64" s="7"/>
      <c r="AL64" s="6">
        <f t="shared" si="31"/>
        <v>0</v>
      </c>
      <c r="AM64" s="6">
        <f t="shared" si="7"/>
        <v>0</v>
      </c>
      <c r="AN64" s="6">
        <f t="shared" si="27"/>
        <v>1</v>
      </c>
      <c r="AO64" s="7">
        <f t="shared" si="28"/>
        <v>1</v>
      </c>
      <c r="AP64" s="7">
        <f t="shared" si="29"/>
        <v>0</v>
      </c>
    </row>
    <row r="65" spans="1:36" x14ac:dyDescent="0.2">
      <c r="A65" s="9" t="s">
        <v>78</v>
      </c>
      <c r="B65" s="10">
        <f>S64</f>
        <v>516812.34911526676</v>
      </c>
      <c r="C65" s="10"/>
      <c r="D65" s="10">
        <f>U64</f>
        <v>0</v>
      </c>
      <c r="E65" s="10">
        <f>V64</f>
        <v>0</v>
      </c>
      <c r="F65" s="10"/>
      <c r="G65" s="10">
        <f>X64</f>
        <v>0</v>
      </c>
      <c r="H65" s="10">
        <f>Y64</f>
        <v>0</v>
      </c>
      <c r="I65" s="10">
        <f>SUM(B65:H65)</f>
        <v>516812.34911526676</v>
      </c>
      <c r="J65" s="10"/>
      <c r="K65" s="10"/>
      <c r="N65" t="s">
        <v>40</v>
      </c>
      <c r="O65" s="2">
        <f>O64</f>
        <v>10933.84317590942</v>
      </c>
      <c r="P65" s="2"/>
      <c r="R65" s="82" t="s">
        <v>78</v>
      </c>
      <c r="S65" s="10">
        <f>S64</f>
        <v>516812.34911526676</v>
      </c>
      <c r="T65" s="10"/>
      <c r="U65" s="10">
        <f>U64</f>
        <v>0</v>
      </c>
      <c r="V65" s="10">
        <f>V64</f>
        <v>0</v>
      </c>
      <c r="W65" s="10"/>
      <c r="X65" s="10">
        <f>X64</f>
        <v>0</v>
      </c>
      <c r="Y65" s="10">
        <f>Y64</f>
        <v>0</v>
      </c>
      <c r="Z65" s="10">
        <f>SUM(S65:Y65)</f>
        <v>516812.34911526676</v>
      </c>
      <c r="AA65" s="43"/>
      <c r="AB65" s="43"/>
      <c r="AC65" s="43"/>
      <c r="AD65" s="43"/>
      <c r="AJ65" s="7"/>
    </row>
    <row r="66" spans="1:36" x14ac:dyDescent="0.2">
      <c r="A66" s="11" t="s">
        <v>11</v>
      </c>
      <c r="I66" s="6">
        <f>(Z65-Z39)/Z39</f>
        <v>4.1681234911526674</v>
      </c>
      <c r="K66" s="6"/>
      <c r="N66" t="s">
        <v>70</v>
      </c>
      <c r="O66" s="2">
        <f>SUM(O40:O64)</f>
        <v>211100.9785196954</v>
      </c>
      <c r="P66" s="2"/>
      <c r="AH66" s="7"/>
      <c r="AJ66" s="7"/>
    </row>
    <row r="67" spans="1:36" x14ac:dyDescent="0.2">
      <c r="A67" s="1" t="s">
        <v>12</v>
      </c>
      <c r="I67" s="12">
        <f>STDEV(AC40:AC64)</f>
        <v>0.18236091016139402</v>
      </c>
      <c r="AI67" s="7"/>
    </row>
    <row r="68" spans="1:36" x14ac:dyDescent="0.2">
      <c r="A68" s="1" t="s">
        <v>13</v>
      </c>
      <c r="I68" s="13">
        <f>((1+I66)^(1/I75))-1</f>
        <v>6.790670992116743E-2</v>
      </c>
    </row>
    <row r="69" spans="1:36" x14ac:dyDescent="0.2">
      <c r="A69" s="1" t="s">
        <v>82</v>
      </c>
      <c r="I69" s="31">
        <f>J60</f>
        <v>59297.01863532007</v>
      </c>
      <c r="O69" s="2"/>
      <c r="P69" s="2"/>
    </row>
    <row r="70" spans="1:36" x14ac:dyDescent="0.2">
      <c r="A70" s="1" t="s">
        <v>83</v>
      </c>
      <c r="I70" s="32">
        <f>K60</f>
        <v>0.21875293397809303</v>
      </c>
    </row>
    <row r="71" spans="1:36" x14ac:dyDescent="0.2">
      <c r="A71" s="1" t="s">
        <v>42</v>
      </c>
      <c r="I71" s="2">
        <f>O66</f>
        <v>211100.9785196954</v>
      </c>
    </row>
    <row r="72" spans="1:36" x14ac:dyDescent="0.2">
      <c r="A72" s="3" t="s">
        <v>84</v>
      </c>
      <c r="I72" s="33">
        <f>I65-Z65</f>
        <v>0</v>
      </c>
    </row>
    <row r="73" spans="1:36" x14ac:dyDescent="0.2">
      <c r="A73" s="3" t="s">
        <v>148</v>
      </c>
      <c r="I73" s="33">
        <f>((SUM(AA40:AA64)))-(I65-I39)</f>
        <v>0</v>
      </c>
    </row>
    <row r="74" spans="1:36" x14ac:dyDescent="0.2">
      <c r="A74" s="3" t="s">
        <v>147</v>
      </c>
      <c r="I74" s="33">
        <f>(SUM(O40:O64))-I71</f>
        <v>0</v>
      </c>
    </row>
    <row r="75" spans="1:36" x14ac:dyDescent="0.2">
      <c r="A75" s="3" t="s">
        <v>159</v>
      </c>
      <c r="I75" s="3">
        <f>COUNTA(I40:I64)</f>
        <v>25</v>
      </c>
    </row>
    <row r="76" spans="1:36" x14ac:dyDescent="0.2">
      <c r="A76" s="1" t="s">
        <v>105</v>
      </c>
      <c r="B76" s="63"/>
      <c r="C76" s="63"/>
      <c r="D76" s="63"/>
      <c r="E76" s="63"/>
      <c r="G76" s="63"/>
      <c r="H76" s="63"/>
      <c r="I76" s="83">
        <f>(SUM(B65:G65)/I65)</f>
        <v>1</v>
      </c>
    </row>
    <row r="77" spans="1:36" x14ac:dyDescent="0.2">
      <c r="A77" s="1" t="s">
        <v>106</v>
      </c>
      <c r="B77" s="63"/>
      <c r="C77" s="63"/>
      <c r="D77" s="63"/>
      <c r="E77" s="63"/>
      <c r="G77" s="63"/>
      <c r="H77" s="63"/>
      <c r="I77" s="83">
        <f>(H65/I65)</f>
        <v>0</v>
      </c>
    </row>
    <row r="78" spans="1:36" x14ac:dyDescent="0.2">
      <c r="A78" s="3" t="s">
        <v>107</v>
      </c>
      <c r="I78" s="3">
        <f>100%-(I76+I77)</f>
        <v>0</v>
      </c>
    </row>
    <row r="79" spans="1:36" x14ac:dyDescent="0.2">
      <c r="B79" s="2"/>
      <c r="D79" s="2"/>
      <c r="E79" s="2"/>
      <c r="G79" s="2"/>
      <c r="H79" s="2"/>
      <c r="I79" s="2"/>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1"/>
  <sheetViews>
    <sheetView topLeftCell="A21" workbookViewId="0">
      <selection activeCell="C31" sqref="C31"/>
    </sheetView>
  </sheetViews>
  <sheetFormatPr baseColWidth="10" defaultColWidth="8.83203125" defaultRowHeight="15" x14ac:dyDescent="0.2"/>
  <cols>
    <col min="2" max="2" width="15.83203125" customWidth="1"/>
    <col min="3" max="3" width="14.6640625" customWidth="1"/>
    <col min="4" max="4" width="13.5" customWidth="1"/>
  </cols>
  <sheetData>
    <row r="1" spans="1:4" ht="45" x14ac:dyDescent="0.2">
      <c r="B1" s="8" t="str">
        <f>Summary!B5</f>
        <v>Rebalance at 5% Thresholds</v>
      </c>
      <c r="C1" s="8" t="str">
        <f>Summary!C5</f>
        <v>No Rebalancing</v>
      </c>
      <c r="D1" s="8" t="str">
        <f>Summary!D5</f>
        <v>Panic and Sell When S&amp;P 500 Falls &gt; 20%</v>
      </c>
    </row>
    <row r="2" spans="1:4" x14ac:dyDescent="0.2">
      <c r="A2" t="s">
        <v>113</v>
      </c>
      <c r="B2" s="64">
        <f>'Non-Rebalanced Portfolio'!I39</f>
        <v>100000</v>
      </c>
      <c r="C2" s="2">
        <f>'Non-Rebalanced Portfolio'!I39</f>
        <v>100000</v>
      </c>
      <c r="D2" s="64">
        <f>'Panic Portfolio'!I39</f>
        <v>100000</v>
      </c>
    </row>
    <row r="3" spans="1:4" x14ac:dyDescent="0.2">
      <c r="A3">
        <f>'Rebalanced Portfolio'!A40</f>
        <v>1989</v>
      </c>
      <c r="B3" s="2">
        <f>'Rebalanced Portfolio'!I40</f>
        <v>122787</v>
      </c>
      <c r="C3" s="2">
        <f>'Non-Rebalanced Portfolio'!I40</f>
        <v>122787</v>
      </c>
      <c r="D3" s="64">
        <f>'Panic Portfolio'!I40</f>
        <v>122787</v>
      </c>
    </row>
    <row r="4" spans="1:4" x14ac:dyDescent="0.2">
      <c r="A4">
        <f>'Rebalanced Portfolio'!A41</f>
        <v>1990</v>
      </c>
      <c r="B4" s="2">
        <f>'Rebalanced Portfolio'!I41</f>
        <v>116546.13372</v>
      </c>
      <c r="C4" s="2">
        <f>'Non-Rebalanced Portfolio'!I41</f>
        <v>116546.13372</v>
      </c>
      <c r="D4" s="64">
        <f>'Panic Portfolio'!I41</f>
        <v>116546.13372</v>
      </c>
    </row>
    <row r="5" spans="1:4" x14ac:dyDescent="0.2">
      <c r="A5">
        <f>'Rebalanced Portfolio'!A42</f>
        <v>1991</v>
      </c>
      <c r="B5" s="2">
        <f>'Rebalanced Portfolio'!I42</f>
        <v>145463.50921828483</v>
      </c>
      <c r="C5" s="2">
        <f>'Non-Rebalanced Portfolio'!I42</f>
        <v>145463.50921828483</v>
      </c>
      <c r="D5" s="64">
        <f>'Panic Portfolio'!I42</f>
        <v>145463.50921828483</v>
      </c>
    </row>
    <row r="6" spans="1:4" x14ac:dyDescent="0.2">
      <c r="A6">
        <f>'Rebalanced Portfolio'!A43</f>
        <v>1992</v>
      </c>
      <c r="B6" s="2">
        <f>'Rebalanced Portfolio'!I43</f>
        <v>154504.58746941286</v>
      </c>
      <c r="C6" s="2">
        <f>'Non-Rebalanced Portfolio'!I43</f>
        <v>154504.58746941286</v>
      </c>
      <c r="D6" s="64">
        <f>'Panic Portfolio'!I43</f>
        <v>154504.58746941286</v>
      </c>
    </row>
    <row r="7" spans="1:4" x14ac:dyDescent="0.2">
      <c r="A7">
        <f>'Rebalanced Portfolio'!A44</f>
        <v>1993</v>
      </c>
      <c r="B7" s="2">
        <f>'Rebalanced Portfolio'!I44</f>
        <v>178186.74162754952</v>
      </c>
      <c r="C7" s="2">
        <f>'Non-Rebalanced Portfolio'!I44</f>
        <v>176608.66724344523</v>
      </c>
      <c r="D7" s="64">
        <f>'Panic Portfolio'!I44</f>
        <v>176608.66724344523</v>
      </c>
    </row>
    <row r="8" spans="1:4" x14ac:dyDescent="0.2">
      <c r="A8">
        <f>'Rebalanced Portfolio'!A45</f>
        <v>1994</v>
      </c>
      <c r="B8" s="2">
        <f>'Rebalanced Portfolio'!I45</f>
        <v>178418.04250391418</v>
      </c>
      <c r="C8" s="2">
        <f>'Non-Rebalanced Portfolio'!I45</f>
        <v>176225.39734800762</v>
      </c>
      <c r="D8" s="64">
        <f>'Panic Portfolio'!I45</f>
        <v>176225.39734800762</v>
      </c>
    </row>
    <row r="9" spans="1:4" x14ac:dyDescent="0.2">
      <c r="A9">
        <f>'Rebalanced Portfolio'!A46</f>
        <v>1995</v>
      </c>
      <c r="B9" s="2">
        <f>'Rebalanced Portfolio'!I46</f>
        <v>221994.48808903457</v>
      </c>
      <c r="C9" s="2">
        <f>'Non-Rebalanced Portfolio'!I46</f>
        <v>222241.85209375882</v>
      </c>
      <c r="D9" s="64">
        <f>'Panic Portfolio'!I46</f>
        <v>222241.85209375882</v>
      </c>
    </row>
    <row r="10" spans="1:4" x14ac:dyDescent="0.2">
      <c r="A10">
        <f>'Rebalanced Portfolio'!A47</f>
        <v>1996</v>
      </c>
      <c r="B10" s="2">
        <f>'Rebalanced Portfolio'!I47</f>
        <v>251957.6383803061</v>
      </c>
      <c r="C10" s="2">
        <f>'Non-Rebalanced Portfolio'!I47</f>
        <v>253702.60507935967</v>
      </c>
      <c r="D10" s="64">
        <f>'Panic Portfolio'!I47</f>
        <v>253702.60507935967</v>
      </c>
    </row>
    <row r="11" spans="1:4" x14ac:dyDescent="0.2">
      <c r="A11">
        <f>'Rebalanced Portfolio'!A48</f>
        <v>1997</v>
      </c>
      <c r="B11" s="2">
        <f>'Rebalanced Portfolio'!I48</f>
        <v>295599.47288179735</v>
      </c>
      <c r="C11" s="2">
        <f>'Non-Rebalanced Portfolio'!I48</f>
        <v>305324.39689888142</v>
      </c>
      <c r="D11" s="64">
        <f>'Panic Portfolio'!I48</f>
        <v>301936.39544827887</v>
      </c>
    </row>
    <row r="12" spans="1:4" x14ac:dyDescent="0.2">
      <c r="A12">
        <f>'Rebalanced Portfolio'!A49</f>
        <v>1998</v>
      </c>
      <c r="B12" s="2">
        <f>'Rebalanced Portfolio'!I49</f>
        <v>336783.86944105383</v>
      </c>
      <c r="C12" s="2">
        <f>'Non-Rebalanced Portfolio'!I49</f>
        <v>351672.25701131404</v>
      </c>
      <c r="D12" s="64">
        <f>'Panic Portfolio'!I49</f>
        <v>347755.62569437403</v>
      </c>
    </row>
    <row r="13" spans="1:4" x14ac:dyDescent="0.2">
      <c r="A13">
        <f>'Rebalanced Portfolio'!A50</f>
        <v>1999</v>
      </c>
      <c r="B13" s="2">
        <f>'Rebalanced Portfolio'!I50</f>
        <v>389723.97554802371</v>
      </c>
      <c r="C13" s="2">
        <f>'Non-Rebalanced Portfolio'!I50</f>
        <v>410066.25200145633</v>
      </c>
      <c r="D13" s="64">
        <f>'Panic Portfolio'!I50</f>
        <v>393702.04432097776</v>
      </c>
    </row>
    <row r="14" spans="1:4" x14ac:dyDescent="0.2">
      <c r="A14">
        <f>'Rebalanced Portfolio'!A51</f>
        <v>2000</v>
      </c>
      <c r="B14" s="2">
        <f>'Rebalanced Portfolio'!I51</f>
        <v>396876.57967125659</v>
      </c>
      <c r="C14" s="2">
        <f>'Non-Rebalanced Portfolio'!I51</f>
        <v>412988.52260292647</v>
      </c>
      <c r="D14" s="64">
        <f>'Panic Portfolio'!I51</f>
        <v>396185.03745670873</v>
      </c>
    </row>
    <row r="15" spans="1:4" x14ac:dyDescent="0.2">
      <c r="A15">
        <f>'Rebalanced Portfolio'!A52</f>
        <v>2001</v>
      </c>
      <c r="B15" s="2">
        <f>'Rebalanced Portfolio'!I52</f>
        <v>386796.25243829348</v>
      </c>
      <c r="C15" s="2">
        <f>'Non-Rebalanced Portfolio'!I52</f>
        <v>396098.8592864963</v>
      </c>
      <c r="D15" s="64">
        <f>'Panic Portfolio'!I52</f>
        <v>380087.0158797864</v>
      </c>
    </row>
    <row r="16" spans="1:4" x14ac:dyDescent="0.2">
      <c r="A16">
        <f>'Rebalanced Portfolio'!A53</f>
        <v>2002</v>
      </c>
      <c r="B16" s="2">
        <f>'Rebalanced Portfolio'!I53</f>
        <v>348532.81996208779</v>
      </c>
      <c r="C16" s="2">
        <f>'Non-Rebalanced Portfolio'!I53</f>
        <v>346438.36853564344</v>
      </c>
      <c r="D16" s="64">
        <f>'Panic Portfolio'!I53</f>
        <v>332992.96320673812</v>
      </c>
    </row>
    <row r="17" spans="1:4" x14ac:dyDescent="0.2">
      <c r="A17">
        <f>'Rebalanced Portfolio'!A54</f>
        <v>2003</v>
      </c>
      <c r="B17" s="2">
        <f>'Rebalanced Portfolio'!I54</f>
        <v>440371.9150877379</v>
      </c>
      <c r="C17" s="2">
        <f>'Non-Rebalanced Portfolio'!I54</f>
        <v>438638.66526498587</v>
      </c>
      <c r="D17" s="64">
        <f>'Panic Portfolio'!I54</f>
        <v>346212.78384604567</v>
      </c>
    </row>
    <row r="18" spans="1:4" x14ac:dyDescent="0.2">
      <c r="A18">
        <f>'Rebalanced Portfolio'!A55</f>
        <v>2004</v>
      </c>
      <c r="B18" s="2">
        <f>'Rebalanced Portfolio'!I55</f>
        <v>500472.55294316716</v>
      </c>
      <c r="C18" s="2">
        <f>'Non-Rebalanced Portfolio'!I55</f>
        <v>501767.63815479178</v>
      </c>
      <c r="D18" s="64">
        <f>'Panic Portfolio'!I55</f>
        <v>393462.86594700249</v>
      </c>
    </row>
    <row r="19" spans="1:4" x14ac:dyDescent="0.2">
      <c r="A19">
        <f>'Rebalanced Portfolio'!A56</f>
        <v>2005</v>
      </c>
      <c r="B19" s="2">
        <f>'Rebalanced Portfolio'!I56</f>
        <v>543656.17311463179</v>
      </c>
      <c r="C19" s="2">
        <f>'Non-Rebalanced Portfolio'!I56</f>
        <v>545143.57363147254</v>
      </c>
      <c r="D19" s="64">
        <f>'Panic Portfolio'!I56</f>
        <v>427413.08130788518</v>
      </c>
    </row>
    <row r="20" spans="1:4" x14ac:dyDescent="0.2">
      <c r="A20">
        <f>'Rebalanced Portfolio'!A57</f>
        <v>2006</v>
      </c>
      <c r="B20" s="2">
        <f>'Rebalanced Portfolio'!I57</f>
        <v>623718.12761750375</v>
      </c>
      <c r="C20" s="2">
        <f>'Non-Rebalanced Portfolio'!I57</f>
        <v>621939.45364231581</v>
      </c>
      <c r="D20" s="64">
        <f>'Panic Portfolio'!I57</f>
        <v>490356.40534586838</v>
      </c>
    </row>
    <row r="21" spans="1:4" x14ac:dyDescent="0.2">
      <c r="A21">
        <f>'Rebalanced Portfolio'!A58</f>
        <v>2007</v>
      </c>
      <c r="B21" s="2">
        <f>'Rebalanced Portfolio'!I58</f>
        <v>670984.73476461344</v>
      </c>
      <c r="C21" s="2">
        <f>'Non-Rebalanced Portfolio'!I58</f>
        <v>662544.53735884395</v>
      </c>
      <c r="D21" s="64">
        <f>'Panic Portfolio'!I58</f>
        <v>529460.81774374098</v>
      </c>
    </row>
    <row r="22" spans="1:4" x14ac:dyDescent="0.2">
      <c r="A22">
        <f>'Rebalanced Portfolio'!A59</f>
        <v>2008</v>
      </c>
      <c r="B22" s="2">
        <f>'Rebalanced Portfolio'!I59</f>
        <v>490794.74714169558</v>
      </c>
      <c r="C22" s="2">
        <f>'Non-Rebalanced Portfolio'!I59</f>
        <v>449478.09158818517</v>
      </c>
      <c r="D22" s="64">
        <f>'Panic Portfolio'!I59</f>
        <v>370437.69557478395</v>
      </c>
    </row>
    <row r="23" spans="1:4" x14ac:dyDescent="0.2">
      <c r="A23">
        <f>'Rebalanced Portfolio'!A60</f>
        <v>2009</v>
      </c>
      <c r="B23" s="2">
        <f>'Rebalanced Portfolio'!I60</f>
        <v>618783.21971181268</v>
      </c>
      <c r="C23" s="2">
        <f>'Non-Rebalanced Portfolio'!I60</f>
        <v>571545.187679208</v>
      </c>
      <c r="D23" s="64">
        <f>'Panic Portfolio'!I60</f>
        <v>392404.65092236863</v>
      </c>
    </row>
    <row r="24" spans="1:4" x14ac:dyDescent="0.2">
      <c r="A24">
        <f>'Rebalanced Portfolio'!A61</f>
        <v>2010</v>
      </c>
      <c r="B24" s="2">
        <f>'Rebalanced Portfolio'!I61</f>
        <v>715793.92341834994</v>
      </c>
      <c r="C24" s="2">
        <f>'Non-Rebalanced Portfolio'!I61</f>
        <v>671609.00939374988</v>
      </c>
      <c r="D24" s="64">
        <f>'Panic Portfolio'!I61</f>
        <v>451249.65237468708</v>
      </c>
    </row>
    <row r="25" spans="1:4" x14ac:dyDescent="0.2">
      <c r="A25">
        <f>'Rebalanced Portfolio'!A62</f>
        <v>2011</v>
      </c>
      <c r="B25" s="2">
        <f>'Rebalanced Portfolio'!I62</f>
        <v>708979.56526740734</v>
      </c>
      <c r="C25" s="2">
        <f>'Non-Rebalanced Portfolio'!I62</f>
        <v>666148.08930437255</v>
      </c>
      <c r="D25" s="64">
        <f>'Panic Portfolio'!I62</f>
        <v>446319.00710048946</v>
      </c>
    </row>
    <row r="26" spans="1:4" x14ac:dyDescent="0.2">
      <c r="A26">
        <f>'Rebalanced Portfolio'!A63</f>
        <v>2012</v>
      </c>
      <c r="B26" s="2">
        <f>'Rebalanced Portfolio'!I63</f>
        <v>798308.92900460109</v>
      </c>
      <c r="C26" s="2">
        <f>'Non-Rebalanced Portfolio'!I63</f>
        <v>758036.97221331566</v>
      </c>
      <c r="D26" s="64">
        <f>'Panic Portfolio'!I63</f>
        <v>503857.40615481196</v>
      </c>
    </row>
    <row r="27" spans="1:4" x14ac:dyDescent="0.2">
      <c r="A27">
        <f>'Rebalanced Portfolio'!A64</f>
        <v>2013</v>
      </c>
      <c r="B27" s="2">
        <f>'Rebalanced Portfolio'!I64</f>
        <v>956712.40579277393</v>
      </c>
      <c r="C27" s="2">
        <f>'Non-Rebalanced Portfolio'!I64</f>
        <v>949817.42316627817</v>
      </c>
      <c r="D27" s="64">
        <f>'Panic Portfolio'!I64</f>
        <v>608899.08913829445</v>
      </c>
    </row>
    <row r="28" spans="1:4" x14ac:dyDescent="0.2">
      <c r="B28" s="2"/>
      <c r="C28" s="2"/>
      <c r="D28" s="64"/>
    </row>
    <row r="29" spans="1:4" x14ac:dyDescent="0.2">
      <c r="B29" s="2"/>
      <c r="C29" s="2"/>
      <c r="D29" s="64"/>
    </row>
    <row r="30" spans="1:4" x14ac:dyDescent="0.2">
      <c r="B30" s="2"/>
      <c r="C30" s="2"/>
      <c r="D30" s="64"/>
    </row>
    <row r="31" spans="1:4" x14ac:dyDescent="0.2">
      <c r="B31" s="2"/>
      <c r="C31" s="2"/>
      <c r="D31" s="64"/>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
  <sheetViews>
    <sheetView workbookViewId="0">
      <selection activeCell="B2" sqref="B2"/>
    </sheetView>
  </sheetViews>
  <sheetFormatPr baseColWidth="10" defaultColWidth="8.83203125" defaultRowHeight="15" x14ac:dyDescent="0.2"/>
  <cols>
    <col min="1" max="1" width="37.1640625" bestFit="1" customWidth="1"/>
    <col min="2" max="2" width="10.83203125" bestFit="1" customWidth="1"/>
  </cols>
  <sheetData>
    <row r="2" spans="1:2" x14ac:dyDescent="0.2">
      <c r="A2" t="s">
        <v>35</v>
      </c>
      <c r="B2" s="2">
        <f>Summary!B6</f>
        <v>956712.40579277393</v>
      </c>
    </row>
    <row r="3" spans="1:2" x14ac:dyDescent="0.2">
      <c r="A3" t="s">
        <v>142</v>
      </c>
      <c r="B3" s="2">
        <f>Summary!D6</f>
        <v>608899.08913829445</v>
      </c>
    </row>
  </sheetData>
  <pageMargins left="0.7" right="0.7" top="0.75" bottom="0.75" header="0.3" footer="0.3"/>
  <pageSetup orientation="portrait"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3"/>
  <sheetViews>
    <sheetView workbookViewId="0">
      <selection activeCell="A14" sqref="A14"/>
    </sheetView>
  </sheetViews>
  <sheetFormatPr baseColWidth="10" defaultColWidth="8.83203125" defaultRowHeight="15" x14ac:dyDescent="0.2"/>
  <sheetData>
    <row r="1" spans="1:2" x14ac:dyDescent="0.2">
      <c r="A1" s="20" t="s">
        <v>90</v>
      </c>
    </row>
    <row r="3" spans="1:2" x14ac:dyDescent="0.2">
      <c r="A3" t="s">
        <v>43</v>
      </c>
    </row>
    <row r="5" spans="1:2" x14ac:dyDescent="0.2">
      <c r="A5" s="37" t="s">
        <v>93</v>
      </c>
    </row>
    <row r="6" spans="1:2" x14ac:dyDescent="0.2">
      <c r="A6" t="s">
        <v>95</v>
      </c>
    </row>
    <row r="7" spans="1:2" x14ac:dyDescent="0.2">
      <c r="A7" t="s">
        <v>59</v>
      </c>
    </row>
    <row r="8" spans="1:2" x14ac:dyDescent="0.2">
      <c r="A8" t="s">
        <v>94</v>
      </c>
    </row>
    <row r="9" spans="1:2" x14ac:dyDescent="0.2">
      <c r="A9" t="s">
        <v>58</v>
      </c>
    </row>
    <row r="10" spans="1:2" x14ac:dyDescent="0.2">
      <c r="A10" t="s">
        <v>96</v>
      </c>
    </row>
    <row r="11" spans="1:2" x14ac:dyDescent="0.2">
      <c r="A11" s="35" t="s">
        <v>97</v>
      </c>
    </row>
    <row r="12" spans="1:2" x14ac:dyDescent="0.2">
      <c r="A12" s="35" t="s">
        <v>98</v>
      </c>
    </row>
    <row r="14" spans="1:2" x14ac:dyDescent="0.2">
      <c r="A14" s="37" t="s">
        <v>100</v>
      </c>
    </row>
    <row r="15" spans="1:2" x14ac:dyDescent="0.2">
      <c r="A15" s="35" t="s">
        <v>99</v>
      </c>
      <c r="B15" s="35"/>
    </row>
    <row r="16" spans="1:2" x14ac:dyDescent="0.2">
      <c r="A16" s="36">
        <v>0.2</v>
      </c>
      <c r="B16" s="35" t="s">
        <v>66</v>
      </c>
    </row>
    <row r="17" spans="1:2" x14ac:dyDescent="0.2">
      <c r="A17" s="36">
        <v>0.2</v>
      </c>
      <c r="B17" s="35" t="s">
        <v>67</v>
      </c>
    </row>
    <row r="18" spans="1:2" x14ac:dyDescent="0.2">
      <c r="A18" s="36">
        <v>0.1</v>
      </c>
      <c r="B18" s="35" t="s">
        <v>68</v>
      </c>
    </row>
    <row r="19" spans="1:2" x14ac:dyDescent="0.2">
      <c r="A19" s="36">
        <v>0.15</v>
      </c>
      <c r="B19" s="35" t="s">
        <v>69</v>
      </c>
    </row>
    <row r="20" spans="1:2" x14ac:dyDescent="0.2">
      <c r="A20" s="36">
        <v>0.05</v>
      </c>
      <c r="B20" s="35" t="s">
        <v>45</v>
      </c>
    </row>
    <row r="21" spans="1:2" x14ac:dyDescent="0.2">
      <c r="A21" s="36">
        <v>0.3</v>
      </c>
      <c r="B21" s="35" t="s">
        <v>63</v>
      </c>
    </row>
    <row r="22" spans="1:2" x14ac:dyDescent="0.2">
      <c r="A22" s="36">
        <f>SUM(A16:A21)</f>
        <v>1</v>
      </c>
      <c r="B22" s="35" t="s">
        <v>70</v>
      </c>
    </row>
    <row r="24" spans="1:2" x14ac:dyDescent="0.2">
      <c r="A24" s="37" t="s">
        <v>101</v>
      </c>
    </row>
    <row r="25" spans="1:2" x14ac:dyDescent="0.2">
      <c r="A25" t="s">
        <v>102</v>
      </c>
    </row>
    <row r="26" spans="1:2" x14ac:dyDescent="0.2">
      <c r="A26" t="s">
        <v>103</v>
      </c>
    </row>
    <row r="29" spans="1:2" x14ac:dyDescent="0.2">
      <c r="A29" s="47" t="s">
        <v>104</v>
      </c>
    </row>
    <row r="30" spans="1:2" x14ac:dyDescent="0.2">
      <c r="A30" t="s">
        <v>26</v>
      </c>
    </row>
    <row r="31" spans="1:2" x14ac:dyDescent="0.2">
      <c r="A31" t="s">
        <v>27</v>
      </c>
    </row>
    <row r="32" spans="1:2" x14ac:dyDescent="0.2">
      <c r="A32" t="s">
        <v>28</v>
      </c>
    </row>
    <row r="33" spans="1:1" x14ac:dyDescent="0.2">
      <c r="A33" t="s">
        <v>29</v>
      </c>
    </row>
    <row r="36" spans="1:1" x14ac:dyDescent="0.2">
      <c r="A36" s="47" t="s">
        <v>143</v>
      </c>
    </row>
    <row r="37" spans="1:1" x14ac:dyDescent="0.2">
      <c r="A37" s="48" t="s">
        <v>141</v>
      </c>
    </row>
    <row r="38" spans="1:1" x14ac:dyDescent="0.2">
      <c r="A38" t="s">
        <v>44</v>
      </c>
    </row>
    <row r="39" spans="1:1" x14ac:dyDescent="0.2">
      <c r="A39" t="s">
        <v>149</v>
      </c>
    </row>
    <row r="40" spans="1:1" x14ac:dyDescent="0.2">
      <c r="A40" t="s">
        <v>150</v>
      </c>
    </row>
    <row r="41" spans="1:1" x14ac:dyDescent="0.2">
      <c r="A41" t="s">
        <v>151</v>
      </c>
    </row>
    <row r="43" spans="1:1" x14ac:dyDescent="0.2">
      <c r="A43" t="s">
        <v>85</v>
      </c>
    </row>
  </sheetData>
  <hyperlinks>
    <hyperlink ref="A37"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4"/>
  <sheetViews>
    <sheetView topLeftCell="A15" zoomScale="110" zoomScaleNormal="110" workbookViewId="0">
      <selection activeCell="C27" sqref="C27"/>
    </sheetView>
  </sheetViews>
  <sheetFormatPr baseColWidth="10" defaultColWidth="12.5" defaultRowHeight="15" x14ac:dyDescent="0.2"/>
  <cols>
    <col min="1" max="1" width="50.1640625" customWidth="1"/>
    <col min="2" max="3" width="14.83203125" customWidth="1"/>
    <col min="4" max="4" width="15.83203125" customWidth="1"/>
    <col min="5" max="5" width="5.33203125" customWidth="1"/>
    <col min="6" max="8" width="0" hidden="1" customWidth="1"/>
    <col min="9" max="9" width="15.83203125" customWidth="1"/>
    <col min="10" max="11" width="0" hidden="1" customWidth="1"/>
    <col min="12" max="12" width="6.33203125" customWidth="1"/>
    <col min="14" max="15" width="12.5" customWidth="1"/>
    <col min="257" max="257" width="50.1640625" customWidth="1"/>
    <col min="258" max="258" width="14.83203125" customWidth="1"/>
    <col min="259" max="259" width="15.83203125" customWidth="1"/>
    <col min="513" max="513" width="50.1640625" customWidth="1"/>
    <col min="514" max="514" width="14.83203125" customWidth="1"/>
    <col min="515" max="515" width="15.83203125" customWidth="1"/>
    <col min="769" max="769" width="50.1640625" customWidth="1"/>
    <col min="770" max="770" width="14.83203125" customWidth="1"/>
    <col min="771" max="771" width="15.83203125" customWidth="1"/>
    <col min="1025" max="1025" width="50.1640625" customWidth="1"/>
    <col min="1026" max="1026" width="14.83203125" customWidth="1"/>
    <col min="1027" max="1027" width="15.83203125" customWidth="1"/>
    <col min="1281" max="1281" width="50.1640625" customWidth="1"/>
    <col min="1282" max="1282" width="14.83203125" customWidth="1"/>
    <col min="1283" max="1283" width="15.83203125" customWidth="1"/>
    <col min="1537" max="1537" width="50.1640625" customWidth="1"/>
    <col min="1538" max="1538" width="14.83203125" customWidth="1"/>
    <col min="1539" max="1539" width="15.83203125" customWidth="1"/>
    <col min="1793" max="1793" width="50.1640625" customWidth="1"/>
    <col min="1794" max="1794" width="14.83203125" customWidth="1"/>
    <col min="1795" max="1795" width="15.83203125" customWidth="1"/>
    <col min="2049" max="2049" width="50.1640625" customWidth="1"/>
    <col min="2050" max="2050" width="14.83203125" customWidth="1"/>
    <col min="2051" max="2051" width="15.83203125" customWidth="1"/>
    <col min="2305" max="2305" width="50.1640625" customWidth="1"/>
    <col min="2306" max="2306" width="14.83203125" customWidth="1"/>
    <col min="2307" max="2307" width="15.83203125" customWidth="1"/>
    <col min="2561" max="2561" width="50.1640625" customWidth="1"/>
    <col min="2562" max="2562" width="14.83203125" customWidth="1"/>
    <col min="2563" max="2563" width="15.83203125" customWidth="1"/>
    <col min="2817" max="2817" width="50.1640625" customWidth="1"/>
    <col min="2818" max="2818" width="14.83203125" customWidth="1"/>
    <col min="2819" max="2819" width="15.83203125" customWidth="1"/>
    <col min="3073" max="3073" width="50.1640625" customWidth="1"/>
    <col min="3074" max="3074" width="14.83203125" customWidth="1"/>
    <col min="3075" max="3075" width="15.83203125" customWidth="1"/>
    <col min="3329" max="3329" width="50.1640625" customWidth="1"/>
    <col min="3330" max="3330" width="14.83203125" customWidth="1"/>
    <col min="3331" max="3331" width="15.83203125" customWidth="1"/>
    <col min="3585" max="3585" width="50.1640625" customWidth="1"/>
    <col min="3586" max="3586" width="14.83203125" customWidth="1"/>
    <col min="3587" max="3587" width="15.83203125" customWidth="1"/>
    <col min="3841" max="3841" width="50.1640625" customWidth="1"/>
    <col min="3842" max="3842" width="14.83203125" customWidth="1"/>
    <col min="3843" max="3843" width="15.83203125" customWidth="1"/>
    <col min="4097" max="4097" width="50.1640625" customWidth="1"/>
    <col min="4098" max="4098" width="14.83203125" customWidth="1"/>
    <col min="4099" max="4099" width="15.83203125" customWidth="1"/>
    <col min="4353" max="4353" width="50.1640625" customWidth="1"/>
    <col min="4354" max="4354" width="14.83203125" customWidth="1"/>
    <col min="4355" max="4355" width="15.83203125" customWidth="1"/>
    <col min="4609" max="4609" width="50.1640625" customWidth="1"/>
    <col min="4610" max="4610" width="14.83203125" customWidth="1"/>
    <col min="4611" max="4611" width="15.83203125" customWidth="1"/>
    <col min="4865" max="4865" width="50.1640625" customWidth="1"/>
    <col min="4866" max="4866" width="14.83203125" customWidth="1"/>
    <col min="4867" max="4867" width="15.83203125" customWidth="1"/>
    <col min="5121" max="5121" width="50.1640625" customWidth="1"/>
    <col min="5122" max="5122" width="14.83203125" customWidth="1"/>
    <col min="5123" max="5123" width="15.83203125" customWidth="1"/>
    <col min="5377" max="5377" width="50.1640625" customWidth="1"/>
    <col min="5378" max="5378" width="14.83203125" customWidth="1"/>
    <col min="5379" max="5379" width="15.83203125" customWidth="1"/>
    <col min="5633" max="5633" width="50.1640625" customWidth="1"/>
    <col min="5634" max="5634" width="14.83203125" customWidth="1"/>
    <col min="5635" max="5635" width="15.83203125" customWidth="1"/>
    <col min="5889" max="5889" width="50.1640625" customWidth="1"/>
    <col min="5890" max="5890" width="14.83203125" customWidth="1"/>
    <col min="5891" max="5891" width="15.83203125" customWidth="1"/>
    <col min="6145" max="6145" width="50.1640625" customWidth="1"/>
    <col min="6146" max="6146" width="14.83203125" customWidth="1"/>
    <col min="6147" max="6147" width="15.83203125" customWidth="1"/>
    <col min="6401" max="6401" width="50.1640625" customWidth="1"/>
    <col min="6402" max="6402" width="14.83203125" customWidth="1"/>
    <col min="6403" max="6403" width="15.83203125" customWidth="1"/>
    <col min="6657" max="6657" width="50.1640625" customWidth="1"/>
    <col min="6658" max="6658" width="14.83203125" customWidth="1"/>
    <col min="6659" max="6659" width="15.83203125" customWidth="1"/>
    <col min="6913" max="6913" width="50.1640625" customWidth="1"/>
    <col min="6914" max="6914" width="14.83203125" customWidth="1"/>
    <col min="6915" max="6915" width="15.83203125" customWidth="1"/>
    <col min="7169" max="7169" width="50.1640625" customWidth="1"/>
    <col min="7170" max="7170" width="14.83203125" customWidth="1"/>
    <col min="7171" max="7171" width="15.83203125" customWidth="1"/>
    <col min="7425" max="7425" width="50.1640625" customWidth="1"/>
    <col min="7426" max="7426" width="14.83203125" customWidth="1"/>
    <col min="7427" max="7427" width="15.83203125" customWidth="1"/>
    <col min="7681" max="7681" width="50.1640625" customWidth="1"/>
    <col min="7682" max="7682" width="14.83203125" customWidth="1"/>
    <col min="7683" max="7683" width="15.83203125" customWidth="1"/>
    <col min="7937" max="7937" width="50.1640625" customWidth="1"/>
    <col min="7938" max="7938" width="14.83203125" customWidth="1"/>
    <col min="7939" max="7939" width="15.83203125" customWidth="1"/>
    <col min="8193" max="8193" width="50.1640625" customWidth="1"/>
    <col min="8194" max="8194" width="14.83203125" customWidth="1"/>
    <col min="8195" max="8195" width="15.83203125" customWidth="1"/>
    <col min="8449" max="8449" width="50.1640625" customWidth="1"/>
    <col min="8450" max="8450" width="14.83203125" customWidth="1"/>
    <col min="8451" max="8451" width="15.83203125" customWidth="1"/>
    <col min="8705" max="8705" width="50.1640625" customWidth="1"/>
    <col min="8706" max="8706" width="14.83203125" customWidth="1"/>
    <col min="8707" max="8707" width="15.83203125" customWidth="1"/>
    <col min="8961" max="8961" width="50.1640625" customWidth="1"/>
    <col min="8962" max="8962" width="14.83203125" customWidth="1"/>
    <col min="8963" max="8963" width="15.83203125" customWidth="1"/>
    <col min="9217" max="9217" width="50.1640625" customWidth="1"/>
    <col min="9218" max="9218" width="14.83203125" customWidth="1"/>
    <col min="9219" max="9219" width="15.83203125" customWidth="1"/>
    <col min="9473" max="9473" width="50.1640625" customWidth="1"/>
    <col min="9474" max="9474" width="14.83203125" customWidth="1"/>
    <col min="9475" max="9475" width="15.83203125" customWidth="1"/>
    <col min="9729" max="9729" width="50.1640625" customWidth="1"/>
    <col min="9730" max="9730" width="14.83203125" customWidth="1"/>
    <col min="9731" max="9731" width="15.83203125" customWidth="1"/>
    <col min="9985" max="9985" width="50.1640625" customWidth="1"/>
    <col min="9986" max="9986" width="14.83203125" customWidth="1"/>
    <col min="9987" max="9987" width="15.83203125" customWidth="1"/>
    <col min="10241" max="10241" width="50.1640625" customWidth="1"/>
    <col min="10242" max="10242" width="14.83203125" customWidth="1"/>
    <col min="10243" max="10243" width="15.83203125" customWidth="1"/>
    <col min="10497" max="10497" width="50.1640625" customWidth="1"/>
    <col min="10498" max="10498" width="14.83203125" customWidth="1"/>
    <col min="10499" max="10499" width="15.83203125" customWidth="1"/>
    <col min="10753" max="10753" width="50.1640625" customWidth="1"/>
    <col min="10754" max="10754" width="14.83203125" customWidth="1"/>
    <col min="10755" max="10755" width="15.83203125" customWidth="1"/>
    <col min="11009" max="11009" width="50.1640625" customWidth="1"/>
    <col min="11010" max="11010" width="14.83203125" customWidth="1"/>
    <col min="11011" max="11011" width="15.83203125" customWidth="1"/>
    <col min="11265" max="11265" width="50.1640625" customWidth="1"/>
    <col min="11266" max="11266" width="14.83203125" customWidth="1"/>
    <col min="11267" max="11267" width="15.83203125" customWidth="1"/>
    <col min="11521" max="11521" width="50.1640625" customWidth="1"/>
    <col min="11522" max="11522" width="14.83203125" customWidth="1"/>
    <col min="11523" max="11523" width="15.83203125" customWidth="1"/>
    <col min="11777" max="11777" width="50.1640625" customWidth="1"/>
    <col min="11778" max="11778" width="14.83203125" customWidth="1"/>
    <col min="11779" max="11779" width="15.83203125" customWidth="1"/>
    <col min="12033" max="12033" width="50.1640625" customWidth="1"/>
    <col min="12034" max="12034" width="14.83203125" customWidth="1"/>
    <col min="12035" max="12035" width="15.83203125" customWidth="1"/>
    <col min="12289" max="12289" width="50.1640625" customWidth="1"/>
    <col min="12290" max="12290" width="14.83203125" customWidth="1"/>
    <col min="12291" max="12291" width="15.83203125" customWidth="1"/>
    <col min="12545" max="12545" width="50.1640625" customWidth="1"/>
    <col min="12546" max="12546" width="14.83203125" customWidth="1"/>
    <col min="12547" max="12547" width="15.83203125" customWidth="1"/>
    <col min="12801" max="12801" width="50.1640625" customWidth="1"/>
    <col min="12802" max="12802" width="14.83203125" customWidth="1"/>
    <col min="12803" max="12803" width="15.83203125" customWidth="1"/>
    <col min="13057" max="13057" width="50.1640625" customWidth="1"/>
    <col min="13058" max="13058" width="14.83203125" customWidth="1"/>
    <col min="13059" max="13059" width="15.83203125" customWidth="1"/>
    <col min="13313" max="13313" width="50.1640625" customWidth="1"/>
    <col min="13314" max="13314" width="14.83203125" customWidth="1"/>
    <col min="13315" max="13315" width="15.83203125" customWidth="1"/>
    <col min="13569" max="13569" width="50.1640625" customWidth="1"/>
    <col min="13570" max="13570" width="14.83203125" customWidth="1"/>
    <col min="13571" max="13571" width="15.83203125" customWidth="1"/>
    <col min="13825" max="13825" width="50.1640625" customWidth="1"/>
    <col min="13826" max="13826" width="14.83203125" customWidth="1"/>
    <col min="13827" max="13827" width="15.83203125" customWidth="1"/>
    <col min="14081" max="14081" width="50.1640625" customWidth="1"/>
    <col min="14082" max="14082" width="14.83203125" customWidth="1"/>
    <col min="14083" max="14083" width="15.83203125" customWidth="1"/>
    <col min="14337" max="14337" width="50.1640625" customWidth="1"/>
    <col min="14338" max="14338" width="14.83203125" customWidth="1"/>
    <col min="14339" max="14339" width="15.83203125" customWidth="1"/>
    <col min="14593" max="14593" width="50.1640625" customWidth="1"/>
    <col min="14594" max="14594" width="14.83203125" customWidth="1"/>
    <col min="14595" max="14595" width="15.83203125" customWidth="1"/>
    <col min="14849" max="14849" width="50.1640625" customWidth="1"/>
    <col min="14850" max="14850" width="14.83203125" customWidth="1"/>
    <col min="14851" max="14851" width="15.83203125" customWidth="1"/>
    <col min="15105" max="15105" width="50.1640625" customWidth="1"/>
    <col min="15106" max="15106" width="14.83203125" customWidth="1"/>
    <col min="15107" max="15107" width="15.83203125" customWidth="1"/>
    <col min="15361" max="15361" width="50.1640625" customWidth="1"/>
    <col min="15362" max="15362" width="14.83203125" customWidth="1"/>
    <col min="15363" max="15363" width="15.83203125" customWidth="1"/>
    <col min="15617" max="15617" width="50.1640625" customWidth="1"/>
    <col min="15618" max="15618" width="14.83203125" customWidth="1"/>
    <col min="15619" max="15619" width="15.83203125" customWidth="1"/>
    <col min="15873" max="15873" width="50.1640625" customWidth="1"/>
    <col min="15874" max="15874" width="14.83203125" customWidth="1"/>
    <col min="15875" max="15875" width="15.83203125" customWidth="1"/>
    <col min="16129" max="16129" width="50.1640625" customWidth="1"/>
    <col min="16130" max="16130" width="14.83203125" customWidth="1"/>
    <col min="16131" max="16131" width="15.83203125" customWidth="1"/>
  </cols>
  <sheetData>
    <row r="1" spans="1:15" x14ac:dyDescent="0.2">
      <c r="A1" s="20" t="s">
        <v>115</v>
      </c>
    </row>
    <row r="2" spans="1:15" x14ac:dyDescent="0.2">
      <c r="A2" s="20"/>
      <c r="C2" s="79"/>
    </row>
    <row r="3" spans="1:15" x14ac:dyDescent="0.2">
      <c r="A3" s="65" t="s">
        <v>176</v>
      </c>
      <c r="C3" s="79"/>
    </row>
    <row r="5" spans="1:15" ht="45" x14ac:dyDescent="0.2">
      <c r="A5" t="s">
        <v>34</v>
      </c>
      <c r="B5" s="41" t="s">
        <v>35</v>
      </c>
      <c r="C5" s="41" t="s">
        <v>127</v>
      </c>
      <c r="D5" s="41" t="s">
        <v>114</v>
      </c>
      <c r="F5" s="41" t="s">
        <v>108</v>
      </c>
      <c r="G5" s="41" t="s">
        <v>109</v>
      </c>
      <c r="H5" s="41" t="s">
        <v>110</v>
      </c>
      <c r="I5" s="41" t="s">
        <v>154</v>
      </c>
      <c r="J5" s="72" t="s">
        <v>108</v>
      </c>
      <c r="K5" s="72" t="s">
        <v>109</v>
      </c>
      <c r="L5" s="76"/>
      <c r="M5" t="s">
        <v>153</v>
      </c>
    </row>
    <row r="6" spans="1:15" x14ac:dyDescent="0.2">
      <c r="A6" s="9" t="s">
        <v>78</v>
      </c>
      <c r="B6" s="67">
        <f>'Rebalanced Portfolio'!I65</f>
        <v>956712.40579277393</v>
      </c>
      <c r="C6" s="67">
        <f>'Non-Rebalanced Portfolio'!I65</f>
        <v>949817.42316627817</v>
      </c>
      <c r="D6" s="67">
        <f>'Panic Portfolio'!I65</f>
        <v>608899.08913829445</v>
      </c>
      <c r="E6" s="42"/>
      <c r="F6" s="6">
        <f>(B6-D6)/D6</f>
        <v>0.57121668082423982</v>
      </c>
      <c r="G6" s="6">
        <f>(C6-D6)/D6</f>
        <v>0.5598929939449353</v>
      </c>
      <c r="H6" s="6">
        <f>(B6-C6)/C6</f>
        <v>7.2592715803326633E-3</v>
      </c>
      <c r="I6" s="67">
        <f>'Annual Rebalance Portfolio'!I65</f>
        <v>930495.59923519637</v>
      </c>
      <c r="J6" s="40">
        <f>B6-D6</f>
        <v>347813.31665447948</v>
      </c>
      <c r="K6" s="40">
        <f>C6-D6</f>
        <v>340918.33402798371</v>
      </c>
      <c r="L6" s="63"/>
    </row>
    <row r="7" spans="1:15" x14ac:dyDescent="0.2">
      <c r="A7" s="11" t="s">
        <v>36</v>
      </c>
      <c r="B7" s="70">
        <f>'Rebalanced Portfolio'!I66</f>
        <v>8.5671240579277388</v>
      </c>
      <c r="C7" s="70">
        <f>'Non-Rebalanced Portfolio'!I66</f>
        <v>8.498174231662782</v>
      </c>
      <c r="D7" s="70">
        <f>'Panic Portfolio'!I66</f>
        <v>5.0889908913829442</v>
      </c>
      <c r="F7" s="6">
        <f>(B7-D7)/D7</f>
        <v>0.68346225033222729</v>
      </c>
      <c r="G7" s="6">
        <f>(C7-D7)/D7</f>
        <v>0.66991342940945697</v>
      </c>
      <c r="H7" s="6">
        <f t="shared" ref="H7:H11" si="0">(B7-C7)/C7</f>
        <v>8.1134870132529482E-3</v>
      </c>
      <c r="I7" s="70">
        <f>'Annual Rebalance Portfolio'!I66</f>
        <v>8.3049559923519638</v>
      </c>
    </row>
    <row r="8" spans="1:15" x14ac:dyDescent="0.2">
      <c r="A8" s="1" t="s">
        <v>80</v>
      </c>
      <c r="B8" s="70">
        <f>'Rebalanced Portfolio'!I67</f>
        <v>0.12705193215752805</v>
      </c>
      <c r="C8" s="70">
        <f>'Non-Rebalanced Portfolio'!I67</f>
        <v>0.1415665751100835</v>
      </c>
      <c r="D8" s="70">
        <f>'Panic Portfolio'!I67</f>
        <v>0.12628788726762216</v>
      </c>
      <c r="F8" s="6">
        <f>(B8-D8)/D8</f>
        <v>6.0500251167142395E-3</v>
      </c>
      <c r="G8" s="6">
        <f>(C8-D8)/D8</f>
        <v>0.12098300298653032</v>
      </c>
      <c r="H8" s="6">
        <f t="shared" si="0"/>
        <v>-0.10252874268709773</v>
      </c>
      <c r="I8" s="70">
        <f>'Annual Rebalance Portfolio'!I67</f>
        <v>0.12738512271953137</v>
      </c>
      <c r="M8" t="s">
        <v>145</v>
      </c>
      <c r="O8" s="6">
        <f>(B8-C8)/C8</f>
        <v>-0.10252874268709773</v>
      </c>
    </row>
    <row r="9" spans="1:15" x14ac:dyDescent="0.2">
      <c r="A9" s="1" t="s">
        <v>37</v>
      </c>
      <c r="B9" s="70">
        <f>'Rebalanced Portfolio'!I68</f>
        <v>9.4539039075656639E-2</v>
      </c>
      <c r="C9" s="70">
        <f>'Non-Rebalanced Portfolio'!I68</f>
        <v>9.4222410662505585E-2</v>
      </c>
      <c r="D9" s="70">
        <f>'Panic Portfolio'!I68</f>
        <v>7.4934032680635143E-2</v>
      </c>
      <c r="F9" s="6">
        <f>(B9-D9)/D9</f>
        <v>0.26163020584487945</v>
      </c>
      <c r="G9" s="6">
        <f>(C9-D9)/D9</f>
        <v>0.25740477713346194</v>
      </c>
      <c r="H9" s="6">
        <f t="shared" si="0"/>
        <v>3.3604363433788901E-3</v>
      </c>
      <c r="I9" s="70">
        <f>'Annual Rebalance Portfolio'!I68</f>
        <v>9.3323222995336463E-2</v>
      </c>
      <c r="M9" t="s">
        <v>146</v>
      </c>
      <c r="O9" s="6">
        <f>B9-C9</f>
        <v>3.1662841315105439E-4</v>
      </c>
    </row>
    <row r="10" spans="1:15" x14ac:dyDescent="0.2">
      <c r="A10" s="1" t="s">
        <v>82</v>
      </c>
      <c r="B10" s="68">
        <f>'Rebalanced Portfolio'!I69</f>
        <v>127988.4725701171</v>
      </c>
      <c r="C10" s="68">
        <f>'Non-Rebalanced Portfolio'!I69</f>
        <v>122067.09609102283</v>
      </c>
      <c r="D10" s="69">
        <f>'Panic Portfolio'!I69</f>
        <v>21966.955347584677</v>
      </c>
      <c r="F10" s="2">
        <f>B10-D10</f>
        <v>106021.51722253242</v>
      </c>
      <c r="G10" s="2">
        <f>C10-D10</f>
        <v>100100.14074343815</v>
      </c>
      <c r="H10" s="2">
        <f>B10-C10</f>
        <v>5921.376479094266</v>
      </c>
      <c r="I10" s="69">
        <f>'Annual Rebalance Portfolio'!I69</f>
        <v>125135.80193878396</v>
      </c>
    </row>
    <row r="11" spans="1:15" x14ac:dyDescent="0.2">
      <c r="A11" s="1" t="s">
        <v>38</v>
      </c>
      <c r="B11" s="6">
        <f>'Rebalanced Portfolio'!I70</f>
        <v>0.26077800000000001</v>
      </c>
      <c r="C11" s="6">
        <f>'Non-Rebalanced Portfolio'!I70</f>
        <v>0.2715751854772524</v>
      </c>
      <c r="D11" s="12">
        <f>'Panic Portfolio'!I70</f>
        <v>5.9299999999999971E-2</v>
      </c>
      <c r="F11" s="6">
        <f>(B11-D11)/D11</f>
        <v>3.3976053962900532</v>
      </c>
      <c r="G11" s="6">
        <f>(C11-D11)/D11</f>
        <v>3.5796827230565351</v>
      </c>
      <c r="H11" s="6">
        <f t="shared" si="0"/>
        <v>-3.9757629027401625E-2</v>
      </c>
      <c r="I11" s="12">
        <f>'Annual Rebalance Portfolio'!I70</f>
        <v>0.2607779999999999</v>
      </c>
    </row>
    <row r="12" spans="1:15" x14ac:dyDescent="0.2">
      <c r="A12" s="1" t="s">
        <v>105</v>
      </c>
      <c r="B12" s="6">
        <f>'Rebalanced Portfolio'!I74</f>
        <v>0.67421856069784347</v>
      </c>
      <c r="C12" s="6">
        <f>'Non-Rebalanced Portfolio'!I74</f>
        <v>0.78194359797505764</v>
      </c>
      <c r="D12" s="12">
        <f>'Panic Portfolio'!I74</f>
        <v>0.69808543364934728</v>
      </c>
      <c r="I12" s="12">
        <f>'Rebalanced Portfolio'!I74</f>
        <v>0.67421856069784347</v>
      </c>
    </row>
    <row r="13" spans="1:15" x14ac:dyDescent="0.2">
      <c r="A13" s="1" t="s">
        <v>106</v>
      </c>
      <c r="B13" s="6">
        <f>'Rebalanced Portfolio'!I75</f>
        <v>0.32578143930215653</v>
      </c>
      <c r="C13" s="6">
        <f>'Non-Rebalanced Portfolio'!I75</f>
        <v>0.21805640202494231</v>
      </c>
      <c r="D13" s="12">
        <f>'Panic Portfolio'!I75</f>
        <v>0.30191456635065272</v>
      </c>
      <c r="I13" s="12">
        <f>'Rebalanced Portfolio'!I75</f>
        <v>0.32578143930215653</v>
      </c>
    </row>
    <row r="14" spans="1:15" hidden="1" x14ac:dyDescent="0.2">
      <c r="A14" s="3" t="s">
        <v>107</v>
      </c>
      <c r="B14" s="58">
        <f>B12+B13</f>
        <v>1</v>
      </c>
      <c r="C14" s="58">
        <f>C12+C13</f>
        <v>1</v>
      </c>
      <c r="D14" s="58">
        <f>D12+D13</f>
        <v>1</v>
      </c>
      <c r="I14" s="58">
        <f>I12+I13</f>
        <v>1</v>
      </c>
    </row>
    <row r="15" spans="1:15" x14ac:dyDescent="0.2">
      <c r="A15" s="1"/>
      <c r="B15" s="6"/>
      <c r="C15" s="6"/>
      <c r="F15" s="41"/>
      <c r="G15" s="41"/>
      <c r="H15" s="41"/>
    </row>
    <row r="16" spans="1:15" x14ac:dyDescent="0.2">
      <c r="A16" s="1"/>
      <c r="B16" s="6"/>
      <c r="C16" s="6"/>
      <c r="F16" s="6"/>
      <c r="G16" s="6"/>
      <c r="H16" s="6"/>
    </row>
    <row r="17" spans="1:15" x14ac:dyDescent="0.2">
      <c r="B17" s="6"/>
      <c r="C17" s="6"/>
      <c r="F17" s="6"/>
      <c r="G17" s="6"/>
      <c r="H17" s="6"/>
    </row>
    <row r="18" spans="1:15" x14ac:dyDescent="0.2">
      <c r="A18" s="65" t="s">
        <v>177</v>
      </c>
      <c r="F18" s="6"/>
      <c r="G18" s="6"/>
      <c r="H18" s="6"/>
    </row>
    <row r="19" spans="1:15" x14ac:dyDescent="0.2">
      <c r="F19" s="6"/>
      <c r="G19" s="6"/>
      <c r="H19" s="6"/>
    </row>
    <row r="20" spans="1:15" ht="45" x14ac:dyDescent="0.2">
      <c r="A20" t="s">
        <v>34</v>
      </c>
      <c r="B20" s="41" t="s">
        <v>35</v>
      </c>
      <c r="C20" s="41" t="s">
        <v>127</v>
      </c>
      <c r="D20" s="41" t="s">
        <v>114</v>
      </c>
      <c r="F20" s="41" t="s">
        <v>108</v>
      </c>
      <c r="G20" s="41" t="s">
        <v>109</v>
      </c>
      <c r="H20" s="41" t="s">
        <v>108</v>
      </c>
      <c r="I20" s="41" t="str">
        <f>I5</f>
        <v>Rebalancing Annually</v>
      </c>
      <c r="J20" s="72" t="s">
        <v>108</v>
      </c>
      <c r="K20" s="72" t="s">
        <v>109</v>
      </c>
      <c r="L20" s="76"/>
      <c r="M20" t="s">
        <v>153</v>
      </c>
    </row>
    <row r="21" spans="1:15" x14ac:dyDescent="0.2">
      <c r="A21" s="9" t="s">
        <v>78</v>
      </c>
      <c r="B21" s="67">
        <f>'4.5% Withdrawals-Rebalanced'!I65</f>
        <v>517746.66895997408</v>
      </c>
      <c r="C21" s="67">
        <f>'4.5% Withdrawals-No Rebalancing'!I65</f>
        <v>397528.68986586394</v>
      </c>
      <c r="D21" s="67">
        <f>'4.5% Withdrawals-Panic'!I65</f>
        <v>228694.01373779721</v>
      </c>
      <c r="E21" s="77"/>
      <c r="F21" s="6">
        <f>(B21-D21)/D21</f>
        <v>1.2639275095043903</v>
      </c>
      <c r="G21" s="6">
        <f>(C21-D21)/D21</f>
        <v>0.73825577403018272</v>
      </c>
      <c r="H21" s="6">
        <f>(B21-C21)/C21</f>
        <v>0.30241334061869768</v>
      </c>
      <c r="I21" s="67">
        <f>'4.5% Withdrawals-Annual Rebal'!I65</f>
        <v>431972.50416026718</v>
      </c>
      <c r="J21" s="40">
        <f>B21-D21</f>
        <v>289052.65522217687</v>
      </c>
      <c r="K21" s="40">
        <f>C21-D21</f>
        <v>168834.67612806673</v>
      </c>
      <c r="L21" s="63"/>
    </row>
    <row r="22" spans="1:15" x14ac:dyDescent="0.2">
      <c r="A22" s="11" t="s">
        <v>36</v>
      </c>
      <c r="B22" s="70">
        <f>'4.5% Withdrawals-Rebalanced'!I66</f>
        <v>4.1774666895997408</v>
      </c>
      <c r="C22" s="70">
        <f>'4.5% Withdrawals-No Rebalancing'!I66</f>
        <v>2.9752868986586396</v>
      </c>
      <c r="D22" s="70">
        <f>'4.5% Withdrawals-Panic'!I66</f>
        <v>1.2869401373779721</v>
      </c>
      <c r="E22" s="77"/>
      <c r="F22" s="6">
        <f>(B22-D22)/D22</f>
        <v>2.2460458480306347</v>
      </c>
      <c r="G22" s="6">
        <f>(C22-D22)/D22</f>
        <v>1.3119077665263641</v>
      </c>
      <c r="H22" s="6">
        <f t="shared" ref="H22:H26" si="1">(B22-C22)/C22</f>
        <v>0.40405508170761101</v>
      </c>
      <c r="I22" s="70">
        <f>'4.5% Withdrawals-Annual Rebal'!I66</f>
        <v>3.3197250416026711</v>
      </c>
    </row>
    <row r="23" spans="1:15" x14ac:dyDescent="0.2">
      <c r="A23" s="1" t="s">
        <v>80</v>
      </c>
      <c r="B23" s="70">
        <f>'4.5% Withdrawals-Rebalanced'!I67</f>
        <v>0.13692613382004259</v>
      </c>
      <c r="C23" s="70">
        <f>'4.5% Withdrawals-No Rebalancing'!I67</f>
        <v>0.13711479292753428</v>
      </c>
      <c r="D23" s="70">
        <f>'4.5% Withdrawals-Panic'!I67</f>
        <v>0.12295138548949067</v>
      </c>
      <c r="E23" s="77"/>
      <c r="F23" s="6">
        <f>(B23-D23)/D23</f>
        <v>0.11366076335712726</v>
      </c>
      <c r="G23" s="6">
        <f>(C23-D23)/D23</f>
        <v>0.11519518370335276</v>
      </c>
      <c r="H23" s="6">
        <f t="shared" si="1"/>
        <v>-1.3759208868980096E-3</v>
      </c>
      <c r="I23" s="70">
        <f>'4.5% Withdrawals-Annual Rebal'!I67</f>
        <v>0.12457801671730374</v>
      </c>
      <c r="M23" t="s">
        <v>145</v>
      </c>
      <c r="O23" s="6">
        <f>(B23-C23)/C23</f>
        <v>-1.3759208868980096E-3</v>
      </c>
    </row>
    <row r="24" spans="1:15" x14ac:dyDescent="0.2">
      <c r="A24" s="1" t="s">
        <v>37</v>
      </c>
      <c r="B24" s="70">
        <f>'4.5% Withdrawals-Rebalanced'!I68</f>
        <v>6.7983867645745821E-2</v>
      </c>
      <c r="C24" s="70">
        <f>'4.5% Withdrawals-No Rebalancing'!I68</f>
        <v>5.6756040807996788E-2</v>
      </c>
      <c r="D24" s="70">
        <f>'4.5% Withdrawals-Panic'!I68</f>
        <v>3.3642105106328035E-2</v>
      </c>
      <c r="E24" s="77"/>
      <c r="F24" s="6">
        <f>(B24-D24)/D24</f>
        <v>1.02079707648729</v>
      </c>
      <c r="G24" s="6">
        <f>(C24-D24)/D24</f>
        <v>0.68705378657535476</v>
      </c>
      <c r="H24" s="6">
        <f t="shared" si="1"/>
        <v>0.19782611115761725</v>
      </c>
      <c r="I24" s="70">
        <f>'4.5% Withdrawals-Annual Rebal'!I68</f>
        <v>6.027432318327719E-2</v>
      </c>
      <c r="M24" t="s">
        <v>146</v>
      </c>
      <c r="O24" s="6">
        <f>B24-C24</f>
        <v>1.1227826837749033E-2</v>
      </c>
    </row>
    <row r="25" spans="1:15" x14ac:dyDescent="0.2">
      <c r="A25" s="1" t="s">
        <v>82</v>
      </c>
      <c r="B25" s="68">
        <f>'4.5% Withdrawals-Rebalanced'!I69</f>
        <v>68653.794199912285</v>
      </c>
      <c r="C25" s="68">
        <f>'4.5% Withdrawals-No Rebalancing'!I69</f>
        <v>48321.960771001672</v>
      </c>
      <c r="D25" s="69">
        <f>'4.5% Withdrawals-Panic'!I69</f>
        <v>1347.009507314011</v>
      </c>
      <c r="E25" s="77"/>
      <c r="F25" s="68">
        <f>B25-D25</f>
        <v>67306.784692598274</v>
      </c>
      <c r="G25" s="68">
        <f>C25-D25</f>
        <v>46974.951263687661</v>
      </c>
      <c r="H25" s="68">
        <f>B25-C25</f>
        <v>20331.833428910613</v>
      </c>
      <c r="I25" s="69">
        <f>'4.5% Withdrawals-Annual Rebal'!I69</f>
        <v>57431.265117179719</v>
      </c>
    </row>
    <row r="26" spans="1:15" x14ac:dyDescent="0.2">
      <c r="A26" s="1" t="s">
        <v>38</v>
      </c>
      <c r="B26" s="6">
        <f>'4.5% Withdrawals-Rebalanced'!I70</f>
        <v>0.22293329417603641</v>
      </c>
      <c r="C26" s="70">
        <f>'4.5% Withdrawals-No Rebalancing'!I70</f>
        <v>0.2168822644038329</v>
      </c>
      <c r="D26" s="70">
        <f>'4.5% Withdrawals-Panic'!I70</f>
        <v>7.1709308788235311E-3</v>
      </c>
      <c r="E26" s="77"/>
      <c r="F26" s="6">
        <f>(B26-D26)/D26</f>
        <v>30.088473441346437</v>
      </c>
      <c r="G26" s="6">
        <f>(C26-D26)/D26</f>
        <v>29.244645788499746</v>
      </c>
      <c r="H26" s="6">
        <f t="shared" si="1"/>
        <v>2.7900067296127744E-2</v>
      </c>
      <c r="I26" s="70">
        <f>'4.5% Withdrawals-Annual Rebal'!I70</f>
        <v>0.22092673492125994</v>
      </c>
    </row>
    <row r="27" spans="1:15" x14ac:dyDescent="0.2">
      <c r="A27" s="1" t="s">
        <v>42</v>
      </c>
      <c r="B27" s="68">
        <f>'4.5% Withdrawals-Rebalanced'!I71</f>
        <v>197323.81127815042</v>
      </c>
      <c r="C27" s="68">
        <f>'4.5% Withdrawals-No Rebalancing'!I71</f>
        <v>197323.81127815042</v>
      </c>
      <c r="D27" s="69">
        <f>'4.5% Withdrawals-Panic'!I71</f>
        <v>197323.81127815042</v>
      </c>
      <c r="E27" s="77"/>
      <c r="F27" s="68">
        <f>B27-D27</f>
        <v>0</v>
      </c>
      <c r="G27" s="68">
        <f>C27-D27</f>
        <v>0</v>
      </c>
      <c r="H27" s="68">
        <f>B27-C27</f>
        <v>0</v>
      </c>
      <c r="I27" s="69">
        <f>'4.5% Withdrawals-Annual Rebal'!I71</f>
        <v>175398.94335835602</v>
      </c>
    </row>
    <row r="28" spans="1:15" x14ac:dyDescent="0.2">
      <c r="A28" t="str">
        <f>A12</f>
        <v>Ending Equity Allocation</v>
      </c>
      <c r="B28" s="6">
        <f>'4.5% Withdrawals-Rebalanced'!I76</f>
        <v>0.74869526422815136</v>
      </c>
      <c r="C28" s="6">
        <f>'4.5% Withdrawals-No Rebalancing'!I76</f>
        <v>0.84057314199115785</v>
      </c>
      <c r="D28" s="12">
        <f>'4.5% Withdrawals-Panic'!I76</f>
        <v>0.76122634557316238</v>
      </c>
      <c r="E28" s="77"/>
      <c r="F28" s="78"/>
      <c r="G28" s="6"/>
      <c r="H28" s="78"/>
      <c r="I28" s="70">
        <f>'4.5% Withdrawals-Annual Rebal'!I76</f>
        <v>0.7</v>
      </c>
    </row>
    <row r="29" spans="1:15" hidden="1" x14ac:dyDescent="0.2">
      <c r="A29" t="str">
        <f t="shared" ref="A29:A30" si="2">A13</f>
        <v>Ending Fixed-Income Allocation</v>
      </c>
      <c r="B29" s="6">
        <f>'4.5% Withdrawals-Rebalanced'!I77</f>
        <v>0.2513047357718487</v>
      </c>
      <c r="C29" s="6">
        <f>'4.5% Withdrawals-No Rebalancing'!I77</f>
        <v>0.15942685800884215</v>
      </c>
      <c r="D29" s="12">
        <f>'4.5% Withdrawals-Panic'!I77</f>
        <v>0.23877365442683757</v>
      </c>
      <c r="E29" s="77"/>
      <c r="F29" s="77"/>
      <c r="G29" s="77"/>
      <c r="H29" s="77"/>
      <c r="I29" s="70">
        <f>'4.5% Withdrawals-Annual Rebal'!I77</f>
        <v>0.29999999999999993</v>
      </c>
    </row>
    <row r="30" spans="1:15" hidden="1" x14ac:dyDescent="0.2">
      <c r="A30" s="3" t="str">
        <f t="shared" si="2"/>
        <v>Allocation Check</v>
      </c>
      <c r="B30" s="66">
        <f>SUM(B28:B29)</f>
        <v>1</v>
      </c>
      <c r="C30" s="66">
        <f>SUM(C28:C29)</f>
        <v>1</v>
      </c>
      <c r="D30" s="66">
        <f>SUM(D28:D29)</f>
        <v>1</v>
      </c>
      <c r="I30" s="66">
        <f>SUM(I28:I29)</f>
        <v>0.99999999999999989</v>
      </c>
    </row>
    <row r="34" spans="5:5" x14ac:dyDescent="0.2">
      <c r="E34" s="20"/>
    </row>
  </sheetData>
  <phoneticPr fontId="11" type="noConversion"/>
  <pageMargins left="0.45" right="0.45" top="0.5" bottom="0.5" header="0.3" footer="0.3"/>
  <pageSetup orientation="landscape" horizontalDpi="4294967293" verticalDpi="4294967293"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76"/>
  <sheetViews>
    <sheetView topLeftCell="A61" workbookViewId="0">
      <selection activeCell="A74" sqref="A74:I76"/>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1.6640625" customWidth="1"/>
    <col min="10" max="10" width="10" bestFit="1" customWidth="1"/>
  </cols>
  <sheetData>
    <row r="1" spans="1:9" x14ac:dyDescent="0.2">
      <c r="A1" s="20" t="s">
        <v>49</v>
      </c>
    </row>
    <row r="2" spans="1:9" x14ac:dyDescent="0.2">
      <c r="A2" s="14"/>
      <c r="B2" s="14" t="s">
        <v>50</v>
      </c>
      <c r="C2" s="14" t="s">
        <v>51</v>
      </c>
      <c r="D2" s="14" t="s">
        <v>52</v>
      </c>
      <c r="E2" s="14" t="s">
        <v>53</v>
      </c>
      <c r="F2" s="14" t="s">
        <v>60</v>
      </c>
      <c r="G2" s="14" t="s">
        <v>62</v>
      </c>
      <c r="H2" s="14" t="s">
        <v>63</v>
      </c>
    </row>
    <row r="3" spans="1:9" x14ac:dyDescent="0.2">
      <c r="A3" s="14" t="s">
        <v>48</v>
      </c>
      <c r="B3" s="14" t="s">
        <v>54</v>
      </c>
      <c r="C3" s="14" t="s">
        <v>55</v>
      </c>
      <c r="D3" s="14" t="s">
        <v>56</v>
      </c>
      <c r="E3" s="14" t="s">
        <v>57</v>
      </c>
      <c r="F3" s="14" t="s">
        <v>61</v>
      </c>
      <c r="G3" s="14" t="s">
        <v>64</v>
      </c>
      <c r="H3" s="14" t="s">
        <v>65</v>
      </c>
      <c r="I3" s="14" t="s">
        <v>48</v>
      </c>
    </row>
    <row r="4" spans="1:9" x14ac:dyDescent="0.2">
      <c r="A4" s="14">
        <v>1989</v>
      </c>
      <c r="B4" s="14">
        <v>31.36</v>
      </c>
      <c r="C4" s="14">
        <v>24.096</v>
      </c>
      <c r="D4" s="14"/>
      <c r="E4" s="14"/>
      <c r="F4" s="14">
        <v>25.971</v>
      </c>
      <c r="G4" s="14"/>
      <c r="H4" s="14">
        <v>13.64</v>
      </c>
      <c r="I4">
        <v>1</v>
      </c>
    </row>
    <row r="5" spans="1:9" x14ac:dyDescent="0.2">
      <c r="A5" s="14">
        <v>1990</v>
      </c>
      <c r="B5" s="14">
        <v>-3.32</v>
      </c>
      <c r="C5" s="14">
        <v>-14.045</v>
      </c>
      <c r="D5" s="14"/>
      <c r="E5" s="14"/>
      <c r="F5" s="14">
        <v>-12.26</v>
      </c>
      <c r="G5" s="14"/>
      <c r="H5" s="14">
        <v>8.65</v>
      </c>
      <c r="I5">
        <f>I4+1</f>
        <v>2</v>
      </c>
    </row>
    <row r="6" spans="1:9" x14ac:dyDescent="0.2">
      <c r="A6" s="14">
        <v>1991</v>
      </c>
      <c r="B6" s="14">
        <v>30.22</v>
      </c>
      <c r="C6" s="14">
        <v>41.85</v>
      </c>
      <c r="D6" s="14"/>
      <c r="E6" s="14"/>
      <c r="F6" s="14">
        <v>9.9559999999999995</v>
      </c>
      <c r="G6" s="14"/>
      <c r="H6" s="14">
        <v>15.25</v>
      </c>
      <c r="I6">
        <f t="shared" ref="I6:I28" si="0">I5+1</f>
        <v>3</v>
      </c>
    </row>
    <row r="7" spans="1:9" x14ac:dyDescent="0.2">
      <c r="A7" s="14">
        <v>1992</v>
      </c>
      <c r="B7" s="14">
        <v>7.42</v>
      </c>
      <c r="C7" s="14">
        <v>12.465999999999999</v>
      </c>
      <c r="D7" s="14"/>
      <c r="E7" s="14"/>
      <c r="F7" s="14">
        <v>-8.7210000000000001</v>
      </c>
      <c r="G7" s="14"/>
      <c r="H7" s="14">
        <v>7.14</v>
      </c>
      <c r="I7">
        <f t="shared" si="0"/>
        <v>4</v>
      </c>
    </row>
    <row r="8" spans="1:9" x14ac:dyDescent="0.2">
      <c r="A8" s="14">
        <v>1993</v>
      </c>
      <c r="B8" s="14">
        <v>9.89</v>
      </c>
      <c r="C8" s="14">
        <v>14.49</v>
      </c>
      <c r="D8" s="14"/>
      <c r="E8" s="14"/>
      <c r="F8" s="14">
        <v>30.494</v>
      </c>
      <c r="G8" s="14"/>
      <c r="H8" s="14">
        <v>9.68</v>
      </c>
      <c r="I8">
        <f t="shared" si="0"/>
        <v>5</v>
      </c>
    </row>
    <row r="9" spans="1:9" x14ac:dyDescent="0.2">
      <c r="A9" s="14">
        <v>1994</v>
      </c>
      <c r="B9" s="14">
        <v>1.18</v>
      </c>
      <c r="C9" s="14">
        <v>-1.764</v>
      </c>
      <c r="D9" s="14"/>
      <c r="E9" s="14"/>
      <c r="F9" s="14">
        <v>5.2549999999999999</v>
      </c>
      <c r="G9" s="14"/>
      <c r="H9" s="14">
        <v>-2.66</v>
      </c>
      <c r="I9">
        <f t="shared" si="0"/>
        <v>6</v>
      </c>
    </row>
    <row r="10" spans="1:9" x14ac:dyDescent="0.2">
      <c r="A10" s="14">
        <v>1995</v>
      </c>
      <c r="B10" s="14">
        <v>37.450000000000003</v>
      </c>
      <c r="C10" s="14">
        <v>33.796999999999997</v>
      </c>
      <c r="D10" s="14"/>
      <c r="E10" s="14"/>
      <c r="F10" s="14">
        <v>9.6460000000000008</v>
      </c>
      <c r="G10" s="14"/>
      <c r="H10" s="14">
        <v>18.18</v>
      </c>
      <c r="I10">
        <f t="shared" si="0"/>
        <v>7</v>
      </c>
    </row>
    <row r="11" spans="1:9" x14ac:dyDescent="0.2">
      <c r="A11" s="14">
        <v>1996</v>
      </c>
      <c r="B11" s="14">
        <v>22.88</v>
      </c>
      <c r="C11" s="14">
        <v>17.646999999999998</v>
      </c>
      <c r="D11" s="14"/>
      <c r="E11" s="14"/>
      <c r="F11" s="14">
        <v>10.218999999999999</v>
      </c>
      <c r="G11" s="14"/>
      <c r="H11" s="14">
        <v>3.58</v>
      </c>
      <c r="I11">
        <f t="shared" si="0"/>
        <v>8</v>
      </c>
    </row>
    <row r="12" spans="1:9" x14ac:dyDescent="0.2">
      <c r="A12" s="14">
        <v>1997</v>
      </c>
      <c r="B12" s="14">
        <v>33.19</v>
      </c>
      <c r="C12" s="14">
        <v>26.687000000000001</v>
      </c>
      <c r="D12" s="14"/>
      <c r="E12" s="14"/>
      <c r="F12" s="14"/>
      <c r="G12" s="16">
        <v>-0.77500000000000002</v>
      </c>
      <c r="H12" s="14">
        <v>9.44</v>
      </c>
      <c r="I12">
        <f t="shared" si="0"/>
        <v>9</v>
      </c>
    </row>
    <row r="13" spans="1:9" x14ac:dyDescent="0.2">
      <c r="A13" s="14">
        <v>1998</v>
      </c>
      <c r="B13" s="14">
        <v>28.66</v>
      </c>
      <c r="C13" s="14">
        <v>8.3529999999999998</v>
      </c>
      <c r="D13" s="14"/>
      <c r="E13" s="14"/>
      <c r="F13" s="14"/>
      <c r="G13" s="14">
        <v>15.603</v>
      </c>
      <c r="H13" s="14">
        <v>8.58</v>
      </c>
      <c r="I13">
        <f t="shared" si="0"/>
        <v>10</v>
      </c>
    </row>
    <row r="14" spans="1:9" x14ac:dyDescent="0.2">
      <c r="A14" s="14">
        <v>1999</v>
      </c>
      <c r="B14" s="14">
        <v>21.07</v>
      </c>
      <c r="C14" s="14"/>
      <c r="D14" s="16">
        <v>15.319000000000001</v>
      </c>
      <c r="E14" s="16">
        <v>23.132999999999999</v>
      </c>
      <c r="F14" s="14"/>
      <c r="G14" s="14">
        <v>29.919</v>
      </c>
      <c r="H14" s="14">
        <v>-0.76</v>
      </c>
      <c r="I14">
        <f t="shared" si="0"/>
        <v>11</v>
      </c>
    </row>
    <row r="15" spans="1:9" x14ac:dyDescent="0.2">
      <c r="A15" s="14">
        <v>2000</v>
      </c>
      <c r="B15" s="14">
        <v>-9.06</v>
      </c>
      <c r="C15" s="14"/>
      <c r="D15" s="14">
        <v>18.097999999999999</v>
      </c>
      <c r="E15" s="14">
        <v>-2.665</v>
      </c>
      <c r="F15" s="14"/>
      <c r="G15" s="14">
        <v>-15.614000000000001</v>
      </c>
      <c r="H15" s="14">
        <v>11.39</v>
      </c>
      <c r="I15">
        <f t="shared" si="0"/>
        <v>12</v>
      </c>
    </row>
    <row r="16" spans="1:9" x14ac:dyDescent="0.2">
      <c r="A16" s="14">
        <v>2001</v>
      </c>
      <c r="B16" s="14">
        <v>-12.02</v>
      </c>
      <c r="C16" s="14"/>
      <c r="D16" s="14">
        <v>-0.499</v>
      </c>
      <c r="E16" s="14">
        <v>3.1</v>
      </c>
      <c r="F16" s="14"/>
      <c r="G16" s="14">
        <v>-20.152999999999999</v>
      </c>
      <c r="H16" s="14">
        <v>8.43</v>
      </c>
      <c r="I16">
        <f t="shared" si="0"/>
        <v>13</v>
      </c>
    </row>
    <row r="17" spans="1:9" x14ac:dyDescent="0.2">
      <c r="A17" s="14">
        <v>2002</v>
      </c>
      <c r="B17" s="14">
        <v>-22.15</v>
      </c>
      <c r="C17" s="14"/>
      <c r="D17" s="14">
        <v>-14.608000000000001</v>
      </c>
      <c r="E17" s="14">
        <v>-20.021999999999998</v>
      </c>
      <c r="F17" s="14"/>
      <c r="G17" s="14">
        <v>-15.083</v>
      </c>
      <c r="H17" s="14">
        <v>8.26</v>
      </c>
      <c r="I17">
        <f t="shared" si="0"/>
        <v>14</v>
      </c>
    </row>
    <row r="18" spans="1:9" x14ac:dyDescent="0.2">
      <c r="A18" s="14">
        <v>2003</v>
      </c>
      <c r="B18" s="14">
        <v>28.5</v>
      </c>
      <c r="C18" s="14"/>
      <c r="D18" s="14">
        <v>34.142000000000003</v>
      </c>
      <c r="E18" s="14">
        <v>45.628</v>
      </c>
      <c r="F18" s="14"/>
      <c r="G18" s="14">
        <v>40.340000000000003</v>
      </c>
      <c r="H18" s="14">
        <v>3.97</v>
      </c>
      <c r="I18">
        <f t="shared" si="0"/>
        <v>15</v>
      </c>
    </row>
    <row r="19" spans="1:9" x14ac:dyDescent="0.2">
      <c r="A19" s="14">
        <v>2004</v>
      </c>
      <c r="B19" s="14">
        <v>10.74</v>
      </c>
      <c r="C19" s="14"/>
      <c r="D19" s="14">
        <v>20.353000000000002</v>
      </c>
      <c r="E19" s="14">
        <v>19.896999999999998</v>
      </c>
      <c r="F19" s="14"/>
      <c r="G19" s="14">
        <v>20.837</v>
      </c>
      <c r="H19" s="14">
        <v>4.24</v>
      </c>
      <c r="I19">
        <f t="shared" si="0"/>
        <v>16</v>
      </c>
    </row>
    <row r="20" spans="1:9" x14ac:dyDescent="0.2">
      <c r="A20" s="14">
        <v>2005</v>
      </c>
      <c r="B20" s="14">
        <v>4.7699999999999996</v>
      </c>
      <c r="C20" s="14"/>
      <c r="D20" s="14">
        <v>13.930999999999999</v>
      </c>
      <c r="E20" s="14">
        <v>7.3630000000000004</v>
      </c>
      <c r="F20" s="14"/>
      <c r="G20" s="14">
        <v>15.571</v>
      </c>
      <c r="H20" s="14">
        <v>2.4</v>
      </c>
      <c r="I20">
        <f t="shared" si="0"/>
        <v>17</v>
      </c>
    </row>
    <row r="21" spans="1:9" x14ac:dyDescent="0.2">
      <c r="A21" s="14">
        <v>2006</v>
      </c>
      <c r="B21" s="14">
        <v>15.64</v>
      </c>
      <c r="C21" s="14"/>
      <c r="D21" s="14">
        <v>13.597</v>
      </c>
      <c r="E21" s="14">
        <v>15.656000000000001</v>
      </c>
      <c r="F21" s="14"/>
      <c r="G21" s="14">
        <v>26.637</v>
      </c>
      <c r="H21" s="14">
        <v>4.2699999999999996</v>
      </c>
      <c r="I21">
        <f t="shared" si="0"/>
        <v>18</v>
      </c>
    </row>
    <row r="22" spans="1:9" x14ac:dyDescent="0.2">
      <c r="A22" s="14">
        <v>2007</v>
      </c>
      <c r="B22" s="14">
        <v>5.39</v>
      </c>
      <c r="C22" s="14"/>
      <c r="D22" s="14">
        <v>6.0209999999999999</v>
      </c>
      <c r="E22" s="14">
        <v>1.1559999999999999</v>
      </c>
      <c r="F22" s="14"/>
      <c r="G22" s="14">
        <v>15.522</v>
      </c>
      <c r="H22" s="14">
        <v>6.92</v>
      </c>
      <c r="I22">
        <f t="shared" si="0"/>
        <v>19</v>
      </c>
    </row>
    <row r="23" spans="1:9" x14ac:dyDescent="0.2">
      <c r="A23" s="14">
        <v>2008</v>
      </c>
      <c r="B23" s="14">
        <v>-37.020000000000003</v>
      </c>
      <c r="C23" s="14"/>
      <c r="D23" s="14">
        <v>-41.823999999999998</v>
      </c>
      <c r="E23" s="14">
        <v>-36.07</v>
      </c>
      <c r="F23" s="14"/>
      <c r="G23" s="14">
        <v>-44.100999999999999</v>
      </c>
      <c r="H23" s="14">
        <v>5.05</v>
      </c>
      <c r="I23">
        <f t="shared" si="0"/>
        <v>20</v>
      </c>
    </row>
    <row r="24" spans="1:9" x14ac:dyDescent="0.2">
      <c r="A24" s="14">
        <v>2009</v>
      </c>
      <c r="B24" s="14">
        <v>26.49</v>
      </c>
      <c r="C24" s="14"/>
      <c r="D24" s="14">
        <v>40.218000000000004</v>
      </c>
      <c r="E24" s="14">
        <v>36.118000000000002</v>
      </c>
      <c r="F24" s="14"/>
      <c r="G24" s="14">
        <v>36.726999999999997</v>
      </c>
      <c r="H24" s="14">
        <v>5.93</v>
      </c>
      <c r="I24">
        <f t="shared" si="0"/>
        <v>21</v>
      </c>
    </row>
    <row r="25" spans="1:9" x14ac:dyDescent="0.2">
      <c r="A25" s="14">
        <v>2010</v>
      </c>
      <c r="B25" s="14">
        <v>14.91</v>
      </c>
      <c r="C25" s="14"/>
      <c r="D25" s="14">
        <v>25.46</v>
      </c>
      <c r="E25" s="14">
        <v>27.72</v>
      </c>
      <c r="F25" s="14"/>
      <c r="G25" s="14">
        <v>11.12</v>
      </c>
      <c r="H25" s="14">
        <v>6.42</v>
      </c>
      <c r="I25">
        <f t="shared" si="0"/>
        <v>22</v>
      </c>
    </row>
    <row r="26" spans="1:9" x14ac:dyDescent="0.2">
      <c r="A26" s="14">
        <v>2011</v>
      </c>
      <c r="B26" s="14">
        <v>1.97</v>
      </c>
      <c r="C26" s="14"/>
      <c r="D26" s="14">
        <v>-2.11</v>
      </c>
      <c r="E26" s="15">
        <v>-2.8</v>
      </c>
      <c r="F26" s="14"/>
      <c r="G26" s="14">
        <v>-14.56</v>
      </c>
      <c r="H26" s="14">
        <v>7.56</v>
      </c>
      <c r="I26">
        <f t="shared" si="0"/>
        <v>23</v>
      </c>
    </row>
    <row r="27" spans="1:9" x14ac:dyDescent="0.2">
      <c r="A27" s="14">
        <v>2012</v>
      </c>
      <c r="B27" s="15">
        <v>15.82</v>
      </c>
      <c r="C27" s="15"/>
      <c r="D27" s="15">
        <v>15.8</v>
      </c>
      <c r="E27" s="15">
        <v>18.04</v>
      </c>
      <c r="F27" s="15"/>
      <c r="G27" s="15">
        <v>18.14</v>
      </c>
      <c r="H27" s="15">
        <v>4.05</v>
      </c>
      <c r="I27">
        <f t="shared" si="0"/>
        <v>24</v>
      </c>
    </row>
    <row r="28" spans="1:9" x14ac:dyDescent="0.2">
      <c r="A28" s="14">
        <v>2013</v>
      </c>
      <c r="B28" s="15">
        <v>32.18</v>
      </c>
      <c r="C28" s="15"/>
      <c r="D28" s="15">
        <v>35</v>
      </c>
      <c r="E28" s="15">
        <v>37.619999999999997</v>
      </c>
      <c r="F28" s="15"/>
      <c r="G28" s="15">
        <v>15.04</v>
      </c>
      <c r="H28" s="15">
        <v>-2.2599999999999998</v>
      </c>
      <c r="I28">
        <f t="shared" si="0"/>
        <v>25</v>
      </c>
    </row>
    <row r="29" spans="1:9" x14ac:dyDescent="0.2">
      <c r="A29" s="14">
        <v>2013</v>
      </c>
      <c r="B29" s="15">
        <v>32.18</v>
      </c>
      <c r="C29" s="15"/>
      <c r="D29" s="15">
        <v>35</v>
      </c>
      <c r="E29" s="15">
        <v>37.619999999999997</v>
      </c>
      <c r="F29" s="15"/>
      <c r="G29" s="15">
        <v>15.04</v>
      </c>
      <c r="H29" s="15">
        <v>-2.2599999999999998</v>
      </c>
    </row>
    <row r="30" spans="1:9" x14ac:dyDescent="0.2">
      <c r="A30" s="14">
        <v>2014</v>
      </c>
      <c r="B30" s="15">
        <v>13.51</v>
      </c>
      <c r="C30" s="15"/>
      <c r="D30" s="15">
        <v>13.6</v>
      </c>
      <c r="E30" s="15">
        <v>7.37</v>
      </c>
      <c r="F30" s="15"/>
      <c r="G30" s="15">
        <v>-4.24</v>
      </c>
      <c r="H30" s="15">
        <v>5.76</v>
      </c>
    </row>
    <row r="31" spans="1:9" x14ac:dyDescent="0.2">
      <c r="A31" s="14">
        <v>2015</v>
      </c>
      <c r="B31" s="15">
        <v>1.25</v>
      </c>
      <c r="C31" s="15"/>
      <c r="D31" s="15">
        <v>-1.46</v>
      </c>
      <c r="E31" s="15">
        <v>-3.78</v>
      </c>
      <c r="F31" s="15"/>
      <c r="G31" s="15">
        <v>-4.37</v>
      </c>
      <c r="H31" s="15">
        <v>0.3</v>
      </c>
    </row>
    <row r="32" spans="1:9" x14ac:dyDescent="0.2">
      <c r="A32" s="14">
        <v>2016</v>
      </c>
      <c r="B32" s="15">
        <v>11.82</v>
      </c>
      <c r="C32" s="15"/>
      <c r="D32" s="15">
        <v>11.07</v>
      </c>
      <c r="E32" s="15">
        <v>18.170000000000002</v>
      </c>
      <c r="F32" s="15"/>
      <c r="G32" s="15">
        <v>4.6500000000000004</v>
      </c>
      <c r="H32" s="15">
        <v>2.5</v>
      </c>
    </row>
    <row r="33" spans="1:25" x14ac:dyDescent="0.2">
      <c r="A33" s="14">
        <v>2017</v>
      </c>
      <c r="B33" s="15">
        <v>21.67</v>
      </c>
      <c r="C33" s="15"/>
      <c r="D33" s="15">
        <v>19.600000000000001</v>
      </c>
      <c r="E33" s="15">
        <v>16.100000000000001</v>
      </c>
      <c r="F33" s="15"/>
      <c r="G33" s="15">
        <v>27.4</v>
      </c>
      <c r="H33" s="15">
        <v>3.46</v>
      </c>
    </row>
    <row r="36" spans="1:25" x14ac:dyDescent="0.2">
      <c r="A36" s="20" t="s">
        <v>123</v>
      </c>
      <c r="O36" s="20" t="s">
        <v>130</v>
      </c>
    </row>
    <row r="37" spans="1:25" x14ac:dyDescent="0.2">
      <c r="B37" s="4" t="str">
        <f t="shared" ref="B37:H38" si="1">B2</f>
        <v>LC Stocks</v>
      </c>
      <c r="C37" s="4" t="str">
        <f t="shared" si="1"/>
        <v>Ext Mkt</v>
      </c>
      <c r="D37" s="4" t="str">
        <f t="shared" si="1"/>
        <v>Mcap Stk</v>
      </c>
      <c r="E37" s="4" t="str">
        <f t="shared" si="1"/>
        <v>Small Cap</v>
      </c>
      <c r="F37" s="4" t="str">
        <f t="shared" si="1"/>
        <v>Intl Val</v>
      </c>
      <c r="G37" s="4" t="str">
        <f t="shared" si="1"/>
        <v>Tot Int Stk</v>
      </c>
      <c r="H37" s="4" t="str">
        <f t="shared" si="1"/>
        <v>Bonds</v>
      </c>
      <c r="I37" s="5"/>
      <c r="J37" s="5" t="s">
        <v>76</v>
      </c>
      <c r="K37" s="5" t="s">
        <v>73</v>
      </c>
      <c r="L37" s="5" t="s">
        <v>74</v>
      </c>
      <c r="P37" s="4" t="str">
        <f>B37</f>
        <v>LC Stocks</v>
      </c>
      <c r="Q37" s="4" t="str">
        <f t="shared" ref="Q37:V38" si="2">C37</f>
        <v>Ext Mkt</v>
      </c>
      <c r="R37" s="4" t="str">
        <f t="shared" si="2"/>
        <v>Mcap Stk</v>
      </c>
      <c r="S37" s="4" t="str">
        <f t="shared" si="2"/>
        <v>Small Cap</v>
      </c>
      <c r="T37" s="4" t="str">
        <f t="shared" si="2"/>
        <v>Intl Val</v>
      </c>
      <c r="U37" s="4" t="str">
        <f t="shared" si="2"/>
        <v>Tot Int Stk</v>
      </c>
      <c r="V37" s="4" t="str">
        <f t="shared" si="2"/>
        <v>Bonds</v>
      </c>
      <c r="W37" s="5"/>
      <c r="X37" s="5" t="s">
        <v>111</v>
      </c>
      <c r="Y37" s="3" t="s">
        <v>112</v>
      </c>
    </row>
    <row r="38" spans="1:25" x14ac:dyDescent="0.2">
      <c r="A38" t="s">
        <v>72</v>
      </c>
      <c r="B38" s="4" t="str">
        <f t="shared" si="1"/>
        <v>VFINX</v>
      </c>
      <c r="C38" s="4" t="str">
        <f t="shared" si="1"/>
        <v>VEXMX</v>
      </c>
      <c r="D38" s="4" t="str">
        <f t="shared" si="1"/>
        <v>VIMSX</v>
      </c>
      <c r="E38" s="4" t="str">
        <f t="shared" si="1"/>
        <v>NAESX</v>
      </c>
      <c r="F38" s="4" t="str">
        <f t="shared" si="1"/>
        <v>VTRIX</v>
      </c>
      <c r="G38" s="4" t="str">
        <f t="shared" si="1"/>
        <v>VGTSX</v>
      </c>
      <c r="H38" s="4" t="str">
        <f t="shared" si="1"/>
        <v>VBMFX</v>
      </c>
      <c r="I38" s="5" t="s">
        <v>70</v>
      </c>
      <c r="J38" s="5" t="s">
        <v>77</v>
      </c>
      <c r="K38" s="5" t="s">
        <v>75</v>
      </c>
      <c r="L38" s="5" t="s">
        <v>75</v>
      </c>
      <c r="O38" t="s">
        <v>72</v>
      </c>
      <c r="P38" s="4" t="str">
        <f>B38</f>
        <v>VFINX</v>
      </c>
      <c r="Q38" s="4" t="str">
        <f t="shared" si="2"/>
        <v>VEXMX</v>
      </c>
      <c r="R38" s="4" t="str">
        <f t="shared" si="2"/>
        <v>VIMSX</v>
      </c>
      <c r="S38" s="4" t="str">
        <f t="shared" si="2"/>
        <v>NAESX</v>
      </c>
      <c r="T38" s="4" t="str">
        <f t="shared" si="2"/>
        <v>VTRIX</v>
      </c>
      <c r="U38" s="4" t="str">
        <f t="shared" si="2"/>
        <v>VGTSX</v>
      </c>
      <c r="V38" s="4" t="str">
        <f t="shared" si="2"/>
        <v>VBMFX</v>
      </c>
      <c r="W38" s="5" t="s">
        <v>70</v>
      </c>
      <c r="X38" s="5" t="s">
        <v>112</v>
      </c>
      <c r="Y38" s="3" t="s">
        <v>87</v>
      </c>
    </row>
    <row r="39" spans="1:25" x14ac:dyDescent="0.2">
      <c r="A39" t="s">
        <v>71</v>
      </c>
      <c r="B39" s="31">
        <v>20000</v>
      </c>
      <c r="C39" s="31">
        <v>30000</v>
      </c>
      <c r="F39" s="31">
        <v>20000</v>
      </c>
      <c r="H39" s="31">
        <v>30000</v>
      </c>
      <c r="I39" s="2">
        <f>SUM(B39:H39)</f>
        <v>100000</v>
      </c>
      <c r="O39" s="21" t="s">
        <v>86</v>
      </c>
      <c r="P39" s="22">
        <f>B39/$I39</f>
        <v>0.2</v>
      </c>
      <c r="Q39" s="22">
        <f>C39/$I39</f>
        <v>0.3</v>
      </c>
      <c r="R39" s="23">
        <v>0.2</v>
      </c>
      <c r="S39" s="23">
        <v>0.1</v>
      </c>
      <c r="T39" s="22">
        <f>F39/$I39</f>
        <v>0.2</v>
      </c>
      <c r="U39" s="23">
        <v>0.2</v>
      </c>
      <c r="V39" s="22">
        <f>H39/$I39</f>
        <v>0.3</v>
      </c>
      <c r="W39" s="6">
        <f>I39/$I39</f>
        <v>1</v>
      </c>
      <c r="X39" s="24"/>
    </row>
    <row r="40" spans="1:25" x14ac:dyDescent="0.2">
      <c r="A40">
        <f t="shared" ref="A40:A64" si="3">A4</f>
        <v>1989</v>
      </c>
      <c r="B40" s="2">
        <f t="shared" ref="B40:B50" si="4">B39*(1+(B4/100))</f>
        <v>26272.000000000004</v>
      </c>
      <c r="C40" s="2">
        <f t="shared" ref="C40:C49" si="5">C39*(1+(C4/100))</f>
        <v>37228.800000000003</v>
      </c>
      <c r="D40" s="2"/>
      <c r="E40" s="2"/>
      <c r="F40" s="2">
        <f t="shared" ref="F40:F47" si="6">F39*(1+(F4/100))</f>
        <v>25194.2</v>
      </c>
      <c r="G40" s="2"/>
      <c r="H40" s="2">
        <f t="shared" ref="H40:H64" si="7">H39*(1+(H4/100))</f>
        <v>34092</v>
      </c>
      <c r="I40" s="2">
        <f>SUM(B40:H40)</f>
        <v>122787</v>
      </c>
      <c r="J40" s="2">
        <f>I40-I39</f>
        <v>22787</v>
      </c>
      <c r="K40" s="6">
        <f>(J40/I39)</f>
        <v>0.22786999999999999</v>
      </c>
      <c r="L40" s="7">
        <f>K40+1</f>
        <v>1.22787</v>
      </c>
      <c r="O40">
        <f>A40</f>
        <v>1989</v>
      </c>
      <c r="P40" s="6">
        <f t="shared" ref="P40:U64" si="8">B40/$I40</f>
        <v>0.21396401899223863</v>
      </c>
      <c r="Q40" s="6">
        <f t="shared" si="8"/>
        <v>0.30319822131007357</v>
      </c>
      <c r="R40" s="7"/>
      <c r="S40" s="7"/>
      <c r="T40" s="6">
        <f t="shared" ref="T40:T48" si="9">F40/$I40</f>
        <v>0.20518621678190688</v>
      </c>
      <c r="U40" s="7"/>
      <c r="V40" s="6">
        <f t="shared" ref="V40:V64" si="10">H40/$I40</f>
        <v>0.27765154291578098</v>
      </c>
      <c r="W40" s="6">
        <f>SUM(P40:V40)</f>
        <v>1</v>
      </c>
      <c r="X40" s="7">
        <f>SUM(P40:U40)</f>
        <v>0.72234845708421902</v>
      </c>
      <c r="Y40" s="7">
        <f>W40-(X40+V40)</f>
        <v>0</v>
      </c>
    </row>
    <row r="41" spans="1:25" x14ac:dyDescent="0.2">
      <c r="A41">
        <f t="shared" si="3"/>
        <v>1990</v>
      </c>
      <c r="B41" s="2">
        <f t="shared" si="4"/>
        <v>25399.769600000003</v>
      </c>
      <c r="C41" s="2">
        <f t="shared" si="5"/>
        <v>32000.015040000002</v>
      </c>
      <c r="D41" s="2"/>
      <c r="E41" s="2"/>
      <c r="F41" s="2">
        <f t="shared" si="6"/>
        <v>22105.391080000001</v>
      </c>
      <c r="G41" s="2"/>
      <c r="H41" s="2">
        <f t="shared" si="7"/>
        <v>37040.957999999999</v>
      </c>
      <c r="I41" s="2">
        <f t="shared" ref="I41:I48" si="11">SUM(B41:H41)</f>
        <v>116546.13372</v>
      </c>
      <c r="J41" s="2">
        <f t="shared" ref="J41:J64" si="12">I41-I40</f>
        <v>-6240.866280000002</v>
      </c>
      <c r="K41" s="6">
        <f t="shared" ref="K41:K48" si="13">(J41/I40)</f>
        <v>-5.0826767328788894E-2</v>
      </c>
      <c r="L41" s="7">
        <f t="shared" ref="L41:L64" si="14">K41+1</f>
        <v>0.94917323267121112</v>
      </c>
      <c r="O41">
        <f t="shared" ref="O41:O64" si="15">A41</f>
        <v>1990</v>
      </c>
      <c r="P41" s="6">
        <f t="shared" si="8"/>
        <v>0.2179374706759685</v>
      </c>
      <c r="Q41" s="6">
        <f t="shared" si="8"/>
        <v>0.27456951181992417</v>
      </c>
      <c r="R41" s="7"/>
      <c r="S41" s="7"/>
      <c r="T41" s="6">
        <f t="shared" si="9"/>
        <v>0.18967073702425691</v>
      </c>
      <c r="U41" s="7"/>
      <c r="V41" s="6">
        <f t="shared" si="10"/>
        <v>0.31782228047985045</v>
      </c>
      <c r="W41" s="6">
        <f t="shared" ref="W41:W64" si="16">SUM(P41:V41)</f>
        <v>1</v>
      </c>
      <c r="X41" s="7">
        <f t="shared" ref="X41:X64" si="17">SUM(P41:U41)</f>
        <v>0.68217771952014949</v>
      </c>
      <c r="Y41" s="7">
        <f t="shared" ref="Y41:Y64" si="18">W41-(X41+V41)</f>
        <v>0</v>
      </c>
    </row>
    <row r="42" spans="1:25" x14ac:dyDescent="0.2">
      <c r="A42">
        <f t="shared" si="3"/>
        <v>1991</v>
      </c>
      <c r="B42" s="2">
        <f t="shared" si="4"/>
        <v>33075.579973120002</v>
      </c>
      <c r="C42" s="2">
        <f t="shared" si="5"/>
        <v>45392.021334240009</v>
      </c>
      <c r="D42" s="2"/>
      <c r="E42" s="2"/>
      <c r="F42" s="2">
        <f t="shared" si="6"/>
        <v>24306.203815924804</v>
      </c>
      <c r="G42" s="2"/>
      <c r="H42" s="2">
        <f t="shared" si="7"/>
        <v>42689.704095000001</v>
      </c>
      <c r="I42" s="2">
        <f t="shared" si="11"/>
        <v>145463.50921828483</v>
      </c>
      <c r="J42" s="2">
        <f t="shared" si="12"/>
        <v>28917.375498284833</v>
      </c>
      <c r="K42" s="6">
        <f t="shared" si="13"/>
        <v>0.24811956068622842</v>
      </c>
      <c r="L42" s="7">
        <f t="shared" si="14"/>
        <v>1.2481195606862285</v>
      </c>
      <c r="O42">
        <f t="shared" si="15"/>
        <v>1991</v>
      </c>
      <c r="P42" s="6">
        <f t="shared" si="8"/>
        <v>0.22738059978661912</v>
      </c>
      <c r="Q42" s="6">
        <f t="shared" si="8"/>
        <v>0.31205091626191989</v>
      </c>
      <c r="R42" s="7"/>
      <c r="S42" s="7"/>
      <c r="T42" s="6">
        <f t="shared" si="9"/>
        <v>0.16709485386778708</v>
      </c>
      <c r="U42" s="7"/>
      <c r="V42" s="6">
        <f t="shared" si="10"/>
        <v>0.29347363008367383</v>
      </c>
      <c r="W42" s="6">
        <f t="shared" si="16"/>
        <v>1</v>
      </c>
      <c r="X42" s="7">
        <f t="shared" si="17"/>
        <v>0.70652636991632611</v>
      </c>
      <c r="Y42" s="7">
        <f t="shared" si="18"/>
        <v>0</v>
      </c>
    </row>
    <row r="43" spans="1:25" x14ac:dyDescent="0.2">
      <c r="A43">
        <f t="shared" si="3"/>
        <v>1992</v>
      </c>
      <c r="B43" s="2">
        <f t="shared" si="4"/>
        <v>35529.788007125506</v>
      </c>
      <c r="C43" s="2">
        <f t="shared" si="5"/>
        <v>51050.590713766367</v>
      </c>
      <c r="D43" s="2"/>
      <c r="E43" s="2"/>
      <c r="F43" s="2">
        <f t="shared" si="6"/>
        <v>22186.459781138001</v>
      </c>
      <c r="G43" s="2"/>
      <c r="H43" s="2">
        <f t="shared" si="7"/>
        <v>45737.748967382999</v>
      </c>
      <c r="I43" s="2">
        <f t="shared" si="11"/>
        <v>154504.58746941286</v>
      </c>
      <c r="J43" s="2">
        <f t="shared" si="12"/>
        <v>9041.0782511280267</v>
      </c>
      <c r="K43" s="6">
        <f t="shared" si="13"/>
        <v>6.2153582707542426E-2</v>
      </c>
      <c r="L43" s="7">
        <f t="shared" si="14"/>
        <v>1.0621535827075423</v>
      </c>
      <c r="O43">
        <f t="shared" si="15"/>
        <v>1992</v>
      </c>
      <c r="P43" s="6">
        <f t="shared" si="8"/>
        <v>0.22995943738019628</v>
      </c>
      <c r="Q43" s="6">
        <f t="shared" si="8"/>
        <v>0.33041472457167531</v>
      </c>
      <c r="R43" s="7"/>
      <c r="S43" s="7"/>
      <c r="T43" s="6">
        <f t="shared" si="9"/>
        <v>0.14359741768528547</v>
      </c>
      <c r="U43" s="7"/>
      <c r="V43" s="6">
        <f t="shared" si="10"/>
        <v>0.29602842036284305</v>
      </c>
      <c r="W43" s="6">
        <f t="shared" si="16"/>
        <v>1</v>
      </c>
      <c r="X43" s="7">
        <f t="shared" si="17"/>
        <v>0.70397157963715706</v>
      </c>
      <c r="Y43" s="7">
        <f t="shared" si="18"/>
        <v>0</v>
      </c>
    </row>
    <row r="44" spans="1:25" x14ac:dyDescent="0.2">
      <c r="A44">
        <f t="shared" si="3"/>
        <v>1993</v>
      </c>
      <c r="B44" s="2">
        <f t="shared" si="4"/>
        <v>39043.684041030217</v>
      </c>
      <c r="C44" s="2">
        <f t="shared" si="5"/>
        <v>58447.821308191116</v>
      </c>
      <c r="D44" s="2"/>
      <c r="E44" s="2"/>
      <c r="F44" s="2">
        <f t="shared" si="6"/>
        <v>28951.998826798223</v>
      </c>
      <c r="G44" s="2"/>
      <c r="H44" s="2">
        <f t="shared" si="7"/>
        <v>50165.163067425674</v>
      </c>
      <c r="I44" s="2">
        <f t="shared" si="11"/>
        <v>176608.66724344523</v>
      </c>
      <c r="J44" s="2">
        <f t="shared" si="12"/>
        <v>22104.079774032376</v>
      </c>
      <c r="K44" s="6">
        <f t="shared" si="13"/>
        <v>0.14306422958741147</v>
      </c>
      <c r="L44" s="7">
        <f t="shared" si="14"/>
        <v>1.1430642295874114</v>
      </c>
      <c r="O44">
        <f t="shared" si="15"/>
        <v>1993</v>
      </c>
      <c r="P44" s="6">
        <f t="shared" si="8"/>
        <v>0.22107456361250191</v>
      </c>
      <c r="Q44" s="6">
        <f t="shared" si="8"/>
        <v>0.33094537329600049</v>
      </c>
      <c r="R44" s="7"/>
      <c r="S44" s="7"/>
      <c r="T44" s="6">
        <f t="shared" si="9"/>
        <v>0.16393305763917862</v>
      </c>
      <c r="U44" s="7"/>
      <c r="V44" s="6">
        <f t="shared" si="10"/>
        <v>0.28404700545231898</v>
      </c>
      <c r="W44" s="6">
        <f t="shared" si="16"/>
        <v>1</v>
      </c>
      <c r="X44" s="7">
        <f t="shared" si="17"/>
        <v>0.71595299454768102</v>
      </c>
      <c r="Y44" s="7">
        <f t="shared" si="18"/>
        <v>0</v>
      </c>
    </row>
    <row r="45" spans="1:25" x14ac:dyDescent="0.2">
      <c r="A45">
        <f t="shared" si="3"/>
        <v>1994</v>
      </c>
      <c r="B45" s="2">
        <f t="shared" si="4"/>
        <v>39504.399512714379</v>
      </c>
      <c r="C45" s="2">
        <f t="shared" si="5"/>
        <v>57416.801740314622</v>
      </c>
      <c r="D45" s="2"/>
      <c r="E45" s="2"/>
      <c r="F45" s="2">
        <f t="shared" si="6"/>
        <v>30473.426365146472</v>
      </c>
      <c r="G45" s="2"/>
      <c r="H45" s="2">
        <f t="shared" si="7"/>
        <v>48830.769729832151</v>
      </c>
      <c r="I45" s="2">
        <f t="shared" si="11"/>
        <v>176225.39734800762</v>
      </c>
      <c r="J45" s="2">
        <f t="shared" si="12"/>
        <v>-383.2698954376101</v>
      </c>
      <c r="K45" s="6">
        <f t="shared" si="13"/>
        <v>-2.1701647004067691E-3</v>
      </c>
      <c r="L45" s="7">
        <f t="shared" si="14"/>
        <v>0.99782983529959324</v>
      </c>
      <c r="O45">
        <f t="shared" si="15"/>
        <v>1994</v>
      </c>
      <c r="P45" s="6">
        <f t="shared" si="8"/>
        <v>0.22416972869524365</v>
      </c>
      <c r="Q45" s="6">
        <f t="shared" si="8"/>
        <v>0.32581456818581417</v>
      </c>
      <c r="R45" s="7"/>
      <c r="S45" s="7"/>
      <c r="T45" s="6">
        <f t="shared" si="9"/>
        <v>0.17292301123298331</v>
      </c>
      <c r="U45" s="7"/>
      <c r="V45" s="6">
        <f t="shared" si="10"/>
        <v>0.27709269188595886</v>
      </c>
      <c r="W45" s="6">
        <f t="shared" si="16"/>
        <v>1</v>
      </c>
      <c r="X45" s="7">
        <f t="shared" si="17"/>
        <v>0.72290730811404114</v>
      </c>
      <c r="Y45" s="7">
        <f t="shared" si="18"/>
        <v>0</v>
      </c>
    </row>
    <row r="46" spans="1:25" x14ac:dyDescent="0.2">
      <c r="A46">
        <f t="shared" si="3"/>
        <v>1995</v>
      </c>
      <c r="B46" s="2">
        <f t="shared" si="4"/>
        <v>54298.797130225917</v>
      </c>
      <c r="C46" s="2">
        <f t="shared" si="5"/>
        <v>76821.958224488742</v>
      </c>
      <c r="D46" s="2"/>
      <c r="E46" s="2"/>
      <c r="F46" s="2">
        <f t="shared" si="6"/>
        <v>33412.893072328501</v>
      </c>
      <c r="G46" s="2"/>
      <c r="H46" s="2">
        <f t="shared" si="7"/>
        <v>57708.203666715635</v>
      </c>
      <c r="I46" s="2">
        <f t="shared" si="11"/>
        <v>222241.85209375882</v>
      </c>
      <c r="J46" s="2">
        <f t="shared" si="12"/>
        <v>46016.454745751194</v>
      </c>
      <c r="K46" s="6">
        <f t="shared" si="13"/>
        <v>0.2611227180545293</v>
      </c>
      <c r="L46" s="7">
        <f t="shared" si="14"/>
        <v>1.2611227180545292</v>
      </c>
      <c r="O46">
        <f t="shared" si="15"/>
        <v>1995</v>
      </c>
      <c r="P46" s="6">
        <f t="shared" si="8"/>
        <v>0.24432300495461351</v>
      </c>
      <c r="Q46" s="6">
        <f t="shared" si="8"/>
        <v>0.34566827760272306</v>
      </c>
      <c r="R46" s="7"/>
      <c r="S46" s="7"/>
      <c r="T46" s="6">
        <f t="shared" si="9"/>
        <v>0.15034473820994057</v>
      </c>
      <c r="U46" s="7"/>
      <c r="V46" s="6">
        <f t="shared" si="10"/>
        <v>0.25966397923272277</v>
      </c>
      <c r="W46" s="6">
        <f t="shared" si="16"/>
        <v>0.99999999999999989</v>
      </c>
      <c r="X46" s="7">
        <f t="shared" si="17"/>
        <v>0.74033602076727711</v>
      </c>
      <c r="Y46" s="7">
        <f t="shared" si="18"/>
        <v>0</v>
      </c>
    </row>
    <row r="47" spans="1:25" x14ac:dyDescent="0.2">
      <c r="A47">
        <f t="shared" si="3"/>
        <v>1996</v>
      </c>
      <c r="B47" s="2">
        <f t="shared" si="4"/>
        <v>66722.361913621615</v>
      </c>
      <c r="C47" s="2">
        <f t="shared" si="5"/>
        <v>90378.729192364262</v>
      </c>
      <c r="D47" s="2"/>
      <c r="E47" s="2"/>
      <c r="F47" s="2">
        <f t="shared" si="6"/>
        <v>36827.356615389748</v>
      </c>
      <c r="G47" s="2"/>
      <c r="H47" s="2">
        <f t="shared" si="7"/>
        <v>59774.157357984055</v>
      </c>
      <c r="I47" s="2">
        <f t="shared" si="11"/>
        <v>253702.60507935967</v>
      </c>
      <c r="J47" s="2">
        <f t="shared" si="12"/>
        <v>31460.752985600848</v>
      </c>
      <c r="K47" s="6">
        <f t="shared" si="13"/>
        <v>0.14156088373637324</v>
      </c>
      <c r="L47" s="7">
        <f t="shared" si="14"/>
        <v>1.1415608837363733</v>
      </c>
      <c r="O47">
        <f t="shared" si="15"/>
        <v>1996</v>
      </c>
      <c r="P47" s="6">
        <f t="shared" si="8"/>
        <v>0.26299439019457632</v>
      </c>
      <c r="Q47" s="6">
        <f t="shared" si="8"/>
        <v>0.3562388693805224</v>
      </c>
      <c r="R47" s="7"/>
      <c r="S47" s="7"/>
      <c r="T47" s="6">
        <f t="shared" si="9"/>
        <v>0.14515955247629378</v>
      </c>
      <c r="U47" s="7"/>
      <c r="V47" s="6">
        <f t="shared" si="10"/>
        <v>0.23560718794860758</v>
      </c>
      <c r="W47" s="6">
        <f t="shared" si="16"/>
        <v>1</v>
      </c>
      <c r="X47" s="7">
        <f t="shared" si="17"/>
        <v>0.76439281205139242</v>
      </c>
      <c r="Y47" s="7">
        <f t="shared" si="18"/>
        <v>0</v>
      </c>
    </row>
    <row r="48" spans="1:25" x14ac:dyDescent="0.2">
      <c r="A48">
        <f t="shared" si="3"/>
        <v>1997</v>
      </c>
      <c r="B48" s="2">
        <f t="shared" si="4"/>
        <v>88867.513832752637</v>
      </c>
      <c r="C48" s="2">
        <f t="shared" si="5"/>
        <v>114498.10065193051</v>
      </c>
      <c r="D48" s="2"/>
      <c r="E48" s="2"/>
      <c r="F48" s="2"/>
      <c r="G48" s="2">
        <f>F47*(1+(G12/100))</f>
        <v>36541.944601620475</v>
      </c>
      <c r="H48" s="2">
        <f t="shared" si="7"/>
        <v>65416.837812577753</v>
      </c>
      <c r="I48" s="2">
        <f t="shared" si="11"/>
        <v>305324.39689888142</v>
      </c>
      <c r="J48" s="2">
        <f t="shared" si="12"/>
        <v>51621.79181952175</v>
      </c>
      <c r="K48" s="6">
        <f t="shared" si="13"/>
        <v>0.20347363718781741</v>
      </c>
      <c r="L48" s="7">
        <f t="shared" si="14"/>
        <v>1.2034736371878174</v>
      </c>
      <c r="O48">
        <f t="shared" si="15"/>
        <v>1997</v>
      </c>
      <c r="P48" s="6">
        <f t="shared" si="8"/>
        <v>0.29105932816166064</v>
      </c>
      <c r="Q48" s="6">
        <f t="shared" si="8"/>
        <v>0.37500475499129687</v>
      </c>
      <c r="R48" s="7"/>
      <c r="S48" s="7"/>
      <c r="T48" s="6">
        <f t="shared" si="9"/>
        <v>0</v>
      </c>
      <c r="U48" s="6"/>
      <c r="V48" s="6">
        <f t="shared" si="10"/>
        <v>0.21425355614226521</v>
      </c>
      <c r="W48" s="6">
        <f t="shared" si="16"/>
        <v>0.88031763929522278</v>
      </c>
      <c r="X48" s="7">
        <f t="shared" si="17"/>
        <v>0.66606408315295751</v>
      </c>
      <c r="Y48" s="7">
        <f t="shared" si="18"/>
        <v>0</v>
      </c>
    </row>
    <row r="49" spans="1:25" x14ac:dyDescent="0.2">
      <c r="A49">
        <f t="shared" si="3"/>
        <v>1998</v>
      </c>
      <c r="B49" s="2">
        <f t="shared" si="4"/>
        <v>114336.94329721954</v>
      </c>
      <c r="C49" s="2">
        <f t="shared" si="5"/>
        <v>124062.12699938628</v>
      </c>
      <c r="D49" s="2"/>
      <c r="E49" s="2"/>
      <c r="F49" s="2"/>
      <c r="G49" s="2">
        <f t="shared" ref="G49:G64" si="19">G48*(1+(G13/100))</f>
        <v>42243.584217811316</v>
      </c>
      <c r="H49" s="2">
        <f t="shared" si="7"/>
        <v>71029.602496896929</v>
      </c>
      <c r="I49" s="2">
        <f t="shared" ref="I49:I64" si="20">SUM(B49:H49)</f>
        <v>351672.25701131404</v>
      </c>
      <c r="J49" s="2">
        <f t="shared" si="12"/>
        <v>46347.860112432623</v>
      </c>
      <c r="K49" s="6">
        <f t="shared" ref="K49:K64" si="21">(J49/I48)</f>
        <v>0.15179874449332753</v>
      </c>
      <c r="L49" s="7">
        <f t="shared" si="14"/>
        <v>1.1517987444933275</v>
      </c>
      <c r="O49">
        <f t="shared" si="15"/>
        <v>1998</v>
      </c>
      <c r="P49" s="6">
        <f t="shared" si="8"/>
        <v>0.32512358031569455</v>
      </c>
      <c r="Q49" s="6">
        <f t="shared" si="8"/>
        <v>0.35277769151802879</v>
      </c>
      <c r="R49" s="7"/>
      <c r="S49" s="7"/>
      <c r="T49" s="6"/>
      <c r="U49" s="6">
        <f t="shared" si="8"/>
        <v>0.12012202661881358</v>
      </c>
      <c r="V49" s="6">
        <f t="shared" si="10"/>
        <v>0.20197670154746314</v>
      </c>
      <c r="W49" s="6">
        <f t="shared" si="16"/>
        <v>1</v>
      </c>
      <c r="X49" s="7">
        <f t="shared" si="17"/>
        <v>0.79802329845253694</v>
      </c>
      <c r="Y49" s="7">
        <f t="shared" si="18"/>
        <v>0</v>
      </c>
    </row>
    <row r="50" spans="1:25" x14ac:dyDescent="0.2">
      <c r="A50">
        <f t="shared" si="3"/>
        <v>1999</v>
      </c>
      <c r="B50" s="2">
        <f t="shared" si="4"/>
        <v>138427.73724994369</v>
      </c>
      <c r="C50" s="2"/>
      <c r="D50" s="2">
        <f>($C49*0.67)*(1+(D14/100))</f>
        <v>95855.026837062906</v>
      </c>
      <c r="E50" s="2">
        <f>($C49*0.33)*(1+(E14/100))</f>
        <v>50411.268216590921</v>
      </c>
      <c r="F50" s="2"/>
      <c r="G50" s="2">
        <f t="shared" si="19"/>
        <v>54882.442179938284</v>
      </c>
      <c r="H50" s="2">
        <f t="shared" si="7"/>
        <v>70489.777517920505</v>
      </c>
      <c r="I50" s="2">
        <f t="shared" si="20"/>
        <v>410066.25200145633</v>
      </c>
      <c r="J50" s="2">
        <f t="shared" si="12"/>
        <v>58393.994990142295</v>
      </c>
      <c r="K50" s="6">
        <f t="shared" si="21"/>
        <v>0.16604663525750807</v>
      </c>
      <c r="L50" s="7">
        <f t="shared" si="14"/>
        <v>1.1660466352575081</v>
      </c>
      <c r="O50">
        <f t="shared" si="15"/>
        <v>1999</v>
      </c>
      <c r="P50" s="6">
        <f t="shared" si="8"/>
        <v>0.33757407875996603</v>
      </c>
      <c r="Q50" s="6">
        <f t="shared" si="8"/>
        <v>0</v>
      </c>
      <c r="R50" s="7"/>
      <c r="S50" s="7"/>
      <c r="T50" s="7"/>
      <c r="U50" s="6">
        <f t="shared" si="8"/>
        <v>0.13383798815939471</v>
      </c>
      <c r="V50" s="6">
        <f t="shared" si="10"/>
        <v>0.17189850950638622</v>
      </c>
      <c r="W50" s="6">
        <f t="shared" si="16"/>
        <v>0.64331057642574696</v>
      </c>
      <c r="X50" s="7">
        <f t="shared" si="17"/>
        <v>0.47141206691936077</v>
      </c>
      <c r="Y50" s="7">
        <f t="shared" si="18"/>
        <v>0</v>
      </c>
    </row>
    <row r="51" spans="1:25" x14ac:dyDescent="0.2">
      <c r="A51">
        <f t="shared" si="3"/>
        <v>2000</v>
      </c>
      <c r="B51" s="2">
        <f t="shared" ref="B51:B64" si="22">B50*(1+(B15/100))</f>
        <v>125886.18425509879</v>
      </c>
      <c r="C51" s="2"/>
      <c r="D51" s="2">
        <f t="shared" ref="D51:D64" si="23">D50*(1+(D15/100))</f>
        <v>113202.86959403455</v>
      </c>
      <c r="E51" s="2">
        <f t="shared" ref="E51:E64" si="24">E50*(1+(E15/100))</f>
        <v>49067.807918618775</v>
      </c>
      <c r="F51" s="2"/>
      <c r="G51" s="2">
        <f t="shared" si="19"/>
        <v>46313.097657962724</v>
      </c>
      <c r="H51" s="2">
        <f t="shared" si="7"/>
        <v>78518.563177211661</v>
      </c>
      <c r="I51" s="2">
        <f t="shared" si="20"/>
        <v>412988.52260292647</v>
      </c>
      <c r="J51" s="2">
        <f t="shared" si="12"/>
        <v>2922.2706014701398</v>
      </c>
      <c r="K51" s="6">
        <f t="shared" si="21"/>
        <v>7.1263377252019306E-3</v>
      </c>
      <c r="L51" s="7">
        <f t="shared" si="14"/>
        <v>1.007126337725202</v>
      </c>
      <c r="O51">
        <f t="shared" si="15"/>
        <v>2000</v>
      </c>
      <c r="P51" s="6">
        <f t="shared" si="8"/>
        <v>0.30481763382110694</v>
      </c>
      <c r="Q51" s="7"/>
      <c r="R51" s="6">
        <f t="shared" si="8"/>
        <v>0.27410657536087274</v>
      </c>
      <c r="S51" s="6">
        <f t="shared" si="8"/>
        <v>0.11881155342855786</v>
      </c>
      <c r="T51" s="7"/>
      <c r="U51" s="6">
        <f t="shared" si="8"/>
        <v>0.11214136743090823</v>
      </c>
      <c r="V51" s="6">
        <f t="shared" si="10"/>
        <v>0.19012286995855432</v>
      </c>
      <c r="W51" s="6">
        <f t="shared" si="16"/>
        <v>1</v>
      </c>
      <c r="X51" s="7">
        <f t="shared" si="17"/>
        <v>0.80987713004144579</v>
      </c>
      <c r="Y51" s="7">
        <f t="shared" si="18"/>
        <v>0</v>
      </c>
    </row>
    <row r="52" spans="1:25" x14ac:dyDescent="0.2">
      <c r="A52">
        <f t="shared" si="3"/>
        <v>2001</v>
      </c>
      <c r="B52" s="2">
        <f t="shared" si="22"/>
        <v>110754.66490763592</v>
      </c>
      <c r="C52" s="2"/>
      <c r="D52" s="2">
        <f t="shared" si="23"/>
        <v>112637.98727476031</v>
      </c>
      <c r="E52" s="2">
        <f t="shared" si="24"/>
        <v>50588.909964095954</v>
      </c>
      <c r="F52" s="2"/>
      <c r="G52" s="2">
        <f t="shared" si="19"/>
        <v>36979.619086953498</v>
      </c>
      <c r="H52" s="2">
        <f t="shared" si="7"/>
        <v>85137.678053050608</v>
      </c>
      <c r="I52" s="2">
        <f t="shared" si="20"/>
        <v>396098.8592864963</v>
      </c>
      <c r="J52" s="2">
        <f t="shared" si="12"/>
        <v>-16889.663316430175</v>
      </c>
      <c r="K52" s="6">
        <f t="shared" si="21"/>
        <v>-4.0896205080907237E-2</v>
      </c>
      <c r="L52" s="7">
        <f t="shared" si="14"/>
        <v>0.95910379491909281</v>
      </c>
      <c r="O52">
        <f t="shared" si="15"/>
        <v>2001</v>
      </c>
      <c r="P52" s="6">
        <f t="shared" si="8"/>
        <v>0.27961369317533841</v>
      </c>
      <c r="Q52" s="7"/>
      <c r="R52" s="6">
        <f t="shared" si="8"/>
        <v>0.28436837075890142</v>
      </c>
      <c r="S52" s="6">
        <f t="shared" si="8"/>
        <v>0.12771788854737715</v>
      </c>
      <c r="T52" s="7"/>
      <c r="U52" s="6">
        <f t="shared" si="8"/>
        <v>9.3359569763886457E-2</v>
      </c>
      <c r="V52" s="6">
        <f t="shared" si="10"/>
        <v>0.21494047775449654</v>
      </c>
      <c r="W52" s="6">
        <f t="shared" si="16"/>
        <v>1</v>
      </c>
      <c r="X52" s="7">
        <f t="shared" si="17"/>
        <v>0.78505952224550346</v>
      </c>
      <c r="Y52" s="7">
        <f t="shared" si="18"/>
        <v>0</v>
      </c>
    </row>
    <row r="53" spans="1:25" x14ac:dyDescent="0.2">
      <c r="A53">
        <f t="shared" si="3"/>
        <v>2002</v>
      </c>
      <c r="B53" s="2">
        <f t="shared" si="22"/>
        <v>86222.506630594551</v>
      </c>
      <c r="C53" s="2"/>
      <c r="D53" s="2">
        <f t="shared" si="23"/>
        <v>96183.830093663317</v>
      </c>
      <c r="E53" s="2">
        <f t="shared" si="24"/>
        <v>40459.998411084664</v>
      </c>
      <c r="F53" s="2"/>
      <c r="G53" s="2">
        <f t="shared" si="19"/>
        <v>31401.983140068303</v>
      </c>
      <c r="H53" s="2">
        <f t="shared" si="7"/>
        <v>92170.050260232587</v>
      </c>
      <c r="I53" s="2">
        <f t="shared" si="20"/>
        <v>346438.36853564344</v>
      </c>
      <c r="J53" s="2">
        <f t="shared" si="12"/>
        <v>-49660.490750852856</v>
      </c>
      <c r="K53" s="6">
        <f t="shared" si="21"/>
        <v>-0.12537398072871922</v>
      </c>
      <c r="L53" s="7">
        <f t="shared" si="14"/>
        <v>0.87462601927128081</v>
      </c>
      <c r="O53">
        <f t="shared" si="15"/>
        <v>2002</v>
      </c>
      <c r="P53" s="6">
        <f t="shared" si="8"/>
        <v>0.24888267138264022</v>
      </c>
      <c r="Q53" s="7"/>
      <c r="R53" s="6">
        <f t="shared" si="8"/>
        <v>0.27763619399381684</v>
      </c>
      <c r="S53" s="6">
        <f t="shared" si="8"/>
        <v>0.11678844517743397</v>
      </c>
      <c r="T53" s="7"/>
      <c r="U53" s="6">
        <f t="shared" si="8"/>
        <v>9.064233639247582E-2</v>
      </c>
      <c r="V53" s="6">
        <f t="shared" si="10"/>
        <v>0.26605035305363306</v>
      </c>
      <c r="W53" s="6">
        <f t="shared" si="16"/>
        <v>1</v>
      </c>
      <c r="X53" s="7">
        <f t="shared" si="17"/>
        <v>0.73394964694636688</v>
      </c>
      <c r="Y53" s="7">
        <f t="shared" si="18"/>
        <v>0</v>
      </c>
    </row>
    <row r="54" spans="1:25" x14ac:dyDescent="0.2">
      <c r="A54">
        <f t="shared" si="3"/>
        <v>2003</v>
      </c>
      <c r="B54" s="2">
        <f t="shared" si="22"/>
        <v>110795.921020314</v>
      </c>
      <c r="C54" s="2"/>
      <c r="D54" s="2">
        <f t="shared" si="23"/>
        <v>129022.91336424185</v>
      </c>
      <c r="E54" s="2">
        <f t="shared" si="24"/>
        <v>58921.086486094377</v>
      </c>
      <c r="F54" s="2"/>
      <c r="G54" s="2">
        <f t="shared" si="19"/>
        <v>44069.543138771856</v>
      </c>
      <c r="H54" s="2">
        <f t="shared" si="7"/>
        <v>95829.201255563821</v>
      </c>
      <c r="I54" s="2">
        <f t="shared" si="20"/>
        <v>438638.66526498587</v>
      </c>
      <c r="J54" s="2">
        <f t="shared" si="12"/>
        <v>92200.29672934243</v>
      </c>
      <c r="K54" s="6">
        <f t="shared" si="21"/>
        <v>0.26613765997993483</v>
      </c>
      <c r="L54" s="7">
        <f t="shared" si="14"/>
        <v>1.2661376599799348</v>
      </c>
      <c r="O54">
        <f t="shared" si="15"/>
        <v>2003</v>
      </c>
      <c r="P54" s="6">
        <f t="shared" si="8"/>
        <v>0.25259041163956925</v>
      </c>
      <c r="Q54" s="7"/>
      <c r="R54" s="6">
        <f t="shared" si="8"/>
        <v>0.29414395852745412</v>
      </c>
      <c r="S54" s="6">
        <f t="shared" si="8"/>
        <v>0.13432716071780762</v>
      </c>
      <c r="T54" s="7"/>
      <c r="U54" s="6">
        <f t="shared" si="8"/>
        <v>0.10046889758828949</v>
      </c>
      <c r="V54" s="6">
        <f t="shared" si="10"/>
        <v>0.21846957152687957</v>
      </c>
      <c r="W54" s="6">
        <f t="shared" si="16"/>
        <v>1</v>
      </c>
      <c r="X54" s="7">
        <f t="shared" si="17"/>
        <v>0.78153042847312038</v>
      </c>
      <c r="Y54" s="7">
        <f t="shared" si="18"/>
        <v>0</v>
      </c>
    </row>
    <row r="55" spans="1:25" x14ac:dyDescent="0.2">
      <c r="A55">
        <f t="shared" si="3"/>
        <v>2004</v>
      </c>
      <c r="B55" s="2">
        <f t="shared" si="22"/>
        <v>122695.40293789571</v>
      </c>
      <c r="C55" s="2"/>
      <c r="D55" s="2">
        <f t="shared" si="23"/>
        <v>155282.94692126598</v>
      </c>
      <c r="E55" s="2">
        <f t="shared" si="24"/>
        <v>70644.615064232581</v>
      </c>
      <c r="F55" s="2"/>
      <c r="G55" s="2">
        <f t="shared" si="19"/>
        <v>53252.313842597745</v>
      </c>
      <c r="H55" s="2">
        <f t="shared" si="7"/>
        <v>99892.359388799727</v>
      </c>
      <c r="I55" s="2">
        <f t="shared" si="20"/>
        <v>501767.63815479178</v>
      </c>
      <c r="J55" s="2">
        <f t="shared" si="12"/>
        <v>63128.972889805911</v>
      </c>
      <c r="K55" s="6">
        <f t="shared" si="21"/>
        <v>0.14392021928041634</v>
      </c>
      <c r="L55" s="7">
        <f t="shared" si="14"/>
        <v>1.1439202192804163</v>
      </c>
      <c r="O55">
        <f t="shared" si="15"/>
        <v>2004</v>
      </c>
      <c r="P55" s="6">
        <f t="shared" si="8"/>
        <v>0.24452633770702653</v>
      </c>
      <c r="Q55" s="7"/>
      <c r="R55" s="6">
        <f t="shared" si="8"/>
        <v>0.30947182542960711</v>
      </c>
      <c r="S55" s="6">
        <f t="shared" si="8"/>
        <v>0.1407914932976192</v>
      </c>
      <c r="T55" s="7"/>
      <c r="U55" s="6">
        <f t="shared" si="8"/>
        <v>0.10612943082265856</v>
      </c>
      <c r="V55" s="6">
        <f t="shared" si="10"/>
        <v>0.19908091274308853</v>
      </c>
      <c r="W55" s="6">
        <f t="shared" si="16"/>
        <v>1</v>
      </c>
      <c r="X55" s="7">
        <f t="shared" si="17"/>
        <v>0.80091908725691141</v>
      </c>
      <c r="Y55" s="7">
        <f t="shared" si="18"/>
        <v>0</v>
      </c>
    </row>
    <row r="56" spans="1:25" x14ac:dyDescent="0.2">
      <c r="A56">
        <f t="shared" si="3"/>
        <v>2005</v>
      </c>
      <c r="B56" s="2">
        <f t="shared" si="22"/>
        <v>128547.97365803334</v>
      </c>
      <c r="C56" s="2"/>
      <c r="D56" s="2">
        <f t="shared" si="23"/>
        <v>176915.41425686755</v>
      </c>
      <c r="E56" s="2">
        <f t="shared" si="24"/>
        <v>75846.178071412025</v>
      </c>
      <c r="F56" s="2"/>
      <c r="G56" s="2">
        <f t="shared" si="19"/>
        <v>61544.231631028641</v>
      </c>
      <c r="H56" s="2">
        <f t="shared" si="7"/>
        <v>102289.77601413093</v>
      </c>
      <c r="I56" s="2">
        <f t="shared" si="20"/>
        <v>545143.57363147254</v>
      </c>
      <c r="J56" s="2">
        <f>I56-I55</f>
        <v>43375.935476680752</v>
      </c>
      <c r="K56" s="6">
        <f>(J56/I55)</f>
        <v>8.6446259539957784E-2</v>
      </c>
      <c r="L56" s="7">
        <f t="shared" si="14"/>
        <v>1.0864462595399578</v>
      </c>
      <c r="O56">
        <f t="shared" si="15"/>
        <v>2005</v>
      </c>
      <c r="P56" s="6">
        <f t="shared" si="8"/>
        <v>0.23580572142071005</v>
      </c>
      <c r="Q56" s="7"/>
      <c r="R56" s="6">
        <f t="shared" si="8"/>
        <v>0.3245299455303966</v>
      </c>
      <c r="S56" s="6">
        <f t="shared" si="8"/>
        <v>0.1391306469342799</v>
      </c>
      <c r="T56" s="7"/>
      <c r="U56" s="6">
        <f t="shared" si="8"/>
        <v>0.11289545471673067</v>
      </c>
      <c r="V56" s="6">
        <f t="shared" si="10"/>
        <v>0.18763823139788266</v>
      </c>
      <c r="W56" s="6">
        <f t="shared" si="16"/>
        <v>0.99999999999999978</v>
      </c>
      <c r="X56" s="7">
        <f t="shared" si="17"/>
        <v>0.81236176860211717</v>
      </c>
      <c r="Y56" s="7">
        <f t="shared" si="18"/>
        <v>0</v>
      </c>
    </row>
    <row r="57" spans="1:25" x14ac:dyDescent="0.2">
      <c r="A57">
        <f t="shared" si="3"/>
        <v>2006</v>
      </c>
      <c r="B57" s="2">
        <f t="shared" si="22"/>
        <v>148652.87673814976</v>
      </c>
      <c r="C57" s="2"/>
      <c r="D57" s="2">
        <f t="shared" si="23"/>
        <v>200970.60313337381</v>
      </c>
      <c r="E57" s="2">
        <f t="shared" si="24"/>
        <v>87720.655710272287</v>
      </c>
      <c r="F57" s="2"/>
      <c r="G57" s="2">
        <f t="shared" si="19"/>
        <v>77937.768610585743</v>
      </c>
      <c r="H57" s="2">
        <f t="shared" si="7"/>
        <v>106657.54944993432</v>
      </c>
      <c r="I57" s="2">
        <f t="shared" si="20"/>
        <v>621939.45364231581</v>
      </c>
      <c r="J57" s="2">
        <f t="shared" si="12"/>
        <v>76795.880010843277</v>
      </c>
      <c r="K57" s="6">
        <f t="shared" si="21"/>
        <v>0.14087276036158275</v>
      </c>
      <c r="L57" s="7">
        <f t="shared" si="14"/>
        <v>1.1408727603615827</v>
      </c>
      <c r="O57">
        <f t="shared" si="15"/>
        <v>2006</v>
      </c>
      <c r="P57" s="6">
        <f t="shared" si="8"/>
        <v>0.2390150293048327</v>
      </c>
      <c r="Q57" s="7"/>
      <c r="R57" s="6">
        <f t="shared" si="8"/>
        <v>0.32313531800629935</v>
      </c>
      <c r="S57" s="6">
        <f t="shared" si="8"/>
        <v>0.14104372249830188</v>
      </c>
      <c r="T57" s="7"/>
      <c r="U57" s="6">
        <f t="shared" si="8"/>
        <v>0.12531407704424008</v>
      </c>
      <c r="V57" s="6">
        <f t="shared" si="10"/>
        <v>0.17149185314632612</v>
      </c>
      <c r="W57" s="6">
        <f t="shared" si="16"/>
        <v>1</v>
      </c>
      <c r="X57" s="7">
        <f t="shared" si="17"/>
        <v>0.82850814685367391</v>
      </c>
      <c r="Y57" s="7">
        <f t="shared" si="18"/>
        <v>0</v>
      </c>
    </row>
    <row r="58" spans="1:25" x14ac:dyDescent="0.2">
      <c r="A58">
        <f t="shared" si="3"/>
        <v>2007</v>
      </c>
      <c r="B58" s="2">
        <f t="shared" si="22"/>
        <v>156665.26679433603</v>
      </c>
      <c r="C58" s="2"/>
      <c r="D58" s="2">
        <f t="shared" si="23"/>
        <v>213071.04314803425</v>
      </c>
      <c r="E58" s="2">
        <f t="shared" si="24"/>
        <v>88734.706490283032</v>
      </c>
      <c r="F58" s="2"/>
      <c r="G58" s="2">
        <f t="shared" si="19"/>
        <v>90035.269054320859</v>
      </c>
      <c r="H58" s="2">
        <f t="shared" si="7"/>
        <v>114038.25187186977</v>
      </c>
      <c r="I58" s="2">
        <f t="shared" si="20"/>
        <v>662544.53735884395</v>
      </c>
      <c r="J58" s="2">
        <f t="shared" si="12"/>
        <v>40605.083716528141</v>
      </c>
      <c r="K58" s="6">
        <f t="shared" si="21"/>
        <v>6.5287840285303031E-2</v>
      </c>
      <c r="L58" s="7">
        <f t="shared" si="14"/>
        <v>1.065287840285303</v>
      </c>
      <c r="O58">
        <f t="shared" si="15"/>
        <v>2007</v>
      </c>
      <c r="P58" s="6">
        <f t="shared" si="8"/>
        <v>0.23645997810028549</v>
      </c>
      <c r="Q58" s="7"/>
      <c r="R58" s="6">
        <f t="shared" si="8"/>
        <v>0.32159504928893834</v>
      </c>
      <c r="S58" s="6">
        <f t="shared" si="8"/>
        <v>0.13393017599090551</v>
      </c>
      <c r="T58" s="7"/>
      <c r="U58" s="6">
        <f t="shared" si="8"/>
        <v>0.13589315733133336</v>
      </c>
      <c r="V58" s="6">
        <f t="shared" si="10"/>
        <v>0.1721216392885373</v>
      </c>
      <c r="W58" s="6">
        <f t="shared" si="16"/>
        <v>1</v>
      </c>
      <c r="X58" s="7">
        <f t="shared" si="17"/>
        <v>0.8278783607114627</v>
      </c>
      <c r="Y58" s="7">
        <f t="shared" si="18"/>
        <v>0</v>
      </c>
    </row>
    <row r="59" spans="1:25" x14ac:dyDescent="0.2">
      <c r="A59">
        <f t="shared" si="3"/>
        <v>2008</v>
      </c>
      <c r="B59" s="2">
        <f t="shared" si="22"/>
        <v>98667.785027072823</v>
      </c>
      <c r="C59" s="2"/>
      <c r="D59" s="2">
        <f t="shared" si="23"/>
        <v>123956.21006180042</v>
      </c>
      <c r="E59" s="2">
        <f t="shared" si="24"/>
        <v>56728.09785923794</v>
      </c>
      <c r="F59" s="2"/>
      <c r="G59" s="2">
        <f t="shared" si="19"/>
        <v>50328.815048674813</v>
      </c>
      <c r="H59" s="2">
        <f t="shared" si="7"/>
        <v>119797.1835913992</v>
      </c>
      <c r="I59" s="2">
        <f t="shared" si="20"/>
        <v>449478.09158818517</v>
      </c>
      <c r="J59" s="2">
        <f t="shared" si="12"/>
        <v>-213066.44577065879</v>
      </c>
      <c r="K59" s="6">
        <f t="shared" si="21"/>
        <v>-0.3215881103178711</v>
      </c>
      <c r="L59" s="7">
        <f t="shared" si="14"/>
        <v>0.67841188968212895</v>
      </c>
      <c r="O59">
        <f t="shared" si="15"/>
        <v>2008</v>
      </c>
      <c r="P59" s="6">
        <f t="shared" si="8"/>
        <v>0.21951633877958374</v>
      </c>
      <c r="Q59" s="7"/>
      <c r="R59" s="6">
        <f t="shared" si="8"/>
        <v>0.2757780910384614</v>
      </c>
      <c r="S59" s="6">
        <f t="shared" si="8"/>
        <v>0.12620881622682648</v>
      </c>
      <c r="T59" s="7"/>
      <c r="U59" s="6">
        <f t="shared" si="8"/>
        <v>0.11197167557342574</v>
      </c>
      <c r="V59" s="6">
        <f t="shared" si="10"/>
        <v>0.2665250783817027</v>
      </c>
      <c r="W59" s="6">
        <f t="shared" si="16"/>
        <v>1</v>
      </c>
      <c r="X59" s="7">
        <f t="shared" si="17"/>
        <v>0.73347492161829742</v>
      </c>
      <c r="Y59" s="7">
        <f t="shared" si="18"/>
        <v>0</v>
      </c>
    </row>
    <row r="60" spans="1:25" x14ac:dyDescent="0.2">
      <c r="A60">
        <f t="shared" si="3"/>
        <v>2009</v>
      </c>
      <c r="B60" s="2">
        <f t="shared" si="22"/>
        <v>124804.8812807444</v>
      </c>
      <c r="C60" s="2"/>
      <c r="D60" s="2">
        <f t="shared" si="23"/>
        <v>173808.91862445531</v>
      </c>
      <c r="E60" s="2">
        <f t="shared" si="24"/>
        <v>77217.152244037497</v>
      </c>
      <c r="F60" s="2"/>
      <c r="G60" s="2">
        <f t="shared" si="19"/>
        <v>68813.078951601608</v>
      </c>
      <c r="H60" s="2">
        <f t="shared" si="7"/>
        <v>126901.15657836916</v>
      </c>
      <c r="I60" s="2">
        <f t="shared" si="20"/>
        <v>571545.187679208</v>
      </c>
      <c r="J60" s="2">
        <f t="shared" si="12"/>
        <v>122067.09609102283</v>
      </c>
      <c r="K60" s="6">
        <f t="shared" si="21"/>
        <v>0.2715751854772524</v>
      </c>
      <c r="L60" s="7">
        <f t="shared" si="14"/>
        <v>1.2715751854772523</v>
      </c>
      <c r="O60">
        <f t="shared" si="15"/>
        <v>2009</v>
      </c>
      <c r="P60" s="6">
        <f t="shared" si="8"/>
        <v>0.21836397886144712</v>
      </c>
      <c r="Q60" s="7"/>
      <c r="R60" s="6">
        <f t="shared" si="8"/>
        <v>0.30410354661582645</v>
      </c>
      <c r="S60" s="6">
        <f t="shared" si="8"/>
        <v>0.13510244493105117</v>
      </c>
      <c r="T60" s="7"/>
      <c r="U60" s="6">
        <f t="shared" si="8"/>
        <v>0.12039831746466287</v>
      </c>
      <c r="V60" s="6">
        <f t="shared" si="10"/>
        <v>0.22203171212701237</v>
      </c>
      <c r="W60" s="6">
        <f t="shared" si="16"/>
        <v>1</v>
      </c>
      <c r="X60" s="7">
        <f t="shared" si="17"/>
        <v>0.77796828787298766</v>
      </c>
      <c r="Y60" s="7">
        <f t="shared" si="18"/>
        <v>0</v>
      </c>
    </row>
    <row r="61" spans="1:25" x14ac:dyDescent="0.2">
      <c r="A61">
        <f t="shared" si="3"/>
        <v>2010</v>
      </c>
      <c r="B61" s="2">
        <f t="shared" si="22"/>
        <v>143413.28907970339</v>
      </c>
      <c r="C61" s="2"/>
      <c r="D61" s="2">
        <f t="shared" si="23"/>
        <v>218060.66930624162</v>
      </c>
      <c r="E61" s="2">
        <f t="shared" si="24"/>
        <v>98621.746846084701</v>
      </c>
      <c r="F61" s="2"/>
      <c r="G61" s="2">
        <f t="shared" si="19"/>
        <v>76465.0933310197</v>
      </c>
      <c r="H61" s="2">
        <f t="shared" si="7"/>
        <v>135048.21083070047</v>
      </c>
      <c r="I61" s="2">
        <f t="shared" si="20"/>
        <v>671609.00939374988</v>
      </c>
      <c r="J61" s="2">
        <f t="shared" si="12"/>
        <v>100063.82171454187</v>
      </c>
      <c r="K61" s="6">
        <f t="shared" si="21"/>
        <v>0.17507595877214321</v>
      </c>
      <c r="L61" s="7">
        <f t="shared" si="14"/>
        <v>1.1750759587721431</v>
      </c>
      <c r="O61">
        <f t="shared" si="15"/>
        <v>2010</v>
      </c>
      <c r="P61" s="6">
        <f t="shared" si="8"/>
        <v>0.21353687498796384</v>
      </c>
      <c r="Q61" s="7"/>
      <c r="R61" s="6">
        <f t="shared" si="8"/>
        <v>0.32468395488482399</v>
      </c>
      <c r="S61" s="6">
        <f t="shared" si="8"/>
        <v>0.14684399027807696</v>
      </c>
      <c r="T61" s="7"/>
      <c r="U61" s="6">
        <f t="shared" si="8"/>
        <v>0.11385358484104234</v>
      </c>
      <c r="V61" s="6">
        <f t="shared" si="10"/>
        <v>0.20108159500809289</v>
      </c>
      <c r="W61" s="6">
        <f t="shared" si="16"/>
        <v>1</v>
      </c>
      <c r="X61" s="7">
        <f t="shared" si="17"/>
        <v>0.79891840499190714</v>
      </c>
      <c r="Y61" s="7">
        <f t="shared" si="18"/>
        <v>0</v>
      </c>
    </row>
    <row r="62" spans="1:25" x14ac:dyDescent="0.2">
      <c r="A62">
        <f t="shared" si="3"/>
        <v>2011</v>
      </c>
      <c r="B62" s="2">
        <f t="shared" si="22"/>
        <v>146238.53087457357</v>
      </c>
      <c r="C62" s="2"/>
      <c r="D62" s="2">
        <f t="shared" si="23"/>
        <v>213459.58918387993</v>
      </c>
      <c r="E62" s="2">
        <f t="shared" si="24"/>
        <v>95860.337934394323</v>
      </c>
      <c r="F62" s="2"/>
      <c r="G62" s="2">
        <f t="shared" si="19"/>
        <v>65331.775742023237</v>
      </c>
      <c r="H62" s="2">
        <f t="shared" si="7"/>
        <v>145257.85556950144</v>
      </c>
      <c r="I62" s="2">
        <f t="shared" si="20"/>
        <v>666148.08930437255</v>
      </c>
      <c r="J62" s="2">
        <f t="shared" si="12"/>
        <v>-5460.9200893773232</v>
      </c>
      <c r="K62" s="6">
        <f t="shared" si="21"/>
        <v>-8.1311001088368411E-3</v>
      </c>
      <c r="L62" s="7">
        <f t="shared" si="14"/>
        <v>0.99186889989116311</v>
      </c>
      <c r="O62">
        <f t="shared" si="15"/>
        <v>2011</v>
      </c>
      <c r="P62" s="6">
        <f t="shared" si="8"/>
        <v>0.21952856012434663</v>
      </c>
      <c r="Q62" s="7"/>
      <c r="R62" s="6">
        <f t="shared" si="8"/>
        <v>0.32043864211452716</v>
      </c>
      <c r="S62" s="6">
        <f t="shared" si="8"/>
        <v>0.14390244372613425</v>
      </c>
      <c r="T62" s="7"/>
      <c r="U62" s="6">
        <f t="shared" si="8"/>
        <v>9.807395201004955E-2</v>
      </c>
      <c r="V62" s="6">
        <f t="shared" si="10"/>
        <v>0.21805640202494231</v>
      </c>
      <c r="W62" s="6">
        <f t="shared" si="16"/>
        <v>0.99999999999999978</v>
      </c>
      <c r="X62" s="7">
        <f t="shared" si="17"/>
        <v>0.78194359797505752</v>
      </c>
      <c r="Y62" s="7">
        <f t="shared" si="18"/>
        <v>0</v>
      </c>
    </row>
    <row r="63" spans="1:25" x14ac:dyDescent="0.2">
      <c r="A63">
        <f t="shared" si="3"/>
        <v>2012</v>
      </c>
      <c r="B63" s="2">
        <f t="shared" si="22"/>
        <v>169373.4664589311</v>
      </c>
      <c r="C63" s="2"/>
      <c r="D63" s="2">
        <f t="shared" si="23"/>
        <v>247186.20427493294</v>
      </c>
      <c r="E63" s="2">
        <f t="shared" si="24"/>
        <v>113153.54289775906</v>
      </c>
      <c r="F63" s="2"/>
      <c r="G63" s="2">
        <f t="shared" si="19"/>
        <v>77182.959861626252</v>
      </c>
      <c r="H63" s="2">
        <f t="shared" si="7"/>
        <v>151140.79872006623</v>
      </c>
      <c r="I63" s="2">
        <f t="shared" si="20"/>
        <v>758036.97221331566</v>
      </c>
      <c r="J63" s="2">
        <f t="shared" si="12"/>
        <v>91888.882908943109</v>
      </c>
      <c r="K63" s="6">
        <f t="shared" si="21"/>
        <v>0.13794062369059468</v>
      </c>
      <c r="L63" s="7">
        <f t="shared" si="14"/>
        <v>1.1379406236905947</v>
      </c>
      <c r="O63">
        <f t="shared" si="15"/>
        <v>2012</v>
      </c>
      <c r="P63" s="6">
        <f t="shared" si="8"/>
        <v>0.22343694657055396</v>
      </c>
      <c r="Q63" s="7"/>
      <c r="R63" s="6">
        <f t="shared" si="8"/>
        <v>0.32608726663186216</v>
      </c>
      <c r="S63" s="6">
        <f t="shared" si="8"/>
        <v>0.14927179945771438</v>
      </c>
      <c r="T63" s="7"/>
      <c r="U63" s="6">
        <f t="shared" si="8"/>
        <v>0.1018195189560049</v>
      </c>
      <c r="V63" s="6">
        <f t="shared" si="10"/>
        <v>0.19938446838386453</v>
      </c>
      <c r="W63" s="6">
        <f t="shared" si="16"/>
        <v>1</v>
      </c>
      <c r="X63" s="7">
        <f t="shared" si="17"/>
        <v>0.80061553161613541</v>
      </c>
      <c r="Y63" s="7">
        <f t="shared" si="18"/>
        <v>0</v>
      </c>
    </row>
    <row r="64" spans="1:25" x14ac:dyDescent="0.2">
      <c r="A64">
        <f t="shared" si="3"/>
        <v>2013</v>
      </c>
      <c r="B64" s="2">
        <f t="shared" si="22"/>
        <v>223877.84796541513</v>
      </c>
      <c r="C64" s="2"/>
      <c r="D64" s="2">
        <f t="shared" si="23"/>
        <v>333701.37577115948</v>
      </c>
      <c r="E64" s="2">
        <f t="shared" si="24"/>
        <v>155721.905735896</v>
      </c>
      <c r="F64" s="2"/>
      <c r="G64" s="2">
        <f t="shared" si="19"/>
        <v>88791.27702481483</v>
      </c>
      <c r="H64" s="2">
        <f t="shared" si="7"/>
        <v>147725.01666899273</v>
      </c>
      <c r="I64" s="2">
        <f t="shared" si="20"/>
        <v>949817.42316627817</v>
      </c>
      <c r="J64" s="2">
        <f t="shared" si="12"/>
        <v>191780.45095296251</v>
      </c>
      <c r="K64" s="6">
        <f t="shared" si="21"/>
        <v>0.2529961703490558</v>
      </c>
      <c r="L64" s="7">
        <f t="shared" si="14"/>
        <v>1.2529961703490557</v>
      </c>
      <c r="O64">
        <f t="shared" si="15"/>
        <v>2013</v>
      </c>
      <c r="P64" s="6">
        <f t="shared" si="8"/>
        <v>0.23570619205857876</v>
      </c>
      <c r="Q64" s="7"/>
      <c r="R64" s="6">
        <f t="shared" si="8"/>
        <v>0.35133212724056401</v>
      </c>
      <c r="S64" s="6">
        <f t="shared" si="8"/>
        <v>0.1639493042955423</v>
      </c>
      <c r="T64" s="7"/>
      <c r="U64" s="6">
        <f t="shared" si="8"/>
        <v>9.3482468166169591E-2</v>
      </c>
      <c r="V64" s="6">
        <f t="shared" si="10"/>
        <v>0.15552990823914534</v>
      </c>
      <c r="W64" s="6">
        <f t="shared" si="16"/>
        <v>1</v>
      </c>
      <c r="X64" s="7">
        <f t="shared" si="17"/>
        <v>0.84447009176085464</v>
      </c>
      <c r="Y64" s="7">
        <f t="shared" si="18"/>
        <v>0</v>
      </c>
    </row>
    <row r="65" spans="1:19" x14ac:dyDescent="0.2">
      <c r="A65" s="9" t="s">
        <v>78</v>
      </c>
      <c r="B65" s="10">
        <f>B64</f>
        <v>223877.84796541513</v>
      </c>
      <c r="C65" s="10"/>
      <c r="D65" s="10">
        <f>D64</f>
        <v>333701.37577115948</v>
      </c>
      <c r="E65" s="10">
        <f>E64</f>
        <v>155721.905735896</v>
      </c>
      <c r="F65" s="10"/>
      <c r="G65" s="10">
        <f>G64</f>
        <v>88791.27702481483</v>
      </c>
      <c r="H65" s="10">
        <f>H64</f>
        <v>147725.01666899273</v>
      </c>
      <c r="I65" s="52">
        <f>SUM(B64:H64)</f>
        <v>949817.42316627817</v>
      </c>
      <c r="J65" s="10"/>
      <c r="K65" s="10"/>
      <c r="L65" s="74"/>
      <c r="S65" s="7"/>
    </row>
    <row r="66" spans="1:19" x14ac:dyDescent="0.2">
      <c r="A66" s="11" t="s">
        <v>79</v>
      </c>
      <c r="I66" s="51">
        <f>(I65-I39)/I39</f>
        <v>8.498174231662782</v>
      </c>
      <c r="K66" s="6"/>
      <c r="R66" s="7"/>
    </row>
    <row r="67" spans="1:19" x14ac:dyDescent="0.2">
      <c r="A67" s="1" t="s">
        <v>80</v>
      </c>
      <c r="I67" s="29">
        <f>STDEV(L40:L64)</f>
        <v>0.1415665751100835</v>
      </c>
    </row>
    <row r="68" spans="1:19" x14ac:dyDescent="0.2">
      <c r="A68" s="1" t="s">
        <v>81</v>
      </c>
      <c r="I68" s="13">
        <f>((1+I66)^(1/I73))-1</f>
        <v>9.4222410662505585E-2</v>
      </c>
    </row>
    <row r="69" spans="1:19" x14ac:dyDescent="0.2">
      <c r="A69" s="1" t="s">
        <v>82</v>
      </c>
      <c r="I69" s="31">
        <f>J60</f>
        <v>122067.09609102283</v>
      </c>
    </row>
    <row r="70" spans="1:19" x14ac:dyDescent="0.2">
      <c r="A70" s="1" t="s">
        <v>83</v>
      </c>
      <c r="I70" s="32">
        <f>K60</f>
        <v>0.2715751854772524</v>
      </c>
    </row>
    <row r="71" spans="1:19" x14ac:dyDescent="0.2">
      <c r="A71" s="3" t="s">
        <v>84</v>
      </c>
      <c r="I71" s="33">
        <f>I64-I65</f>
        <v>0</v>
      </c>
    </row>
    <row r="72" spans="1:19" x14ac:dyDescent="0.2">
      <c r="A72" s="3" t="s">
        <v>148</v>
      </c>
      <c r="I72" s="33">
        <f>((SUM(J40:J64))-(I65-I39))</f>
        <v>0</v>
      </c>
    </row>
    <row r="73" spans="1:19" x14ac:dyDescent="0.2">
      <c r="A73" s="3" t="s">
        <v>159</v>
      </c>
      <c r="I73" s="3">
        <f>COUNTA(I40:I64)</f>
        <v>25</v>
      </c>
    </row>
    <row r="74" spans="1:19" x14ac:dyDescent="0.2">
      <c r="A74" s="1" t="s">
        <v>105</v>
      </c>
      <c r="B74" s="63"/>
      <c r="C74" s="63"/>
      <c r="D74" s="63"/>
      <c r="E74" s="63"/>
      <c r="G74" s="63"/>
      <c r="H74" s="63"/>
      <c r="I74" s="83">
        <f>(SUM(B62:G62)/I62)</f>
        <v>0.78194359797505764</v>
      </c>
    </row>
    <row r="75" spans="1:19" x14ac:dyDescent="0.2">
      <c r="A75" s="1" t="s">
        <v>106</v>
      </c>
      <c r="B75" s="63"/>
      <c r="C75" s="63"/>
      <c r="D75" s="63"/>
      <c r="E75" s="63"/>
      <c r="G75" s="63"/>
      <c r="H75" s="63"/>
      <c r="I75" s="83">
        <f>(H62/I62)</f>
        <v>0.21805640202494231</v>
      </c>
    </row>
    <row r="76" spans="1:19" x14ac:dyDescent="0.2">
      <c r="A76" s="3" t="s">
        <v>107</v>
      </c>
      <c r="I76" s="3">
        <f>100%-(I74+I75)</f>
        <v>0</v>
      </c>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76"/>
  <sheetViews>
    <sheetView topLeftCell="A58" zoomScaleNormal="100" workbookViewId="0">
      <selection activeCell="A74" sqref="A74:I76"/>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0.6640625" customWidth="1"/>
    <col min="10" max="10" width="10" bestFit="1" customWidth="1"/>
    <col min="39" max="40" width="10.83203125" bestFit="1" customWidth="1"/>
    <col min="41" max="41" width="9.33203125" bestFit="1" customWidth="1"/>
    <col min="42" max="42" width="9.5" bestFit="1" customWidth="1"/>
    <col min="43" max="43" width="10.83203125" bestFit="1" customWidth="1"/>
    <col min="44" max="44" width="9.83203125" bestFit="1" customWidth="1"/>
    <col min="45" max="45" width="10.83203125" bestFit="1" customWidth="1"/>
    <col min="46" max="46" width="11.5" customWidth="1"/>
  </cols>
  <sheetData>
    <row r="1" spans="1:8" x14ac:dyDescent="0.2">
      <c r="A1" s="20" t="s">
        <v>49</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
      <c r="A4" s="17">
        <f>'Non-Rebalanced Portfolio'!A4</f>
        <v>1989</v>
      </c>
      <c r="B4" s="17">
        <f>'Non-Rebalanced Portfolio'!B4</f>
        <v>31.36</v>
      </c>
      <c r="C4" s="17">
        <f>'Non-Rebalanced Portfolio'!C4</f>
        <v>24.096</v>
      </c>
      <c r="D4" s="17"/>
      <c r="E4" s="17"/>
      <c r="F4" s="17">
        <f>'Non-Rebalanced Portfolio'!F4</f>
        <v>25.971</v>
      </c>
      <c r="G4" s="17"/>
      <c r="H4" s="17">
        <f>'Non-Rebalanced Portfolio'!H4</f>
        <v>13.64</v>
      </c>
    </row>
    <row r="5" spans="1:8" x14ac:dyDescent="0.2">
      <c r="A5" s="17">
        <f>'Non-Rebalanced Portfolio'!A5</f>
        <v>1990</v>
      </c>
      <c r="B5" s="17">
        <f>'Non-Rebalanced Portfolio'!B5</f>
        <v>-3.32</v>
      </c>
      <c r="C5" s="17">
        <f>'Non-Rebalanced Portfolio'!C5</f>
        <v>-14.045</v>
      </c>
      <c r="D5" s="17"/>
      <c r="E5" s="17"/>
      <c r="F5" s="17">
        <f>'Non-Rebalanced Portfolio'!F5</f>
        <v>-12.26</v>
      </c>
      <c r="G5" s="17"/>
      <c r="H5" s="17">
        <f>'Non-Rebalanced Portfolio'!H5</f>
        <v>8.65</v>
      </c>
    </row>
    <row r="6" spans="1:8" x14ac:dyDescent="0.2">
      <c r="A6" s="17">
        <f>'Non-Rebalanced Portfolio'!A6</f>
        <v>1991</v>
      </c>
      <c r="B6" s="17">
        <f>'Non-Rebalanced Portfolio'!B6</f>
        <v>30.22</v>
      </c>
      <c r="C6" s="17">
        <f>'Non-Rebalanced Portfolio'!C6</f>
        <v>41.85</v>
      </c>
      <c r="D6" s="17"/>
      <c r="E6" s="17"/>
      <c r="F6" s="17">
        <f>'Non-Rebalanced Portfolio'!F6</f>
        <v>9.9559999999999995</v>
      </c>
      <c r="G6" s="17"/>
      <c r="H6" s="17">
        <f>'Non-Rebalanced Portfolio'!H6</f>
        <v>15.25</v>
      </c>
    </row>
    <row r="7" spans="1:8" x14ac:dyDescent="0.2">
      <c r="A7" s="17">
        <f>'Non-Rebalanced Portfolio'!A7</f>
        <v>1992</v>
      </c>
      <c r="B7" s="17">
        <f>'Non-Rebalanced Portfolio'!B7</f>
        <v>7.42</v>
      </c>
      <c r="C7" s="17">
        <f>'Non-Rebalanced Portfolio'!C7</f>
        <v>12.465999999999999</v>
      </c>
      <c r="D7" s="17"/>
      <c r="E7" s="17"/>
      <c r="F7" s="17">
        <f>'Non-Rebalanced Portfolio'!F7</f>
        <v>-8.7210000000000001</v>
      </c>
      <c r="G7" s="17"/>
      <c r="H7" s="17">
        <f>'Non-Rebalanced Portfolio'!H7</f>
        <v>7.14</v>
      </c>
    </row>
    <row r="8" spans="1:8" x14ac:dyDescent="0.2">
      <c r="A8" s="17">
        <f>'Non-Rebalanced Portfolio'!A8</f>
        <v>1993</v>
      </c>
      <c r="B8" s="17">
        <f>'Non-Rebalanced Portfolio'!B8</f>
        <v>9.89</v>
      </c>
      <c r="C8" s="17">
        <f>'Non-Rebalanced Portfolio'!C8</f>
        <v>14.49</v>
      </c>
      <c r="D8" s="17"/>
      <c r="E8" s="17"/>
      <c r="F8" s="17">
        <f>'Non-Rebalanced Portfolio'!F8</f>
        <v>30.494</v>
      </c>
      <c r="G8" s="17"/>
      <c r="H8" s="17">
        <f>'Non-Rebalanced Portfolio'!H8</f>
        <v>9.68</v>
      </c>
    </row>
    <row r="9" spans="1:8" x14ac:dyDescent="0.2">
      <c r="A9" s="17">
        <f>'Non-Rebalanced Portfolio'!A9</f>
        <v>1994</v>
      </c>
      <c r="B9" s="17">
        <f>'Non-Rebalanced Portfolio'!B9</f>
        <v>1.18</v>
      </c>
      <c r="C9" s="17">
        <f>'Non-Rebalanced Portfolio'!C9</f>
        <v>-1.764</v>
      </c>
      <c r="D9" s="17"/>
      <c r="E9" s="17"/>
      <c r="F9" s="17">
        <f>'Non-Rebalanced Portfolio'!F9</f>
        <v>5.2549999999999999</v>
      </c>
      <c r="G9" s="17"/>
      <c r="H9" s="17">
        <f>'Non-Rebalanced Portfolio'!H9</f>
        <v>-2.66</v>
      </c>
    </row>
    <row r="10" spans="1:8" x14ac:dyDescent="0.2">
      <c r="A10" s="17">
        <f>'Non-Rebalanced Portfolio'!A10</f>
        <v>1995</v>
      </c>
      <c r="B10" s="17">
        <f>'Non-Rebalanced Portfolio'!B10</f>
        <v>37.450000000000003</v>
      </c>
      <c r="C10" s="17">
        <f>'Non-Rebalanced Portfolio'!C10</f>
        <v>33.796999999999997</v>
      </c>
      <c r="D10" s="17"/>
      <c r="E10" s="17"/>
      <c r="F10" s="17">
        <f>'Non-Rebalanced Portfolio'!F10</f>
        <v>9.6460000000000008</v>
      </c>
      <c r="G10" s="17"/>
      <c r="H10" s="17">
        <f>'Non-Rebalanced Portfolio'!H10</f>
        <v>18.18</v>
      </c>
    </row>
    <row r="11" spans="1:8" x14ac:dyDescent="0.2">
      <c r="A11" s="17">
        <f>'Non-Rebalanced Portfolio'!A11</f>
        <v>1996</v>
      </c>
      <c r="B11" s="17">
        <f>'Non-Rebalanced Portfolio'!B11</f>
        <v>22.88</v>
      </c>
      <c r="C11" s="17">
        <f>'Non-Rebalanced Portfolio'!C11</f>
        <v>17.646999999999998</v>
      </c>
      <c r="D11" s="17"/>
      <c r="E11" s="17"/>
      <c r="F11" s="17">
        <f>'Non-Rebalanced Portfolio'!F11</f>
        <v>10.218999999999999</v>
      </c>
      <c r="G11" s="17"/>
      <c r="H11" s="17">
        <f>'Non-Rebalanced Portfolio'!H11</f>
        <v>3.58</v>
      </c>
    </row>
    <row r="12" spans="1:8" x14ac:dyDescent="0.2">
      <c r="A12" s="17">
        <f>'Non-Rebalanced Portfolio'!A12</f>
        <v>1997</v>
      </c>
      <c r="B12" s="17">
        <f>'Non-Rebalanced Portfolio'!B12</f>
        <v>33.19</v>
      </c>
      <c r="C12" s="17">
        <f>'Non-Rebalanced Portfolio'!C12</f>
        <v>26.687000000000001</v>
      </c>
      <c r="D12" s="17"/>
      <c r="E12" s="17"/>
      <c r="F12" s="17"/>
      <c r="G12" s="17">
        <f>'Non-Rebalanced Portfolio'!G12</f>
        <v>-0.77500000000000002</v>
      </c>
      <c r="H12" s="17">
        <f>'Non-Rebalanced Portfolio'!H12</f>
        <v>9.44</v>
      </c>
    </row>
    <row r="13" spans="1:8" x14ac:dyDescent="0.2">
      <c r="A13" s="17">
        <f>'Non-Rebalanced Portfolio'!A13</f>
        <v>1998</v>
      </c>
      <c r="B13" s="17">
        <f>'Non-Rebalanced Portfolio'!B13</f>
        <v>28.66</v>
      </c>
      <c r="C13" s="17">
        <f>'Non-Rebalanced Portfolio'!C13</f>
        <v>8.3529999999999998</v>
      </c>
      <c r="D13" s="17"/>
      <c r="E13" s="17"/>
      <c r="F13" s="17"/>
      <c r="G13" s="18">
        <f>'Non-Rebalanced Portfolio'!G13</f>
        <v>15.603</v>
      </c>
      <c r="H13" s="17">
        <f>'Non-Rebalanced Portfolio'!H13</f>
        <v>8.58</v>
      </c>
    </row>
    <row r="14" spans="1:8" x14ac:dyDescent="0.2">
      <c r="A14" s="17">
        <f>'Non-Rebalanced Portfolio'!A14</f>
        <v>1999</v>
      </c>
      <c r="B14" s="17">
        <f>'Non-Rebalanced Portfolio'!B14</f>
        <v>21.07</v>
      </c>
      <c r="C14" s="17"/>
      <c r="D14" s="18">
        <f>'Non-Rebalanced Portfolio'!D14</f>
        <v>15.319000000000001</v>
      </c>
      <c r="E14" s="18">
        <f>'Non-Rebalanced Portfolio'!E14</f>
        <v>23.132999999999999</v>
      </c>
      <c r="F14" s="17"/>
      <c r="G14" s="17">
        <f>'Non-Rebalanced Portfolio'!G14</f>
        <v>29.919</v>
      </c>
      <c r="H14" s="17">
        <f>'Non-Rebalanced Portfolio'!H14</f>
        <v>-0.76</v>
      </c>
    </row>
    <row r="15" spans="1:8" x14ac:dyDescent="0.2">
      <c r="A15" s="17">
        <f>'Non-Rebalanced Portfolio'!A15</f>
        <v>2000</v>
      </c>
      <c r="B15" s="17">
        <f>'Non-Rebalanced Portfolio'!B15</f>
        <v>-9.06</v>
      </c>
      <c r="C15" s="17"/>
      <c r="D15" s="18">
        <f>'Non-Rebalanced Portfolio'!D15</f>
        <v>18.097999999999999</v>
      </c>
      <c r="E15" s="18">
        <f>'Non-Rebalanced Portfolio'!E15</f>
        <v>-2.665</v>
      </c>
      <c r="F15" s="17"/>
      <c r="G15" s="17">
        <f>'Non-Rebalanced Portfolio'!G15</f>
        <v>-15.614000000000001</v>
      </c>
      <c r="H15" s="17">
        <f>'Non-Rebalanced Portfolio'!H15</f>
        <v>11.39</v>
      </c>
    </row>
    <row r="16" spans="1:8"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row>
    <row r="17" spans="1:8"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row>
    <row r="18" spans="1:8"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row>
    <row r="19" spans="1:8"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row>
    <row r="20" spans="1:8"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row>
    <row r="21" spans="1:8"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row>
    <row r="22" spans="1:8"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row>
    <row r="23" spans="1:8"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row>
    <row r="24" spans="1:8"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row>
    <row r="25" spans="1:8"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row>
    <row r="26" spans="1:8"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row>
    <row r="27" spans="1:8"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row>
    <row r="28" spans="1:8" x14ac:dyDescent="0.2">
      <c r="A28" s="17">
        <f>'Non-Rebalanced Portfolio'!A28</f>
        <v>2013</v>
      </c>
      <c r="B28" s="17">
        <f>'Non-Rebalanced Portfolio'!B28</f>
        <v>32.18</v>
      </c>
      <c r="C28" s="19"/>
      <c r="D28" s="17">
        <f>'Non-Rebalanced Portfolio'!D28</f>
        <v>35</v>
      </c>
      <c r="E28" s="17">
        <f>'Non-Rebalanced Portfolio'!E28</f>
        <v>37.619999999999997</v>
      </c>
      <c r="F28" s="19"/>
      <c r="G28" s="17">
        <f>'Non-Rebalanced Portfolio'!G28</f>
        <v>15.04</v>
      </c>
      <c r="H28" s="17">
        <f>'Non-Rebalanced Portfolio'!H28</f>
        <v>-2.2599999999999998</v>
      </c>
    </row>
    <row r="29" spans="1:8"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
      <c r="A36" s="20" t="s">
        <v>116</v>
      </c>
      <c r="O36" s="20" t="s">
        <v>126</v>
      </c>
      <c r="AB36" s="20" t="s">
        <v>18</v>
      </c>
      <c r="AL36" s="20" t="s">
        <v>21</v>
      </c>
    </row>
    <row r="37" spans="1:47"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88</v>
      </c>
    </row>
    <row r="38" spans="1:47"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72</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87</v>
      </c>
    </row>
    <row r="39" spans="1:47" x14ac:dyDescent="0.2">
      <c r="A39" t="s">
        <v>71</v>
      </c>
      <c r="B39" s="2">
        <f>'Non-Rebalanced Portfolio'!B39</f>
        <v>20000</v>
      </c>
      <c r="C39" s="2">
        <f>'Non-Rebalanced Portfolio'!C39</f>
        <v>30000</v>
      </c>
      <c r="F39" s="2">
        <f>'Non-Rebalanced Portfolio'!F39</f>
        <v>20000</v>
      </c>
      <c r="H39" s="2">
        <f>'Non-Rebalanced Portfolio'!H39</f>
        <v>30000</v>
      </c>
      <c r="I39" s="2">
        <f>SUM(B39:H39)</f>
        <v>100000</v>
      </c>
      <c r="O39" s="21" t="s">
        <v>86</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2">
      <c r="A40">
        <f t="shared" ref="A40:A64" si="4">A4</f>
        <v>1989</v>
      </c>
      <c r="B40" s="2">
        <f>B39*(1+(B4/100))</f>
        <v>26272.000000000004</v>
      </c>
      <c r="C40" s="2">
        <f>C39*(1+(C4/100))</f>
        <v>37228.800000000003</v>
      </c>
      <c r="D40" s="2"/>
      <c r="E40" s="2"/>
      <c r="F40" s="2">
        <f>F39*(1+(F4/100))</f>
        <v>25194.2</v>
      </c>
      <c r="G40" s="2"/>
      <c r="H40" s="2">
        <f>H39*(1+(H4/100))</f>
        <v>34092</v>
      </c>
      <c r="I40" s="2">
        <f>SUM(B40:H40)</f>
        <v>122787</v>
      </c>
      <c r="J40" s="2">
        <f>I40-I39</f>
        <v>22787</v>
      </c>
      <c r="K40" s="6">
        <f>(J40/I39)</f>
        <v>0.22786999999999999</v>
      </c>
      <c r="L40" s="7">
        <f>K40+1</f>
        <v>1.22787</v>
      </c>
      <c r="O40">
        <f>A40</f>
        <v>1989</v>
      </c>
      <c r="P40" s="6">
        <f t="shared" ref="P40:U64" si="5">B40/$I40</f>
        <v>0.21396401899223863</v>
      </c>
      <c r="Q40" s="6">
        <f t="shared" ref="Q40:Q50" si="6">C40/$I40</f>
        <v>0.30319822131007357</v>
      </c>
      <c r="R40" s="7"/>
      <c r="S40" s="7"/>
      <c r="T40" s="6">
        <f t="shared" ref="T40:T48" si="7">F40/$I40</f>
        <v>0.20518621678190688</v>
      </c>
      <c r="U40" s="7"/>
      <c r="V40" s="6">
        <f t="shared" ref="V40:V64" si="8">H40/$I40</f>
        <v>0.27765154291578098</v>
      </c>
      <c r="W40" s="6">
        <f>SUM(P40:V40)</f>
        <v>1</v>
      </c>
      <c r="X40" s="7">
        <f>SUM(P40:U40)</f>
        <v>0.72234845708421902</v>
      </c>
      <c r="Y40" s="7">
        <f>W40-(X40+V40)</f>
        <v>0</v>
      </c>
      <c r="Z40" s="6"/>
      <c r="AB40">
        <f>O40</f>
        <v>1989</v>
      </c>
      <c r="AC40" s="1" t="b">
        <f>AND((B40/$I40)&gt;0.15,(B40/$I40)&lt;0.25)</f>
        <v>1</v>
      </c>
      <c r="AD40" s="1" t="b">
        <f>AND((C40/$I40)&gt;0.25,(C40/$I40)&lt;0.35)</f>
        <v>1</v>
      </c>
      <c r="AG40" s="1" t="b">
        <f t="shared" ref="AG40:AG47" si="9">AND((F40/$I40)&gt;0.15,(F40/$I40)&lt;0.25)</f>
        <v>1</v>
      </c>
      <c r="AI40" s="1" t="b">
        <f>AND((H40/$I40)&gt;0.25,(H40/$I40)&lt;0.35)</f>
        <v>1</v>
      </c>
      <c r="AJ40" s="1" t="b">
        <f>AND((I40/$I40)&gt;0.999,(I40/$I40)&lt;1.01)</f>
        <v>1</v>
      </c>
      <c r="AL40">
        <f>A40</f>
        <v>1989</v>
      </c>
      <c r="AM40" s="2">
        <f>B40</f>
        <v>26272.000000000004</v>
      </c>
      <c r="AN40" s="2">
        <f t="shared" ref="AN40:AN46" si="10">C40</f>
        <v>37228.800000000003</v>
      </c>
      <c r="AO40" s="2"/>
      <c r="AP40" s="2"/>
      <c r="AQ40" s="2">
        <f t="shared" ref="AQ40:AQ46" si="11">F40</f>
        <v>25194.2</v>
      </c>
      <c r="AR40" s="2"/>
      <c r="AS40" s="2">
        <f t="shared" ref="AS40:AS64" si="12">H40</f>
        <v>34092</v>
      </c>
      <c r="AT40" s="2">
        <f>SUM(AM40:AS40)</f>
        <v>122787</v>
      </c>
      <c r="AU40" s="2">
        <f>AT40-I40</f>
        <v>0</v>
      </c>
    </row>
    <row r="41" spans="1:47" x14ac:dyDescent="0.2">
      <c r="A41">
        <f t="shared" si="4"/>
        <v>1990</v>
      </c>
      <c r="B41" s="2">
        <f t="shared" ref="B41:B50" si="13">AM40*(1+(B5/100))</f>
        <v>25399.769600000003</v>
      </c>
      <c r="C41" s="2">
        <f t="shared" ref="C41:C49" si="14">AN40*(1+(C5/100))</f>
        <v>32000.015040000002</v>
      </c>
      <c r="D41" s="2"/>
      <c r="E41" s="2"/>
      <c r="F41" s="2">
        <f t="shared" ref="F41:F47" si="15">AQ40*(1+(F5/100))</f>
        <v>22105.391080000001</v>
      </c>
      <c r="G41" s="2"/>
      <c r="H41" s="2">
        <f t="shared" ref="H41:H64" si="16">AS40*(1+(H5/100))</f>
        <v>37040.957999999999</v>
      </c>
      <c r="I41" s="2">
        <f t="shared" ref="I41:I64" si="17">SUM(B41:H41)</f>
        <v>116546.13372</v>
      </c>
      <c r="J41" s="2">
        <f t="shared" ref="J41:J64" si="18">I41-I40</f>
        <v>-6240.866280000002</v>
      </c>
      <c r="K41" s="6">
        <f t="shared" ref="K41:K64" si="19">(J41/I40)</f>
        <v>-5.0826767328788894E-2</v>
      </c>
      <c r="L41" s="7">
        <f t="shared" ref="L41:L64" si="20">K41+1</f>
        <v>0.94917323267121112</v>
      </c>
      <c r="O41">
        <f t="shared" ref="O41:O64" si="21">A41</f>
        <v>1990</v>
      </c>
      <c r="P41" s="6">
        <f t="shared" si="5"/>
        <v>0.2179374706759685</v>
      </c>
      <c r="Q41" s="6">
        <f t="shared" si="6"/>
        <v>0.27456951181992417</v>
      </c>
      <c r="R41" s="7"/>
      <c r="S41" s="7"/>
      <c r="T41" s="6">
        <f t="shared" si="7"/>
        <v>0.18967073702425691</v>
      </c>
      <c r="U41" s="7"/>
      <c r="V41" s="6">
        <f t="shared" si="8"/>
        <v>0.31782228047985045</v>
      </c>
      <c r="W41" s="6">
        <f t="shared" ref="W41:W64" si="22">SUM(P41:V41)</f>
        <v>1</v>
      </c>
      <c r="X41" s="7">
        <f t="shared" ref="X41:X64" si="23">SUM(P41:U41)</f>
        <v>0.68217771952014949</v>
      </c>
      <c r="Y41" s="7">
        <f t="shared" ref="Y41:Y64" si="24">W41-(X41+V41)</f>
        <v>0</v>
      </c>
      <c r="Z41" s="6"/>
      <c r="AB41">
        <f t="shared" ref="AB41:AB64" si="25">O41</f>
        <v>1990</v>
      </c>
      <c r="AC41" s="1" t="b">
        <f t="shared" ref="AC41:AC64" si="26">AND((B41/$I41)&gt;0.15,(B41/$I41)&lt;0.25)</f>
        <v>1</v>
      </c>
      <c r="AD41" s="1" t="b">
        <f t="shared" ref="AD41:AD49" si="27">AND((C41/$I41)&gt;0.25,(C41/$I41)&lt;0.35)</f>
        <v>1</v>
      </c>
      <c r="AG41" s="1" t="b">
        <f t="shared" si="9"/>
        <v>1</v>
      </c>
      <c r="AI41" s="1" t="b">
        <f t="shared" ref="AI41:AI64" si="28">AND((H41/$I41)&gt;0.25,(H41/$I41)&lt;0.35)</f>
        <v>1</v>
      </c>
      <c r="AJ41" s="1" t="b">
        <f t="shared" ref="AJ41:AJ64" si="29">AND((I41/$I41)&gt;0.999,(I41/$I41)&lt;1.01)</f>
        <v>1</v>
      </c>
      <c r="AL41">
        <f t="shared" ref="AL41:AL64" si="30">A41</f>
        <v>1990</v>
      </c>
      <c r="AM41" s="2">
        <f>B41</f>
        <v>25399.769600000003</v>
      </c>
      <c r="AN41" s="2">
        <f t="shared" si="10"/>
        <v>32000.015040000002</v>
      </c>
      <c r="AO41" s="2"/>
      <c r="AP41" s="2"/>
      <c r="AQ41" s="2">
        <f t="shared" si="11"/>
        <v>22105.391080000001</v>
      </c>
      <c r="AR41" s="2"/>
      <c r="AS41" s="2">
        <f t="shared" si="12"/>
        <v>37040.957999999999</v>
      </c>
      <c r="AT41" s="2">
        <f t="shared" ref="AT41:AT64" si="31">I41</f>
        <v>116546.13372</v>
      </c>
      <c r="AU41" s="2">
        <f t="shared" ref="AU41:AU64" si="32">AT41-I41</f>
        <v>0</v>
      </c>
    </row>
    <row r="42" spans="1:47" x14ac:dyDescent="0.2">
      <c r="A42">
        <f t="shared" si="4"/>
        <v>1991</v>
      </c>
      <c r="B42" s="2">
        <f t="shared" si="13"/>
        <v>33075.579973120002</v>
      </c>
      <c r="C42" s="2">
        <f t="shared" si="14"/>
        <v>45392.021334240009</v>
      </c>
      <c r="D42" s="2"/>
      <c r="E42" s="2"/>
      <c r="F42" s="2">
        <f t="shared" si="15"/>
        <v>24306.203815924804</v>
      </c>
      <c r="G42" s="2"/>
      <c r="H42" s="2">
        <f t="shared" si="16"/>
        <v>42689.704095000001</v>
      </c>
      <c r="I42" s="2">
        <f t="shared" ref="I42:I48" si="33">SUM(B42:H42)</f>
        <v>145463.50921828483</v>
      </c>
      <c r="J42" s="2">
        <f t="shared" si="18"/>
        <v>28917.375498284833</v>
      </c>
      <c r="K42" s="6">
        <f t="shared" si="19"/>
        <v>0.24811956068622842</v>
      </c>
      <c r="L42" s="7">
        <f t="shared" si="20"/>
        <v>1.2481195606862285</v>
      </c>
      <c r="O42">
        <f t="shared" si="21"/>
        <v>1991</v>
      </c>
      <c r="P42" s="6">
        <f t="shared" si="5"/>
        <v>0.22738059978661912</v>
      </c>
      <c r="Q42" s="6">
        <f t="shared" si="6"/>
        <v>0.31205091626191989</v>
      </c>
      <c r="R42" s="7"/>
      <c r="S42" s="7"/>
      <c r="T42" s="6">
        <f t="shared" si="7"/>
        <v>0.16709485386778708</v>
      </c>
      <c r="U42" s="7"/>
      <c r="V42" s="6">
        <f t="shared" si="8"/>
        <v>0.29347363008367383</v>
      </c>
      <c r="W42" s="6">
        <f t="shared" si="22"/>
        <v>1</v>
      </c>
      <c r="X42" s="7">
        <f t="shared" si="23"/>
        <v>0.70652636991632611</v>
      </c>
      <c r="Y42" s="7">
        <f t="shared" si="24"/>
        <v>0</v>
      </c>
      <c r="Z42" s="6"/>
      <c r="AB42">
        <f t="shared" si="25"/>
        <v>1991</v>
      </c>
      <c r="AC42" s="1" t="b">
        <f t="shared" si="26"/>
        <v>1</v>
      </c>
      <c r="AD42" s="1" t="b">
        <f t="shared" si="27"/>
        <v>1</v>
      </c>
      <c r="AG42" s="1" t="b">
        <f t="shared" si="9"/>
        <v>1</v>
      </c>
      <c r="AI42" s="1" t="b">
        <f t="shared" si="28"/>
        <v>1</v>
      </c>
      <c r="AJ42" s="1" t="b">
        <f t="shared" si="29"/>
        <v>1</v>
      </c>
      <c r="AL42">
        <f t="shared" si="30"/>
        <v>1991</v>
      </c>
      <c r="AM42" s="2">
        <f>B42</f>
        <v>33075.579973120002</v>
      </c>
      <c r="AN42" s="2">
        <f t="shared" si="10"/>
        <v>45392.021334240009</v>
      </c>
      <c r="AO42" s="2"/>
      <c r="AP42" s="2"/>
      <c r="AQ42" s="2">
        <f t="shared" si="11"/>
        <v>24306.203815924804</v>
      </c>
      <c r="AR42" s="2"/>
      <c r="AS42" s="2">
        <f t="shared" si="12"/>
        <v>42689.704095000001</v>
      </c>
      <c r="AT42" s="2">
        <f t="shared" si="31"/>
        <v>145463.50921828483</v>
      </c>
      <c r="AU42" s="2">
        <f t="shared" si="32"/>
        <v>0</v>
      </c>
    </row>
    <row r="43" spans="1:47" x14ac:dyDescent="0.2">
      <c r="A43">
        <f t="shared" si="4"/>
        <v>1992</v>
      </c>
      <c r="B43" s="2">
        <f t="shared" si="13"/>
        <v>35529.788007125506</v>
      </c>
      <c r="C43" s="2">
        <f t="shared" si="14"/>
        <v>51050.590713766367</v>
      </c>
      <c r="D43" s="2"/>
      <c r="E43" s="2"/>
      <c r="F43" s="2">
        <f t="shared" si="15"/>
        <v>22186.459781138001</v>
      </c>
      <c r="G43" s="2"/>
      <c r="H43" s="2">
        <f t="shared" si="16"/>
        <v>45737.748967382999</v>
      </c>
      <c r="I43" s="2">
        <f t="shared" si="33"/>
        <v>154504.58746941286</v>
      </c>
      <c r="J43" s="2">
        <f t="shared" si="18"/>
        <v>9041.0782511280267</v>
      </c>
      <c r="K43" s="6">
        <f t="shared" si="19"/>
        <v>6.2153582707542426E-2</v>
      </c>
      <c r="L43" s="7">
        <f t="shared" si="20"/>
        <v>1.0621535827075423</v>
      </c>
      <c r="O43">
        <f t="shared" si="21"/>
        <v>1992</v>
      </c>
      <c r="P43" s="6">
        <f t="shared" si="5"/>
        <v>0.22995943738019628</v>
      </c>
      <c r="Q43" s="6">
        <f t="shared" si="6"/>
        <v>0.33041472457167531</v>
      </c>
      <c r="R43" s="7"/>
      <c r="S43" s="7"/>
      <c r="T43" s="38">
        <f t="shared" si="7"/>
        <v>0.14359741768528547</v>
      </c>
      <c r="U43" s="7"/>
      <c r="V43" s="6">
        <f t="shared" si="8"/>
        <v>0.29602842036284305</v>
      </c>
      <c r="W43" s="6">
        <f t="shared" si="22"/>
        <v>1</v>
      </c>
      <c r="X43" s="7">
        <f t="shared" si="23"/>
        <v>0.70397157963715706</v>
      </c>
      <c r="Y43" s="7">
        <f t="shared" si="24"/>
        <v>0</v>
      </c>
      <c r="Z43" s="6"/>
      <c r="AB43">
        <f t="shared" si="25"/>
        <v>1992</v>
      </c>
      <c r="AC43" s="1" t="b">
        <f t="shared" si="26"/>
        <v>1</v>
      </c>
      <c r="AD43" s="1" t="b">
        <f t="shared" si="27"/>
        <v>1</v>
      </c>
      <c r="AG43" s="39" t="b">
        <f t="shared" si="9"/>
        <v>0</v>
      </c>
      <c r="AI43" s="1" t="b">
        <f t="shared" si="28"/>
        <v>1</v>
      </c>
      <c r="AJ43" s="1" t="b">
        <f t="shared" si="29"/>
        <v>1</v>
      </c>
      <c r="AL43">
        <f t="shared" si="30"/>
        <v>1992</v>
      </c>
      <c r="AM43" s="40">
        <f>AM$39*$AT43</f>
        <v>30900.917493882574</v>
      </c>
      <c r="AN43" s="40">
        <f>AN$39*$AT43</f>
        <v>46351.376240823854</v>
      </c>
      <c r="AO43" s="2"/>
      <c r="AP43" s="2"/>
      <c r="AQ43" s="40">
        <f>AQ$39*$AT43</f>
        <v>30900.917493882574</v>
      </c>
      <c r="AR43" s="2"/>
      <c r="AS43" s="40">
        <f>AS$39*$AT43</f>
        <v>46351.376240823854</v>
      </c>
      <c r="AT43" s="2">
        <f t="shared" si="31"/>
        <v>154504.58746941286</v>
      </c>
      <c r="AU43" s="2">
        <f t="shared" si="32"/>
        <v>0</v>
      </c>
    </row>
    <row r="44" spans="1:47" x14ac:dyDescent="0.2">
      <c r="A44">
        <f t="shared" si="4"/>
        <v>1993</v>
      </c>
      <c r="B44" s="2">
        <f t="shared" si="13"/>
        <v>33957.018234027564</v>
      </c>
      <c r="C44" s="2">
        <f t="shared" si="14"/>
        <v>53067.690658119231</v>
      </c>
      <c r="D44" s="2"/>
      <c r="E44" s="2"/>
      <c r="F44" s="2">
        <f t="shared" si="15"/>
        <v>40323.84327446713</v>
      </c>
      <c r="G44" s="2"/>
      <c r="H44" s="2">
        <f t="shared" si="16"/>
        <v>50838.189460935602</v>
      </c>
      <c r="I44" s="2">
        <f t="shared" si="33"/>
        <v>178186.74162754952</v>
      </c>
      <c r="J44" s="2">
        <f t="shared" si="18"/>
        <v>23682.154158136662</v>
      </c>
      <c r="K44" s="6">
        <f t="shared" si="19"/>
        <v>0.153278</v>
      </c>
      <c r="L44" s="7">
        <f t="shared" si="20"/>
        <v>1.153278</v>
      </c>
      <c r="O44">
        <f t="shared" si="21"/>
        <v>1993</v>
      </c>
      <c r="P44" s="6">
        <f t="shared" si="5"/>
        <v>0.19056983658753573</v>
      </c>
      <c r="Q44" s="6">
        <f t="shared" si="6"/>
        <v>0.29782064688652693</v>
      </c>
      <c r="R44" s="7"/>
      <c r="S44" s="7"/>
      <c r="T44" s="38">
        <f t="shared" si="7"/>
        <v>0.22630103062748103</v>
      </c>
      <c r="U44" s="7"/>
      <c r="V44" s="6">
        <f t="shared" si="8"/>
        <v>0.28530848589845637</v>
      </c>
      <c r="W44" s="6">
        <f t="shared" si="22"/>
        <v>1</v>
      </c>
      <c r="X44" s="7">
        <f t="shared" si="23"/>
        <v>0.71469151410154375</v>
      </c>
      <c r="Y44" s="7">
        <f t="shared" si="24"/>
        <v>0</v>
      </c>
      <c r="Z44" s="6"/>
      <c r="AB44">
        <f t="shared" si="25"/>
        <v>1993</v>
      </c>
      <c r="AC44" s="1" t="b">
        <f t="shared" si="26"/>
        <v>1</v>
      </c>
      <c r="AD44" s="1" t="b">
        <f t="shared" si="27"/>
        <v>1</v>
      </c>
      <c r="AG44" s="1" t="b">
        <f t="shared" si="9"/>
        <v>1</v>
      </c>
      <c r="AI44" s="1" t="b">
        <f t="shared" si="28"/>
        <v>1</v>
      </c>
      <c r="AJ44" s="1" t="b">
        <f t="shared" si="29"/>
        <v>1</v>
      </c>
      <c r="AL44">
        <f t="shared" si="30"/>
        <v>1993</v>
      </c>
      <c r="AM44" s="2">
        <f>B44</f>
        <v>33957.018234027564</v>
      </c>
      <c r="AN44" s="2">
        <f t="shared" ref="AN44" si="34">C44</f>
        <v>53067.690658119231</v>
      </c>
      <c r="AO44" s="2"/>
      <c r="AP44" s="2"/>
      <c r="AQ44" s="2">
        <f t="shared" ref="AQ44" si="35">F44</f>
        <v>40323.84327446713</v>
      </c>
      <c r="AR44" s="2"/>
      <c r="AS44" s="2">
        <f t="shared" ref="AS44" si="36">H44</f>
        <v>50838.189460935602</v>
      </c>
      <c r="AT44" s="2">
        <f t="shared" si="31"/>
        <v>178186.74162754952</v>
      </c>
      <c r="AU44" s="2">
        <f t="shared" si="32"/>
        <v>0</v>
      </c>
    </row>
    <row r="45" spans="1:47" x14ac:dyDescent="0.2">
      <c r="A45">
        <f t="shared" si="4"/>
        <v>1994</v>
      </c>
      <c r="B45" s="2">
        <f t="shared" si="13"/>
        <v>34357.711049189093</v>
      </c>
      <c r="C45" s="2">
        <f t="shared" si="14"/>
        <v>52131.57659491001</v>
      </c>
      <c r="D45" s="2"/>
      <c r="E45" s="2"/>
      <c r="F45" s="2">
        <f t="shared" si="15"/>
        <v>42442.861238540383</v>
      </c>
      <c r="G45" s="2"/>
      <c r="H45" s="2">
        <f t="shared" si="16"/>
        <v>49485.893621274714</v>
      </c>
      <c r="I45" s="2">
        <f t="shared" ref="I45" si="37">SUM(B45:H45)</f>
        <v>178418.04250391418</v>
      </c>
      <c r="J45" s="2">
        <f t="shared" si="18"/>
        <v>231.30087636466487</v>
      </c>
      <c r="K45" s="6">
        <f t="shared" si="19"/>
        <v>1.298081295229787E-3</v>
      </c>
      <c r="L45" s="7">
        <f t="shared" si="20"/>
        <v>1.0012980812952297</v>
      </c>
      <c r="O45">
        <f t="shared" si="21"/>
        <v>1994</v>
      </c>
      <c r="P45" s="6">
        <f t="shared" si="5"/>
        <v>0.19256859097327753</v>
      </c>
      <c r="Q45" s="6">
        <f t="shared" si="6"/>
        <v>0.29218780714829518</v>
      </c>
      <c r="R45" s="7"/>
      <c r="S45" s="7"/>
      <c r="T45" s="6">
        <f t="shared" si="7"/>
        <v>0.23788435655328558</v>
      </c>
      <c r="U45" s="7"/>
      <c r="V45" s="6">
        <f t="shared" si="8"/>
        <v>0.27735924532514183</v>
      </c>
      <c r="W45" s="6">
        <f t="shared" si="22"/>
        <v>1</v>
      </c>
      <c r="X45" s="7">
        <f t="shared" si="23"/>
        <v>0.72264075467485822</v>
      </c>
      <c r="Y45" s="7">
        <f t="shared" si="24"/>
        <v>0</v>
      </c>
      <c r="Z45" s="6"/>
      <c r="AB45">
        <f t="shared" si="25"/>
        <v>1994</v>
      </c>
      <c r="AC45" s="1" t="b">
        <f t="shared" si="26"/>
        <v>1</v>
      </c>
      <c r="AD45" s="1" t="b">
        <f t="shared" si="27"/>
        <v>1</v>
      </c>
      <c r="AG45" s="1" t="b">
        <f t="shared" si="9"/>
        <v>1</v>
      </c>
      <c r="AI45" s="1" t="b">
        <f t="shared" si="28"/>
        <v>1</v>
      </c>
      <c r="AJ45" s="1" t="b">
        <f t="shared" si="29"/>
        <v>1</v>
      </c>
      <c r="AL45">
        <f t="shared" si="30"/>
        <v>1994</v>
      </c>
      <c r="AM45" s="2">
        <f>B45</f>
        <v>34357.711049189093</v>
      </c>
      <c r="AN45" s="2">
        <f t="shared" si="10"/>
        <v>52131.57659491001</v>
      </c>
      <c r="AO45" s="2"/>
      <c r="AP45" s="2"/>
      <c r="AQ45" s="2">
        <f t="shared" si="11"/>
        <v>42442.861238540383</v>
      </c>
      <c r="AR45" s="2"/>
      <c r="AS45" s="2">
        <f t="shared" si="12"/>
        <v>49485.893621274714</v>
      </c>
      <c r="AT45" s="2">
        <f t="shared" si="31"/>
        <v>178418.04250391418</v>
      </c>
      <c r="AU45" s="2">
        <f t="shared" si="32"/>
        <v>0</v>
      </c>
    </row>
    <row r="46" spans="1:47" x14ac:dyDescent="0.2">
      <c r="A46">
        <f t="shared" si="4"/>
        <v>1995</v>
      </c>
      <c r="B46" s="2">
        <f t="shared" si="13"/>
        <v>47224.673837110407</v>
      </c>
      <c r="C46" s="2">
        <f t="shared" si="14"/>
        <v>69750.485536691733</v>
      </c>
      <c r="D46" s="2"/>
      <c r="E46" s="2"/>
      <c r="F46" s="2">
        <f t="shared" si="15"/>
        <v>46536.899633609988</v>
      </c>
      <c r="G46" s="2"/>
      <c r="H46" s="2">
        <f t="shared" si="16"/>
        <v>58482.429081622453</v>
      </c>
      <c r="I46" s="2">
        <f t="shared" si="33"/>
        <v>221994.48808903457</v>
      </c>
      <c r="J46" s="2">
        <f t="shared" si="18"/>
        <v>43576.445585120382</v>
      </c>
      <c r="K46" s="6">
        <f t="shared" si="19"/>
        <v>0.24423788633464236</v>
      </c>
      <c r="L46" s="7">
        <f t="shared" si="20"/>
        <v>1.2442378863346424</v>
      </c>
      <c r="O46">
        <f t="shared" si="21"/>
        <v>1995</v>
      </c>
      <c r="P46" s="6">
        <f t="shared" si="5"/>
        <v>0.2127290377505687</v>
      </c>
      <c r="Q46" s="6">
        <f t="shared" si="6"/>
        <v>0.31419917736298547</v>
      </c>
      <c r="R46" s="7"/>
      <c r="S46" s="7"/>
      <c r="T46" s="6">
        <f t="shared" si="7"/>
        <v>0.20963087883040407</v>
      </c>
      <c r="U46" s="7"/>
      <c r="V46" s="6">
        <f t="shared" si="8"/>
        <v>0.26344090605604181</v>
      </c>
      <c r="W46" s="6">
        <f t="shared" si="22"/>
        <v>1</v>
      </c>
      <c r="X46" s="7">
        <f t="shared" si="23"/>
        <v>0.73655909394395824</v>
      </c>
      <c r="Y46" s="7">
        <f t="shared" si="24"/>
        <v>0</v>
      </c>
      <c r="Z46" s="6"/>
      <c r="AB46">
        <f t="shared" si="25"/>
        <v>1995</v>
      </c>
      <c r="AC46" s="1" t="b">
        <f t="shared" si="26"/>
        <v>1</v>
      </c>
      <c r="AD46" s="1" t="b">
        <f t="shared" si="27"/>
        <v>1</v>
      </c>
      <c r="AG46" s="1" t="b">
        <f t="shared" si="9"/>
        <v>1</v>
      </c>
      <c r="AI46" s="1" t="b">
        <f t="shared" si="28"/>
        <v>1</v>
      </c>
      <c r="AJ46" s="1" t="b">
        <f t="shared" si="29"/>
        <v>1</v>
      </c>
      <c r="AL46">
        <f t="shared" si="30"/>
        <v>1995</v>
      </c>
      <c r="AM46" s="2">
        <f>B46</f>
        <v>47224.673837110407</v>
      </c>
      <c r="AN46" s="2">
        <f t="shared" si="10"/>
        <v>69750.485536691733</v>
      </c>
      <c r="AO46" s="2"/>
      <c r="AP46" s="2"/>
      <c r="AQ46" s="2">
        <f t="shared" si="11"/>
        <v>46536.899633609988</v>
      </c>
      <c r="AR46" s="2"/>
      <c r="AS46" s="2">
        <f t="shared" si="12"/>
        <v>58482.429081622453</v>
      </c>
      <c r="AT46" s="2">
        <f t="shared" si="31"/>
        <v>221994.48808903457</v>
      </c>
      <c r="AU46" s="2">
        <f t="shared" si="32"/>
        <v>0</v>
      </c>
    </row>
    <row r="47" spans="1:47" x14ac:dyDescent="0.2">
      <c r="A47">
        <f t="shared" si="4"/>
        <v>1996</v>
      </c>
      <c r="B47" s="2">
        <f t="shared" si="13"/>
        <v>58029.679211041272</v>
      </c>
      <c r="C47" s="2">
        <f t="shared" si="14"/>
        <v>82059.353719351711</v>
      </c>
      <c r="D47" s="2"/>
      <c r="E47" s="2"/>
      <c r="F47" s="2">
        <f t="shared" si="15"/>
        <v>51292.505407168595</v>
      </c>
      <c r="G47" s="2"/>
      <c r="H47" s="2">
        <f t="shared" si="16"/>
        <v>60576.10004274454</v>
      </c>
      <c r="I47" s="2">
        <f t="shared" si="33"/>
        <v>251957.6383803061</v>
      </c>
      <c r="J47" s="2">
        <f t="shared" si="18"/>
        <v>29963.150291271537</v>
      </c>
      <c r="K47" s="6">
        <f t="shared" si="19"/>
        <v>0.13497249661106145</v>
      </c>
      <c r="L47" s="7">
        <f t="shared" si="20"/>
        <v>1.1349724966110615</v>
      </c>
      <c r="O47">
        <f t="shared" si="21"/>
        <v>1996</v>
      </c>
      <c r="P47" s="6">
        <f t="shared" si="5"/>
        <v>0.23031522117797829</v>
      </c>
      <c r="Q47" s="6">
        <f t="shared" si="6"/>
        <v>0.32568710457386857</v>
      </c>
      <c r="R47" s="7"/>
      <c r="S47" s="7"/>
      <c r="T47" s="6">
        <f t="shared" si="7"/>
        <v>0.20357590957313004</v>
      </c>
      <c r="U47" s="7"/>
      <c r="V47" s="6">
        <f t="shared" si="8"/>
        <v>0.24042176467502316</v>
      </c>
      <c r="W47" s="6">
        <f t="shared" si="22"/>
        <v>1</v>
      </c>
      <c r="X47" s="7">
        <f t="shared" si="23"/>
        <v>0.75957823532497692</v>
      </c>
      <c r="Y47" s="7">
        <f t="shared" si="24"/>
        <v>0</v>
      </c>
      <c r="Z47" s="6"/>
      <c r="AB47">
        <f t="shared" si="25"/>
        <v>1996</v>
      </c>
      <c r="AC47" s="1" t="b">
        <f t="shared" si="26"/>
        <v>1</v>
      </c>
      <c r="AD47" s="1" t="b">
        <f t="shared" si="27"/>
        <v>1</v>
      </c>
      <c r="AG47" s="1" t="b">
        <f t="shared" si="9"/>
        <v>1</v>
      </c>
      <c r="AI47" s="39" t="b">
        <f t="shared" si="28"/>
        <v>0</v>
      </c>
      <c r="AJ47" s="1" t="b">
        <f t="shared" si="29"/>
        <v>1</v>
      </c>
      <c r="AL47">
        <f t="shared" si="30"/>
        <v>1996</v>
      </c>
      <c r="AM47" s="40">
        <f>AM$39*$AT47</f>
        <v>50391.527676061225</v>
      </c>
      <c r="AN47" s="40">
        <f>AN$39*$AT47</f>
        <v>75587.291514091834</v>
      </c>
      <c r="AO47" s="2"/>
      <c r="AP47" s="2"/>
      <c r="AQ47" s="40">
        <f>AQ$39*$AT47</f>
        <v>50391.527676061225</v>
      </c>
      <c r="AR47" s="2"/>
      <c r="AS47" s="40">
        <f>AS$39*$AT47</f>
        <v>75587.291514091834</v>
      </c>
      <c r="AT47" s="2">
        <f t="shared" si="31"/>
        <v>251957.6383803061</v>
      </c>
      <c r="AU47" s="2">
        <f t="shared" si="32"/>
        <v>0</v>
      </c>
    </row>
    <row r="48" spans="1:47" x14ac:dyDescent="0.2">
      <c r="A48">
        <f t="shared" si="4"/>
        <v>1997</v>
      </c>
      <c r="B48" s="2">
        <f t="shared" si="13"/>
        <v>67116.475711745952</v>
      </c>
      <c r="C48" s="2">
        <f t="shared" si="14"/>
        <v>95759.272000457524</v>
      </c>
      <c r="D48" s="2"/>
      <c r="E48" s="2"/>
      <c r="F48" s="2"/>
      <c r="G48" s="2">
        <f>AQ47*(1+(G12/100))</f>
        <v>50000.993336571752</v>
      </c>
      <c r="H48" s="2">
        <f t="shared" si="16"/>
        <v>82722.731833022102</v>
      </c>
      <c r="I48" s="2">
        <f t="shared" si="33"/>
        <v>295599.47288179735</v>
      </c>
      <c r="J48" s="2">
        <f t="shared" si="18"/>
        <v>43641.834501491248</v>
      </c>
      <c r="K48" s="6">
        <f t="shared" si="19"/>
        <v>0.1732110000000002</v>
      </c>
      <c r="L48" s="7">
        <f t="shared" si="20"/>
        <v>1.1732110000000002</v>
      </c>
      <c r="O48">
        <f t="shared" si="21"/>
        <v>1997</v>
      </c>
      <c r="P48" s="6">
        <f t="shared" si="5"/>
        <v>0.22705208185057932</v>
      </c>
      <c r="Q48" s="6">
        <f t="shared" si="6"/>
        <v>0.32394940040623549</v>
      </c>
      <c r="R48" s="7"/>
      <c r="S48" s="7"/>
      <c r="T48" s="6">
        <f t="shared" si="7"/>
        <v>0</v>
      </c>
      <c r="U48" s="6"/>
      <c r="V48" s="38">
        <f t="shared" si="8"/>
        <v>0.27984735908545005</v>
      </c>
      <c r="W48" s="6">
        <f t="shared" si="22"/>
        <v>0.83084884134226478</v>
      </c>
      <c r="X48" s="7">
        <f t="shared" si="23"/>
        <v>0.55100148225681478</v>
      </c>
      <c r="Y48" s="7">
        <f t="shared" si="24"/>
        <v>0</v>
      </c>
      <c r="Z48" s="6"/>
      <c r="AB48">
        <f t="shared" si="25"/>
        <v>1997</v>
      </c>
      <c r="AC48" s="1" t="b">
        <f t="shared" si="26"/>
        <v>1</v>
      </c>
      <c r="AD48" s="1" t="b">
        <f t="shared" si="27"/>
        <v>1</v>
      </c>
      <c r="AG48" s="1"/>
      <c r="AH48" s="1" t="b">
        <f t="shared" ref="AH48:AH56" si="38">AND((G48/$I48)&gt;0.15,(G48/$I48)&lt;0.25)</f>
        <v>1</v>
      </c>
      <c r="AI48" s="1" t="b">
        <f t="shared" si="28"/>
        <v>1</v>
      </c>
      <c r="AJ48" s="1" t="b">
        <f t="shared" si="29"/>
        <v>1</v>
      </c>
      <c r="AL48">
        <f t="shared" si="30"/>
        <v>1997</v>
      </c>
      <c r="AM48" s="40">
        <f>AM$39*$AT48</f>
        <v>59119.894576359475</v>
      </c>
      <c r="AN48" s="40">
        <f>AN$39*$AT48</f>
        <v>88679.841864539208</v>
      </c>
      <c r="AO48" s="2"/>
      <c r="AP48" s="2"/>
      <c r="AQ48" s="2"/>
      <c r="AR48" s="40">
        <f>AR$39*$AT48</f>
        <v>59119.894576359475</v>
      </c>
      <c r="AS48" s="40">
        <f>AS$39*$AT48</f>
        <v>88679.841864539208</v>
      </c>
      <c r="AT48" s="2">
        <f t="shared" si="31"/>
        <v>295599.47288179735</v>
      </c>
      <c r="AU48" s="2">
        <f t="shared" si="32"/>
        <v>0</v>
      </c>
    </row>
    <row r="49" spans="1:47" x14ac:dyDescent="0.2">
      <c r="A49">
        <f t="shared" si="4"/>
        <v>1998</v>
      </c>
      <c r="B49" s="2">
        <f t="shared" si="13"/>
        <v>76063.6563619441</v>
      </c>
      <c r="C49" s="2">
        <f t="shared" si="14"/>
        <v>96087.269055484183</v>
      </c>
      <c r="D49" s="2"/>
      <c r="E49" s="2"/>
      <c r="F49" s="2"/>
      <c r="G49" s="2">
        <f t="shared" ref="G49:G64" si="39">AR48*(1+(G13/100))</f>
        <v>68344.371727108839</v>
      </c>
      <c r="H49" s="2">
        <f t="shared" si="16"/>
        <v>96288.572296516679</v>
      </c>
      <c r="I49" s="2">
        <f t="shared" si="17"/>
        <v>336783.86944105383</v>
      </c>
      <c r="J49" s="2">
        <f t="shared" si="18"/>
        <v>41184.396559256478</v>
      </c>
      <c r="K49" s="6">
        <f t="shared" si="19"/>
        <v>0.1393250000000002</v>
      </c>
      <c r="L49" s="7">
        <f t="shared" si="20"/>
        <v>1.1393250000000001</v>
      </c>
      <c r="O49">
        <f t="shared" si="21"/>
        <v>1998</v>
      </c>
      <c r="P49" s="6">
        <f t="shared" si="5"/>
        <v>0.22585302701160773</v>
      </c>
      <c r="Q49" s="6">
        <f t="shared" si="6"/>
        <v>0.28530840629319992</v>
      </c>
      <c r="R49" s="7"/>
      <c r="S49" s="7"/>
      <c r="T49" s="6"/>
      <c r="U49" s="6">
        <f t="shared" si="5"/>
        <v>0.20293243806639893</v>
      </c>
      <c r="V49" s="6">
        <f t="shared" si="8"/>
        <v>0.28590612862879333</v>
      </c>
      <c r="W49" s="6">
        <f t="shared" si="22"/>
        <v>1</v>
      </c>
      <c r="X49" s="7">
        <f t="shared" si="23"/>
        <v>0.71409387137120661</v>
      </c>
      <c r="Y49" s="7">
        <f t="shared" si="24"/>
        <v>0</v>
      </c>
      <c r="Z49" s="6"/>
      <c r="AB49">
        <f t="shared" si="25"/>
        <v>1998</v>
      </c>
      <c r="AC49" s="1" t="b">
        <f t="shared" si="26"/>
        <v>1</v>
      </c>
      <c r="AD49" s="1" t="b">
        <f t="shared" si="27"/>
        <v>1</v>
      </c>
      <c r="AG49" s="1"/>
      <c r="AH49" s="1" t="b">
        <f t="shared" si="38"/>
        <v>1</v>
      </c>
      <c r="AI49" s="1" t="b">
        <f t="shared" si="28"/>
        <v>1</v>
      </c>
      <c r="AJ49" s="1" t="b">
        <f t="shared" si="29"/>
        <v>1</v>
      </c>
      <c r="AL49">
        <f t="shared" si="30"/>
        <v>1998</v>
      </c>
      <c r="AM49" s="2">
        <f>B49</f>
        <v>76063.6563619441</v>
      </c>
      <c r="AN49" s="2">
        <f t="shared" ref="AN49" si="40">C49</f>
        <v>96087.269055484183</v>
      </c>
      <c r="AO49" s="2"/>
      <c r="AP49" s="2"/>
      <c r="AQ49" s="2"/>
      <c r="AR49" s="2">
        <f t="shared" ref="AR49:AS49" si="41">G49</f>
        <v>68344.371727108839</v>
      </c>
      <c r="AS49" s="2">
        <f t="shared" si="41"/>
        <v>96288.572296516679</v>
      </c>
      <c r="AT49" s="2">
        <f t="shared" si="31"/>
        <v>336783.86944105383</v>
      </c>
      <c r="AU49" s="2">
        <f t="shared" si="32"/>
        <v>0</v>
      </c>
    </row>
    <row r="50" spans="1:47" x14ac:dyDescent="0.2">
      <c r="A50">
        <f t="shared" si="4"/>
        <v>1999</v>
      </c>
      <c r="B50" s="2">
        <f t="shared" si="13"/>
        <v>92090.268757405735</v>
      </c>
      <c r="C50" s="2"/>
      <c r="D50" s="2">
        <f>(AN49*0.67)*(1+(D14/100))</f>
        <v>74240.608127402855</v>
      </c>
      <c r="E50" s="2">
        <f>(AN49*0.33)*(1+(E14/100))</f>
        <v>39043.995212009482</v>
      </c>
      <c r="F50" s="2"/>
      <c r="G50" s="2">
        <f t="shared" si="39"/>
        <v>88792.32430414253</v>
      </c>
      <c r="H50" s="2">
        <f t="shared" si="16"/>
        <v>95556.779147063149</v>
      </c>
      <c r="I50" s="2">
        <f t="shared" si="17"/>
        <v>389723.97554802371</v>
      </c>
      <c r="J50" s="2">
        <f t="shared" si="18"/>
        <v>52940.106106969877</v>
      </c>
      <c r="K50" s="6">
        <f t="shared" si="19"/>
        <v>0.15719311674526565</v>
      </c>
      <c r="L50" s="7">
        <f t="shared" si="20"/>
        <v>1.1571931167452656</v>
      </c>
      <c r="O50">
        <f t="shared" si="21"/>
        <v>1999</v>
      </c>
      <c r="P50" s="38">
        <f t="shared" si="5"/>
        <v>0.23629613402128993</v>
      </c>
      <c r="Q50" s="6">
        <f t="shared" si="6"/>
        <v>0</v>
      </c>
      <c r="R50" s="7"/>
      <c r="S50" s="7"/>
      <c r="T50" s="7"/>
      <c r="U50" s="6">
        <f t="shared" si="5"/>
        <v>0.22783387698764021</v>
      </c>
      <c r="V50" s="6">
        <f t="shared" si="8"/>
        <v>0.24519091752744418</v>
      </c>
      <c r="W50" s="6">
        <f t="shared" si="22"/>
        <v>0.7093209285363743</v>
      </c>
      <c r="X50" s="7">
        <f t="shared" si="23"/>
        <v>0.46413001100893014</v>
      </c>
      <c r="Y50" s="7">
        <f t="shared" si="24"/>
        <v>0</v>
      </c>
      <c r="Z50" s="6"/>
      <c r="AB50">
        <f t="shared" si="25"/>
        <v>1999</v>
      </c>
      <c r="AC50" s="1" t="b">
        <f t="shared" si="26"/>
        <v>1</v>
      </c>
      <c r="AD50" s="1"/>
      <c r="AE50" s="1" t="b">
        <f>AND((D50/$I50)&gt;0.15,(D50/$I50)&lt;0.25)</f>
        <v>1</v>
      </c>
      <c r="AF50" s="1" t="b">
        <f>AND((E50/$I50)&gt;0.05,(E50/$I50)&lt;0.15)</f>
        <v>1</v>
      </c>
      <c r="AH50" s="1" t="b">
        <f t="shared" si="38"/>
        <v>1</v>
      </c>
      <c r="AI50" s="39" t="b">
        <f t="shared" si="28"/>
        <v>0</v>
      </c>
      <c r="AJ50" s="1" t="b">
        <f t="shared" si="29"/>
        <v>1</v>
      </c>
      <c r="AL50">
        <f t="shared" si="30"/>
        <v>1999</v>
      </c>
      <c r="AM50" s="40">
        <f>AM$39*$AT50</f>
        <v>77944.795109604747</v>
      </c>
      <c r="AN50" s="2"/>
      <c r="AO50" s="40">
        <f>AO$39*$AT50</f>
        <v>77944.795109604747</v>
      </c>
      <c r="AP50" s="40">
        <f>AP$39*$AT50</f>
        <v>38972.397554802374</v>
      </c>
      <c r="AQ50" s="2"/>
      <c r="AR50" s="40">
        <f>AR$39*$AT50</f>
        <v>77944.795109604747</v>
      </c>
      <c r="AS50" s="40">
        <f>AS$39*$AT50</f>
        <v>116917.19266440711</v>
      </c>
      <c r="AT50" s="2">
        <f t="shared" si="31"/>
        <v>389723.97554802371</v>
      </c>
      <c r="AU50" s="2">
        <f t="shared" si="32"/>
        <v>0</v>
      </c>
    </row>
    <row r="51" spans="1:47" x14ac:dyDescent="0.2">
      <c r="A51">
        <f t="shared" si="4"/>
        <v>2000</v>
      </c>
      <c r="B51" s="2">
        <f t="shared" ref="B51:B64" si="42">AM50*(1+(B15/100))</f>
        <v>70882.996672674562</v>
      </c>
      <c r="C51" s="2"/>
      <c r="D51" s="2">
        <f t="shared" ref="D51" si="43">AO50*(1+(D15/100))</f>
        <v>92051.244128541002</v>
      </c>
      <c r="E51" s="2">
        <f t="shared" ref="E51" si="44">AP50*(1+(E15/100))</f>
        <v>37933.783159966893</v>
      </c>
      <c r="F51" s="2"/>
      <c r="G51" s="2">
        <f t="shared" si="39"/>
        <v>65774.49480119106</v>
      </c>
      <c r="H51" s="2">
        <f t="shared" si="16"/>
        <v>130234.06090888308</v>
      </c>
      <c r="I51" s="2">
        <f t="shared" si="17"/>
        <v>396876.57967125659</v>
      </c>
      <c r="J51" s="2">
        <f t="shared" si="18"/>
        <v>7152.6041232328862</v>
      </c>
      <c r="K51" s="6">
        <f t="shared" si="19"/>
        <v>1.8353000000000019E-2</v>
      </c>
      <c r="L51" s="7">
        <f t="shared" si="20"/>
        <v>1.0183530000000001</v>
      </c>
      <c r="O51">
        <f t="shared" si="21"/>
        <v>2000</v>
      </c>
      <c r="P51" s="6">
        <f t="shared" si="5"/>
        <v>0.1786021153764952</v>
      </c>
      <c r="Q51" s="7"/>
      <c r="R51" s="6">
        <f t="shared" si="5"/>
        <v>0.23193921950443508</v>
      </c>
      <c r="S51" s="6">
        <f t="shared" si="5"/>
        <v>9.5580805477079173E-2</v>
      </c>
      <c r="T51" s="7"/>
      <c r="U51" s="6">
        <f t="shared" si="5"/>
        <v>0.16573035087047419</v>
      </c>
      <c r="V51" s="6">
        <f t="shared" si="8"/>
        <v>0.32814750877151633</v>
      </c>
      <c r="W51" s="6">
        <f t="shared" si="22"/>
        <v>0.99999999999999989</v>
      </c>
      <c r="X51" s="7">
        <f t="shared" si="23"/>
        <v>0.67185249122848356</v>
      </c>
      <c r="Y51" s="7">
        <f t="shared" si="24"/>
        <v>0</v>
      </c>
      <c r="Z51" s="6"/>
      <c r="AB51">
        <f t="shared" si="25"/>
        <v>2000</v>
      </c>
      <c r="AC51" s="1" t="b">
        <f t="shared" si="26"/>
        <v>1</v>
      </c>
      <c r="AE51" s="1" t="b">
        <f>AND((D51/$I51)&gt;0.15,(D51/$I51)&lt;0.25)</f>
        <v>1</v>
      </c>
      <c r="AF51" s="1" t="b">
        <f>AND((E51/$I51)&gt;0.05,(E51/$I51)&lt;0.15)</f>
        <v>1</v>
      </c>
      <c r="AH51" s="1" t="b">
        <f t="shared" si="38"/>
        <v>1</v>
      </c>
      <c r="AI51" s="1" t="b">
        <f t="shared" si="28"/>
        <v>1</v>
      </c>
      <c r="AJ51" s="1" t="b">
        <f t="shared" si="29"/>
        <v>1</v>
      </c>
      <c r="AL51">
        <f t="shared" si="30"/>
        <v>2000</v>
      </c>
      <c r="AM51" s="26">
        <f>B51</f>
        <v>70882.996672674562</v>
      </c>
      <c r="AN51" s="2"/>
      <c r="AO51" s="26">
        <f t="shared" ref="AO51:AP51" si="45">D51</f>
        <v>92051.244128541002</v>
      </c>
      <c r="AP51" s="26">
        <f t="shared" si="45"/>
        <v>37933.783159966893</v>
      </c>
      <c r="AQ51" s="2"/>
      <c r="AR51" s="2">
        <f t="shared" ref="AR51:AR64" si="46">G51</f>
        <v>65774.49480119106</v>
      </c>
      <c r="AS51" s="2">
        <f t="shared" si="12"/>
        <v>130234.06090888308</v>
      </c>
      <c r="AT51" s="2">
        <f t="shared" si="31"/>
        <v>396876.57967125659</v>
      </c>
      <c r="AU51" s="2">
        <f t="shared" si="32"/>
        <v>0</v>
      </c>
    </row>
    <row r="52" spans="1:47" x14ac:dyDescent="0.2">
      <c r="A52">
        <f t="shared" si="4"/>
        <v>2001</v>
      </c>
      <c r="B52" s="2">
        <f t="shared" si="42"/>
        <v>62362.860472619082</v>
      </c>
      <c r="C52" s="2"/>
      <c r="D52" s="2">
        <f t="shared" ref="D52:D64" si="47">AO51*(1+(D16/100))</f>
        <v>91591.908420339576</v>
      </c>
      <c r="E52" s="2">
        <f t="shared" ref="E52:E64" si="48">AP51*(1+(E16/100))</f>
        <v>39109.730437925864</v>
      </c>
      <c r="F52" s="2"/>
      <c r="G52" s="2">
        <f t="shared" si="39"/>
        <v>52518.960863907028</v>
      </c>
      <c r="H52" s="2">
        <f t="shared" si="16"/>
        <v>141212.79224350193</v>
      </c>
      <c r="I52" s="2">
        <f t="shared" si="17"/>
        <v>386796.25243829348</v>
      </c>
      <c r="J52" s="2">
        <f t="shared" si="18"/>
        <v>-10080.327232963115</v>
      </c>
      <c r="K52" s="6">
        <f t="shared" si="19"/>
        <v>-2.5399148625280223E-2</v>
      </c>
      <c r="L52" s="7">
        <f t="shared" si="20"/>
        <v>0.97460085137471975</v>
      </c>
      <c r="O52">
        <f t="shared" si="21"/>
        <v>2001</v>
      </c>
      <c r="P52" s="6">
        <f t="shared" si="5"/>
        <v>0.1612292261869005</v>
      </c>
      <c r="Q52" s="7"/>
      <c r="R52" s="6">
        <f t="shared" ref="R52:R64" si="49">D52/$I52</f>
        <v>0.23679626636235687</v>
      </c>
      <c r="S52" s="6">
        <f t="shared" ref="S52:S64" si="50">E52/$I52</f>
        <v>0.10111196835901386</v>
      </c>
      <c r="T52" s="7"/>
      <c r="U52" s="6">
        <f t="shared" si="5"/>
        <v>0.1357793942749885</v>
      </c>
      <c r="V52" s="6">
        <f t="shared" si="8"/>
        <v>0.36508314481674026</v>
      </c>
      <c r="W52" s="6">
        <f t="shared" si="22"/>
        <v>1</v>
      </c>
      <c r="X52" s="7">
        <f t="shared" si="23"/>
        <v>0.63491685518325969</v>
      </c>
      <c r="Y52" s="7">
        <f t="shared" si="24"/>
        <v>0</v>
      </c>
      <c r="Z52" s="6"/>
      <c r="AB52">
        <f t="shared" si="25"/>
        <v>2001</v>
      </c>
      <c r="AC52" s="1" t="b">
        <f t="shared" si="26"/>
        <v>1</v>
      </c>
      <c r="AE52" s="1" t="b">
        <f t="shared" ref="AE52:AE64" si="51">AND((D52/$I52)&gt;0.15,(D52/$I52)&lt;0.25)</f>
        <v>1</v>
      </c>
      <c r="AF52" s="1" t="b">
        <f t="shared" ref="AF52:AF64" si="52">AND((E52/$I52)&gt;0.05,(E52/$I52)&lt;0.15)</f>
        <v>1</v>
      </c>
      <c r="AH52" s="39" t="b">
        <f t="shared" si="38"/>
        <v>0</v>
      </c>
      <c r="AI52" s="39" t="b">
        <f t="shared" si="28"/>
        <v>0</v>
      </c>
      <c r="AJ52" s="1" t="b">
        <f t="shared" si="29"/>
        <v>1</v>
      </c>
      <c r="AL52">
        <f t="shared" si="30"/>
        <v>2001</v>
      </c>
      <c r="AM52" s="40">
        <f>AM$39*$AT52</f>
        <v>77359.250487658705</v>
      </c>
      <c r="AN52" s="2"/>
      <c r="AO52" s="40">
        <f t="shared" ref="AO52:AP54" si="53">AO$39*$AT52</f>
        <v>77359.250487658705</v>
      </c>
      <c r="AP52" s="40">
        <f t="shared" si="53"/>
        <v>38679.625243829352</v>
      </c>
      <c r="AQ52" s="2"/>
      <c r="AR52" s="40">
        <f t="shared" ref="AR52:AS54" si="54">AR$39*$AT52</f>
        <v>77359.250487658705</v>
      </c>
      <c r="AS52" s="40">
        <f t="shared" si="54"/>
        <v>116038.87573148803</v>
      </c>
      <c r="AT52" s="2">
        <f t="shared" si="31"/>
        <v>386796.25243829348</v>
      </c>
      <c r="AU52" s="2">
        <f t="shared" si="32"/>
        <v>0</v>
      </c>
    </row>
    <row r="53" spans="1:47" x14ac:dyDescent="0.2">
      <c r="A53">
        <f t="shared" si="4"/>
        <v>2002</v>
      </c>
      <c r="B53" s="2">
        <f t="shared" si="42"/>
        <v>60224.176504642302</v>
      </c>
      <c r="C53" s="2"/>
      <c r="D53" s="2">
        <f t="shared" si="47"/>
        <v>66058.611176421517</v>
      </c>
      <c r="E53" s="2">
        <f t="shared" si="48"/>
        <v>30935.19067750984</v>
      </c>
      <c r="F53" s="2"/>
      <c r="G53" s="2">
        <f t="shared" si="39"/>
        <v>65691.154736605138</v>
      </c>
      <c r="H53" s="2">
        <f t="shared" si="16"/>
        <v>125623.68686690895</v>
      </c>
      <c r="I53" s="2">
        <f t="shared" si="17"/>
        <v>348532.81996208779</v>
      </c>
      <c r="J53" s="2">
        <f t="shared" si="18"/>
        <v>-38263.432476205693</v>
      </c>
      <c r="K53" s="6">
        <f t="shared" si="19"/>
        <v>-9.8923999999999873E-2</v>
      </c>
      <c r="L53" s="7">
        <f t="shared" si="20"/>
        <v>0.9010760000000001</v>
      </c>
      <c r="O53">
        <f t="shared" si="21"/>
        <v>2002</v>
      </c>
      <c r="P53" s="6">
        <f t="shared" si="5"/>
        <v>0.17279341587169117</v>
      </c>
      <c r="Q53" s="7"/>
      <c r="R53" s="6">
        <f t="shared" si="49"/>
        <v>0.18953340228793131</v>
      </c>
      <c r="S53" s="6">
        <f t="shared" si="50"/>
        <v>8.8758328931188929E-2</v>
      </c>
      <c r="T53" s="7"/>
      <c r="U53" s="6">
        <f t="shared" si="5"/>
        <v>0.18847910720072444</v>
      </c>
      <c r="V53" s="6">
        <f t="shared" si="8"/>
        <v>0.36043574570846404</v>
      </c>
      <c r="W53" s="6">
        <f t="shared" si="22"/>
        <v>0.99999999999999989</v>
      </c>
      <c r="X53" s="7">
        <f t="shared" si="23"/>
        <v>0.63956425429153585</v>
      </c>
      <c r="Y53" s="7">
        <f t="shared" si="24"/>
        <v>0</v>
      </c>
      <c r="Z53" s="6"/>
      <c r="AB53">
        <f t="shared" si="25"/>
        <v>2002</v>
      </c>
      <c r="AC53" s="1" t="b">
        <f t="shared" si="26"/>
        <v>1</v>
      </c>
      <c r="AE53" s="1" t="b">
        <f t="shared" si="51"/>
        <v>1</v>
      </c>
      <c r="AF53" s="1" t="b">
        <f t="shared" si="52"/>
        <v>1</v>
      </c>
      <c r="AH53" s="1" t="b">
        <f t="shared" si="38"/>
        <v>1</v>
      </c>
      <c r="AI53" s="39" t="b">
        <f t="shared" si="28"/>
        <v>0</v>
      </c>
      <c r="AJ53" s="1" t="b">
        <f t="shared" si="29"/>
        <v>1</v>
      </c>
      <c r="AL53">
        <f t="shared" si="30"/>
        <v>2002</v>
      </c>
      <c r="AM53" s="40">
        <f>AM$39*$AT53</f>
        <v>69706.563992417563</v>
      </c>
      <c r="AN53" s="2"/>
      <c r="AO53" s="40">
        <f t="shared" si="53"/>
        <v>69706.563992417563</v>
      </c>
      <c r="AP53" s="40">
        <f t="shared" si="53"/>
        <v>34853.281996208781</v>
      </c>
      <c r="AQ53" s="2"/>
      <c r="AR53" s="40">
        <f t="shared" si="54"/>
        <v>69706.563992417563</v>
      </c>
      <c r="AS53" s="40">
        <f t="shared" si="54"/>
        <v>104559.84598862633</v>
      </c>
      <c r="AT53" s="2">
        <f t="shared" si="31"/>
        <v>348532.81996208779</v>
      </c>
      <c r="AU53" s="2">
        <f t="shared" si="32"/>
        <v>0</v>
      </c>
    </row>
    <row r="54" spans="1:47" x14ac:dyDescent="0.2">
      <c r="A54">
        <f t="shared" si="4"/>
        <v>2003</v>
      </c>
      <c r="B54" s="2">
        <f t="shared" si="42"/>
        <v>89572.934730256558</v>
      </c>
      <c r="C54" s="2"/>
      <c r="D54" s="2">
        <f t="shared" si="47"/>
        <v>93505.77907070877</v>
      </c>
      <c r="E54" s="2">
        <f t="shared" si="48"/>
        <v>50756.137505438928</v>
      </c>
      <c r="F54" s="2"/>
      <c r="G54" s="2">
        <f t="shared" si="39"/>
        <v>97826.191906958804</v>
      </c>
      <c r="H54" s="2">
        <f t="shared" si="16"/>
        <v>108710.8718743748</v>
      </c>
      <c r="I54" s="2">
        <f t="shared" si="17"/>
        <v>440371.9150877379</v>
      </c>
      <c r="J54" s="2">
        <f t="shared" si="18"/>
        <v>91839.095125650114</v>
      </c>
      <c r="K54" s="6">
        <f t="shared" si="19"/>
        <v>0.26350200000000018</v>
      </c>
      <c r="L54" s="7">
        <f t="shared" si="20"/>
        <v>1.2635020000000001</v>
      </c>
      <c r="O54">
        <f t="shared" si="21"/>
        <v>2003</v>
      </c>
      <c r="P54" s="38">
        <f t="shared" si="5"/>
        <v>0.20340292298706292</v>
      </c>
      <c r="Q54" s="7"/>
      <c r="R54" s="6">
        <f t="shared" si="49"/>
        <v>0.21233365677300076</v>
      </c>
      <c r="S54" s="6">
        <f t="shared" si="50"/>
        <v>0.1152574352870039</v>
      </c>
      <c r="T54" s="7"/>
      <c r="U54" s="38">
        <f t="shared" si="5"/>
        <v>0.22214448414011215</v>
      </c>
      <c r="V54" s="38">
        <f t="shared" si="8"/>
        <v>0.24686150081282021</v>
      </c>
      <c r="W54" s="6">
        <f t="shared" si="22"/>
        <v>0.99999999999999989</v>
      </c>
      <c r="X54" s="7">
        <f t="shared" si="23"/>
        <v>0.75313849918717968</v>
      </c>
      <c r="Y54" s="7">
        <f t="shared" si="24"/>
        <v>0</v>
      </c>
      <c r="Z54" s="6"/>
      <c r="AB54">
        <f t="shared" si="25"/>
        <v>2003</v>
      </c>
      <c r="AC54" s="1" t="b">
        <f t="shared" si="26"/>
        <v>1</v>
      </c>
      <c r="AE54" s="1" t="b">
        <f t="shared" si="51"/>
        <v>1</v>
      </c>
      <c r="AF54" s="1" t="b">
        <f t="shared" si="52"/>
        <v>1</v>
      </c>
      <c r="AH54" s="1" t="b">
        <f t="shared" si="38"/>
        <v>1</v>
      </c>
      <c r="AI54" s="39" t="b">
        <f t="shared" si="28"/>
        <v>0</v>
      </c>
      <c r="AJ54" s="1" t="b">
        <f t="shared" si="29"/>
        <v>1</v>
      </c>
      <c r="AL54">
        <f t="shared" si="30"/>
        <v>2003</v>
      </c>
      <c r="AM54" s="40">
        <f>AM$39*$AT54</f>
        <v>88074.383017547589</v>
      </c>
      <c r="AN54" s="2"/>
      <c r="AO54" s="40">
        <f t="shared" si="53"/>
        <v>88074.383017547589</v>
      </c>
      <c r="AP54" s="40">
        <f t="shared" si="53"/>
        <v>44037.191508773794</v>
      </c>
      <c r="AQ54" s="2"/>
      <c r="AR54" s="40">
        <f t="shared" si="54"/>
        <v>88074.383017547589</v>
      </c>
      <c r="AS54" s="40">
        <f t="shared" si="54"/>
        <v>132111.57452632138</v>
      </c>
      <c r="AT54" s="2">
        <f t="shared" si="31"/>
        <v>440371.9150877379</v>
      </c>
      <c r="AU54" s="2">
        <f t="shared" si="32"/>
        <v>0</v>
      </c>
    </row>
    <row r="55" spans="1:47" x14ac:dyDescent="0.2">
      <c r="A55">
        <f t="shared" si="4"/>
        <v>2004</v>
      </c>
      <c r="B55" s="2">
        <f t="shared" si="42"/>
        <v>97533.57175363219</v>
      </c>
      <c r="C55" s="2"/>
      <c r="D55" s="2">
        <f t="shared" si="47"/>
        <v>106000.16219310905</v>
      </c>
      <c r="E55" s="2">
        <f t="shared" si="48"/>
        <v>52799.271503274518</v>
      </c>
      <c r="F55" s="2"/>
      <c r="G55" s="2">
        <f t="shared" si="39"/>
        <v>106426.44220691397</v>
      </c>
      <c r="H55" s="2">
        <f t="shared" si="16"/>
        <v>137713.10528623741</v>
      </c>
      <c r="I55" s="2">
        <f t="shared" si="17"/>
        <v>500472.55294316716</v>
      </c>
      <c r="J55" s="2">
        <f t="shared" si="18"/>
        <v>60100.637855429261</v>
      </c>
      <c r="K55" s="6">
        <f t="shared" si="19"/>
        <v>0.13647700000000013</v>
      </c>
      <c r="L55" s="7">
        <f t="shared" si="20"/>
        <v>1.1364770000000002</v>
      </c>
      <c r="O55">
        <f t="shared" si="21"/>
        <v>2004</v>
      </c>
      <c r="P55" s="6">
        <f t="shared" si="5"/>
        <v>0.19488295847606241</v>
      </c>
      <c r="Q55" s="7"/>
      <c r="R55" s="6">
        <f t="shared" si="49"/>
        <v>0.2118001508169545</v>
      </c>
      <c r="S55" s="6">
        <f t="shared" si="50"/>
        <v>0.10549883543617689</v>
      </c>
      <c r="T55" s="7"/>
      <c r="U55" s="6">
        <f t="shared" si="5"/>
        <v>0.21265190584587279</v>
      </c>
      <c r="V55" s="38">
        <f t="shared" si="8"/>
        <v>0.27516614942493334</v>
      </c>
      <c r="W55" s="6">
        <f t="shared" si="22"/>
        <v>0.99999999999999989</v>
      </c>
      <c r="X55" s="7">
        <f t="shared" si="23"/>
        <v>0.72483385057506655</v>
      </c>
      <c r="Y55" s="7">
        <f t="shared" si="24"/>
        <v>0</v>
      </c>
      <c r="Z55" s="6"/>
      <c r="AB55">
        <f t="shared" si="25"/>
        <v>2004</v>
      </c>
      <c r="AC55" s="1" t="b">
        <f t="shared" si="26"/>
        <v>1</v>
      </c>
      <c r="AE55" s="1" t="b">
        <f t="shared" si="51"/>
        <v>1</v>
      </c>
      <c r="AF55" s="1" t="b">
        <f t="shared" si="52"/>
        <v>1</v>
      </c>
      <c r="AH55" s="1" t="b">
        <f t="shared" si="38"/>
        <v>1</v>
      </c>
      <c r="AI55" s="1" t="b">
        <f t="shared" si="28"/>
        <v>1</v>
      </c>
      <c r="AJ55" s="1" t="b">
        <f t="shared" si="29"/>
        <v>1</v>
      </c>
      <c r="AL55">
        <f t="shared" si="30"/>
        <v>2004</v>
      </c>
      <c r="AM55" s="2">
        <f>B55</f>
        <v>97533.57175363219</v>
      </c>
      <c r="AN55" s="2"/>
      <c r="AO55" s="26">
        <f>D55</f>
        <v>106000.16219310905</v>
      </c>
      <c r="AP55" s="26">
        <f>E55</f>
        <v>52799.271503274518</v>
      </c>
      <c r="AQ55" s="2"/>
      <c r="AR55" s="2">
        <f t="shared" ref="AR55" si="55">G55</f>
        <v>106426.44220691397</v>
      </c>
      <c r="AS55" s="2">
        <f t="shared" ref="AS55" si="56">H55</f>
        <v>137713.10528623741</v>
      </c>
      <c r="AT55" s="2">
        <f t="shared" si="31"/>
        <v>500472.55294316716</v>
      </c>
      <c r="AU55" s="2">
        <f t="shared" si="32"/>
        <v>0</v>
      </c>
    </row>
    <row r="56" spans="1:47" x14ac:dyDescent="0.2">
      <c r="A56">
        <f t="shared" si="4"/>
        <v>2005</v>
      </c>
      <c r="B56" s="2">
        <f t="shared" si="42"/>
        <v>102185.92312628045</v>
      </c>
      <c r="C56" s="2"/>
      <c r="D56" s="2">
        <f t="shared" si="47"/>
        <v>120767.04478823107</v>
      </c>
      <c r="E56" s="2">
        <f t="shared" si="48"/>
        <v>56686.881864060626</v>
      </c>
      <c r="F56" s="2"/>
      <c r="G56" s="2">
        <f t="shared" si="39"/>
        <v>122998.10352295254</v>
      </c>
      <c r="H56" s="2">
        <f t="shared" si="16"/>
        <v>141018.21981310711</v>
      </c>
      <c r="I56" s="2">
        <f t="shared" si="17"/>
        <v>543656.17311463179</v>
      </c>
      <c r="J56" s="2">
        <f>I56-I55</f>
        <v>43183.62017146463</v>
      </c>
      <c r="K56" s="6">
        <f>(J56/I55)</f>
        <v>8.6285691228243019E-2</v>
      </c>
      <c r="L56" s="7">
        <f t="shared" si="20"/>
        <v>1.086285691228243</v>
      </c>
      <c r="O56">
        <f t="shared" si="21"/>
        <v>2005</v>
      </c>
      <c r="P56" s="6">
        <f t="shared" si="5"/>
        <v>0.18796056805692557</v>
      </c>
      <c r="Q56" s="7"/>
      <c r="R56" s="6">
        <f t="shared" si="49"/>
        <v>0.22213864343037068</v>
      </c>
      <c r="S56" s="6">
        <f t="shared" si="50"/>
        <v>0.10426972904455184</v>
      </c>
      <c r="T56" s="7"/>
      <c r="U56" s="6">
        <f t="shared" si="5"/>
        <v>0.22624244808679467</v>
      </c>
      <c r="V56" s="6">
        <f t="shared" si="8"/>
        <v>0.25938861138135727</v>
      </c>
      <c r="W56" s="6">
        <f t="shared" si="22"/>
        <v>1</v>
      </c>
      <c r="X56" s="7">
        <f t="shared" si="23"/>
        <v>0.74061138861864273</v>
      </c>
      <c r="Y56" s="7">
        <f t="shared" si="24"/>
        <v>0</v>
      </c>
      <c r="Z56" s="6"/>
      <c r="AB56">
        <f t="shared" si="25"/>
        <v>2005</v>
      </c>
      <c r="AC56" s="1" t="b">
        <f t="shared" si="26"/>
        <v>1</v>
      </c>
      <c r="AE56" s="1" t="b">
        <f t="shared" si="51"/>
        <v>1</v>
      </c>
      <c r="AF56" s="1" t="b">
        <f t="shared" si="52"/>
        <v>1</v>
      </c>
      <c r="AH56" s="1" t="b">
        <f t="shared" si="38"/>
        <v>1</v>
      </c>
      <c r="AI56" s="1" t="b">
        <f t="shared" si="28"/>
        <v>1</v>
      </c>
      <c r="AJ56" s="1" t="b">
        <f t="shared" si="29"/>
        <v>1</v>
      </c>
      <c r="AL56">
        <f t="shared" si="30"/>
        <v>2005</v>
      </c>
      <c r="AM56" s="2">
        <f>B56</f>
        <v>102185.92312628045</v>
      </c>
      <c r="AN56" s="2"/>
      <c r="AO56" s="26">
        <f>D56</f>
        <v>120767.04478823107</v>
      </c>
      <c r="AP56" s="26">
        <f>E56</f>
        <v>56686.881864060626</v>
      </c>
      <c r="AQ56" s="2"/>
      <c r="AR56" s="2">
        <f t="shared" si="46"/>
        <v>122998.10352295254</v>
      </c>
      <c r="AS56" s="2">
        <f t="shared" si="12"/>
        <v>141018.21981310711</v>
      </c>
      <c r="AT56" s="2">
        <f t="shared" si="31"/>
        <v>543656.17311463179</v>
      </c>
      <c r="AU56" s="2">
        <f t="shared" si="32"/>
        <v>0</v>
      </c>
    </row>
    <row r="57" spans="1:47" x14ac:dyDescent="0.2">
      <c r="A57">
        <f t="shared" si="4"/>
        <v>2006</v>
      </c>
      <c r="B57" s="2">
        <f t="shared" si="42"/>
        <v>118167.80150323073</v>
      </c>
      <c r="C57" s="2"/>
      <c r="D57" s="2">
        <f t="shared" si="47"/>
        <v>137187.73986808685</v>
      </c>
      <c r="E57" s="2">
        <f t="shared" si="48"/>
        <v>65561.780088697953</v>
      </c>
      <c r="F57" s="2"/>
      <c r="G57" s="2">
        <f t="shared" si="39"/>
        <v>155761.10835836141</v>
      </c>
      <c r="H57" s="2">
        <f t="shared" si="16"/>
        <v>147039.69779912676</v>
      </c>
      <c r="I57" s="2">
        <f t="shared" si="17"/>
        <v>623718.12761750375</v>
      </c>
      <c r="J57" s="2">
        <f t="shared" si="18"/>
        <v>80061.954502871959</v>
      </c>
      <c r="K57" s="6">
        <f t="shared" si="19"/>
        <v>0.14726578757340922</v>
      </c>
      <c r="L57" s="7">
        <f t="shared" si="20"/>
        <v>1.1472657875734091</v>
      </c>
      <c r="O57">
        <f t="shared" si="21"/>
        <v>2006</v>
      </c>
      <c r="P57" s="6">
        <f t="shared" si="5"/>
        <v>0.18945705803775731</v>
      </c>
      <c r="Q57" s="7"/>
      <c r="R57" s="6">
        <f t="shared" si="49"/>
        <v>0.21995150340125671</v>
      </c>
      <c r="S57" s="6">
        <f t="shared" si="50"/>
        <v>0.10511443741283055</v>
      </c>
      <c r="T57" s="7"/>
      <c r="U57" s="6">
        <f t="shared" si="5"/>
        <v>0.24972996849288656</v>
      </c>
      <c r="V57" s="6">
        <f t="shared" si="8"/>
        <v>0.23574703265526878</v>
      </c>
      <c r="W57" s="6">
        <f t="shared" si="22"/>
        <v>0.99999999999999989</v>
      </c>
      <c r="X57" s="7">
        <f t="shared" si="23"/>
        <v>0.76425296734473114</v>
      </c>
      <c r="Y57" s="7">
        <f t="shared" si="24"/>
        <v>0</v>
      </c>
      <c r="Z57" s="6"/>
      <c r="AB57">
        <f t="shared" si="25"/>
        <v>2006</v>
      </c>
      <c r="AC57" s="1" t="b">
        <f t="shared" si="26"/>
        <v>1</v>
      </c>
      <c r="AE57" s="1" t="b">
        <f t="shared" si="51"/>
        <v>1</v>
      </c>
      <c r="AF57" s="1" t="b">
        <f t="shared" si="52"/>
        <v>1</v>
      </c>
      <c r="AH57" s="1" t="b">
        <f t="shared" ref="AH57:AH64" si="57">AND((G57/$I57)&gt;0.15,(G57/$I57)&lt;0.25)</f>
        <v>1</v>
      </c>
      <c r="AI57" s="39" t="b">
        <f t="shared" si="28"/>
        <v>0</v>
      </c>
      <c r="AJ57" s="1" t="b">
        <f t="shared" si="29"/>
        <v>1</v>
      </c>
      <c r="AL57">
        <f t="shared" si="30"/>
        <v>2006</v>
      </c>
      <c r="AM57" s="40">
        <f>AM$39*$AT57</f>
        <v>124743.62552350076</v>
      </c>
      <c r="AN57" s="2"/>
      <c r="AO57" s="40">
        <f>AO$39*$AT57</f>
        <v>124743.62552350076</v>
      </c>
      <c r="AP57" s="40">
        <f>AP$39*$AT57</f>
        <v>62371.812761750378</v>
      </c>
      <c r="AQ57" s="2"/>
      <c r="AR57" s="40">
        <f>AR$39*$AT57</f>
        <v>124743.62552350076</v>
      </c>
      <c r="AS57" s="40">
        <f>AS$39*$AT57</f>
        <v>187115.43828525112</v>
      </c>
      <c r="AT57" s="2">
        <f t="shared" si="31"/>
        <v>623718.12761750375</v>
      </c>
      <c r="AU57" s="2">
        <f t="shared" si="32"/>
        <v>0</v>
      </c>
    </row>
    <row r="58" spans="1:47" x14ac:dyDescent="0.2">
      <c r="A58">
        <f t="shared" si="4"/>
        <v>2007</v>
      </c>
      <c r="B58" s="2">
        <f t="shared" si="42"/>
        <v>131467.30693921747</v>
      </c>
      <c r="C58" s="2"/>
      <c r="D58" s="2">
        <f t="shared" si="47"/>
        <v>132254.43921627075</v>
      </c>
      <c r="E58" s="2">
        <f t="shared" si="48"/>
        <v>63092.830917276216</v>
      </c>
      <c r="F58" s="2"/>
      <c r="G58" s="2">
        <f t="shared" si="39"/>
        <v>144106.33107725854</v>
      </c>
      <c r="H58" s="2">
        <f t="shared" si="16"/>
        <v>200063.82661459048</v>
      </c>
      <c r="I58" s="2">
        <f t="shared" si="17"/>
        <v>670984.73476461344</v>
      </c>
      <c r="J58" s="2">
        <f t="shared" si="18"/>
        <v>47266.607147109695</v>
      </c>
      <c r="K58" s="6">
        <f t="shared" si="19"/>
        <v>7.5782000000000044E-2</v>
      </c>
      <c r="L58" s="7">
        <f t="shared" si="20"/>
        <v>1.075782</v>
      </c>
      <c r="O58">
        <f t="shared" si="21"/>
        <v>2007</v>
      </c>
      <c r="P58" s="6">
        <f t="shared" si="5"/>
        <v>0.19593188954639512</v>
      </c>
      <c r="Q58" s="7"/>
      <c r="R58" s="6">
        <f t="shared" si="49"/>
        <v>0.19710498967262888</v>
      </c>
      <c r="S58" s="6">
        <f t="shared" si="50"/>
        <v>9.4030203145246904E-2</v>
      </c>
      <c r="T58" s="7"/>
      <c r="U58" s="6">
        <f t="shared" si="5"/>
        <v>0.21476841962405022</v>
      </c>
      <c r="V58" s="38">
        <f t="shared" si="8"/>
        <v>0.29816449801167888</v>
      </c>
      <c r="W58" s="6">
        <f t="shared" si="22"/>
        <v>1</v>
      </c>
      <c r="X58" s="7">
        <f t="shared" si="23"/>
        <v>0.70183550198832112</v>
      </c>
      <c r="Y58" s="7">
        <f t="shared" si="24"/>
        <v>0</v>
      </c>
      <c r="Z58" s="6"/>
      <c r="AB58">
        <f t="shared" si="25"/>
        <v>2007</v>
      </c>
      <c r="AC58" s="1" t="b">
        <f t="shared" si="26"/>
        <v>1</v>
      </c>
      <c r="AE58" s="1" t="b">
        <f t="shared" si="51"/>
        <v>1</v>
      </c>
      <c r="AF58" s="1" t="b">
        <f t="shared" si="52"/>
        <v>1</v>
      </c>
      <c r="AH58" s="1" t="b">
        <f t="shared" si="57"/>
        <v>1</v>
      </c>
      <c r="AI58" s="1" t="b">
        <f t="shared" si="28"/>
        <v>1</v>
      </c>
      <c r="AJ58" s="1" t="b">
        <f t="shared" si="29"/>
        <v>1</v>
      </c>
      <c r="AL58">
        <f t="shared" si="30"/>
        <v>2007</v>
      </c>
      <c r="AM58" s="2">
        <f>B58</f>
        <v>131467.30693921747</v>
      </c>
      <c r="AN58" s="2"/>
      <c r="AO58" s="26">
        <f>D58</f>
        <v>132254.43921627075</v>
      </c>
      <c r="AP58" s="26">
        <f>E58</f>
        <v>63092.830917276216</v>
      </c>
      <c r="AQ58" s="2"/>
      <c r="AR58" s="2">
        <f t="shared" ref="AR58" si="58">G58</f>
        <v>144106.33107725854</v>
      </c>
      <c r="AS58" s="2">
        <f t="shared" ref="AS58" si="59">H58</f>
        <v>200063.82661459048</v>
      </c>
      <c r="AT58" s="2">
        <f t="shared" si="31"/>
        <v>670984.73476461344</v>
      </c>
      <c r="AU58" s="2">
        <f t="shared" si="32"/>
        <v>0</v>
      </c>
    </row>
    <row r="59" spans="1:47" x14ac:dyDescent="0.2">
      <c r="A59">
        <f t="shared" si="4"/>
        <v>2008</v>
      </c>
      <c r="B59" s="2">
        <f t="shared" si="42"/>
        <v>82798.109910319152</v>
      </c>
      <c r="C59" s="2"/>
      <c r="D59" s="2">
        <f t="shared" si="47"/>
        <v>76940.342558457676</v>
      </c>
      <c r="E59" s="2">
        <f t="shared" si="48"/>
        <v>40335.246805414681</v>
      </c>
      <c r="F59" s="2"/>
      <c r="G59" s="2">
        <f t="shared" si="39"/>
        <v>80553.998008876748</v>
      </c>
      <c r="H59" s="2">
        <f t="shared" si="16"/>
        <v>210167.04985862729</v>
      </c>
      <c r="I59" s="2">
        <f t="shared" si="17"/>
        <v>490794.74714169558</v>
      </c>
      <c r="J59" s="2">
        <f t="shared" si="18"/>
        <v>-180189.98762291786</v>
      </c>
      <c r="K59" s="6">
        <f t="shared" si="19"/>
        <v>-0.26854558425405889</v>
      </c>
      <c r="L59" s="7">
        <f t="shared" si="20"/>
        <v>0.73145441574594106</v>
      </c>
      <c r="O59">
        <f t="shared" si="21"/>
        <v>2008</v>
      </c>
      <c r="P59" s="6">
        <f t="shared" si="5"/>
        <v>0.16870211099960042</v>
      </c>
      <c r="Q59" s="7"/>
      <c r="R59" s="6">
        <f t="shared" si="49"/>
        <v>0.15676684195693827</v>
      </c>
      <c r="S59" s="6">
        <f t="shared" si="50"/>
        <v>8.2183534033972938E-2</v>
      </c>
      <c r="T59" s="7"/>
      <c r="U59" s="6">
        <f t="shared" si="5"/>
        <v>0.16412970692536832</v>
      </c>
      <c r="V59" s="6">
        <f t="shared" si="8"/>
        <v>0.42821780608411997</v>
      </c>
      <c r="W59" s="6">
        <f t="shared" si="22"/>
        <v>0.99999999999999989</v>
      </c>
      <c r="X59" s="7">
        <f t="shared" si="23"/>
        <v>0.57178219391587992</v>
      </c>
      <c r="Y59" s="7">
        <f t="shared" si="24"/>
        <v>0</v>
      </c>
      <c r="Z59" s="6"/>
      <c r="AA59" s="7"/>
      <c r="AB59">
        <f t="shared" si="25"/>
        <v>2008</v>
      </c>
      <c r="AC59" s="1" t="b">
        <f t="shared" si="26"/>
        <v>1</v>
      </c>
      <c r="AE59" s="1" t="b">
        <f t="shared" si="51"/>
        <v>1</v>
      </c>
      <c r="AF59" s="1" t="b">
        <f t="shared" si="52"/>
        <v>1</v>
      </c>
      <c r="AH59" s="1" t="b">
        <f t="shared" si="57"/>
        <v>1</v>
      </c>
      <c r="AI59" s="39" t="b">
        <f t="shared" si="28"/>
        <v>0</v>
      </c>
      <c r="AJ59" s="1" t="b">
        <f t="shared" si="29"/>
        <v>1</v>
      </c>
      <c r="AL59">
        <f t="shared" si="30"/>
        <v>2008</v>
      </c>
      <c r="AM59" s="40">
        <f>AM$39*$AT59</f>
        <v>98158.949428339125</v>
      </c>
      <c r="AN59" s="2"/>
      <c r="AO59" s="40">
        <f>AO$39*$AT59</f>
        <v>98158.949428339125</v>
      </c>
      <c r="AP59" s="40">
        <f>AP$39*$AT59</f>
        <v>49079.474714169563</v>
      </c>
      <c r="AQ59" s="2"/>
      <c r="AR59" s="40">
        <f>AR$39*$AT59</f>
        <v>98158.949428339125</v>
      </c>
      <c r="AS59" s="40">
        <f>AS$39*$AT59</f>
        <v>147238.42414250868</v>
      </c>
      <c r="AT59" s="2">
        <f t="shared" si="31"/>
        <v>490794.74714169558</v>
      </c>
      <c r="AU59" s="2">
        <f t="shared" si="32"/>
        <v>0</v>
      </c>
    </row>
    <row r="60" spans="1:47" x14ac:dyDescent="0.2">
      <c r="A60">
        <f t="shared" si="4"/>
        <v>2009</v>
      </c>
      <c r="B60" s="2">
        <f t="shared" si="42"/>
        <v>124161.25513190615</v>
      </c>
      <c r="C60" s="2"/>
      <c r="D60" s="2">
        <f t="shared" si="47"/>
        <v>137636.51570942855</v>
      </c>
      <c r="E60" s="2">
        <f t="shared" si="48"/>
        <v>66805.999391433332</v>
      </c>
      <c r="F60" s="2"/>
      <c r="G60" s="2">
        <f t="shared" si="39"/>
        <v>134209.78678488525</v>
      </c>
      <c r="H60" s="2">
        <f t="shared" si="16"/>
        <v>155969.66269415943</v>
      </c>
      <c r="I60" s="2">
        <f t="shared" si="17"/>
        <v>618783.21971181268</v>
      </c>
      <c r="J60" s="2">
        <f t="shared" si="18"/>
        <v>127988.4725701171</v>
      </c>
      <c r="K60" s="6">
        <f t="shared" si="19"/>
        <v>0.26077800000000001</v>
      </c>
      <c r="L60" s="7">
        <f t="shared" si="20"/>
        <v>1.260778</v>
      </c>
      <c r="O60">
        <f t="shared" si="21"/>
        <v>2009</v>
      </c>
      <c r="P60" s="6">
        <f t="shared" si="5"/>
        <v>0.20065388196811809</v>
      </c>
      <c r="Q60" s="7"/>
      <c r="R60" s="6">
        <f t="shared" si="49"/>
        <v>0.22243091170689847</v>
      </c>
      <c r="S60" s="6">
        <f t="shared" si="50"/>
        <v>0.10796349555591866</v>
      </c>
      <c r="T60" s="7"/>
      <c r="U60" s="6">
        <f t="shared" si="5"/>
        <v>0.21689306126851837</v>
      </c>
      <c r="V60" s="38">
        <f t="shared" si="8"/>
        <v>0.25205864950054646</v>
      </c>
      <c r="W60" s="6">
        <f t="shared" si="22"/>
        <v>1</v>
      </c>
      <c r="X60" s="7">
        <f t="shared" si="23"/>
        <v>0.74794135049945354</v>
      </c>
      <c r="Y60" s="7">
        <f t="shared" si="24"/>
        <v>0</v>
      </c>
      <c r="Z60" s="6"/>
      <c r="AB60">
        <f t="shared" si="25"/>
        <v>2009</v>
      </c>
      <c r="AC60" s="1" t="b">
        <f t="shared" si="26"/>
        <v>1</v>
      </c>
      <c r="AE60" s="1" t="b">
        <f t="shared" si="51"/>
        <v>1</v>
      </c>
      <c r="AF60" s="1" t="b">
        <f t="shared" si="52"/>
        <v>1</v>
      </c>
      <c r="AH60" s="1" t="b">
        <f t="shared" si="57"/>
        <v>1</v>
      </c>
      <c r="AI60" s="1" t="b">
        <f t="shared" si="28"/>
        <v>1</v>
      </c>
      <c r="AJ60" s="1" t="b">
        <f t="shared" si="29"/>
        <v>1</v>
      </c>
      <c r="AL60">
        <f t="shared" si="30"/>
        <v>2009</v>
      </c>
      <c r="AM60" s="2">
        <f>B60</f>
        <v>124161.25513190615</v>
      </c>
      <c r="AN60" s="2"/>
      <c r="AO60" s="26">
        <f>D60</f>
        <v>137636.51570942855</v>
      </c>
      <c r="AP60" s="26">
        <f>E60</f>
        <v>66805.999391433332</v>
      </c>
      <c r="AQ60" s="2"/>
      <c r="AR60" s="2">
        <f t="shared" ref="AR60" si="60">G60</f>
        <v>134209.78678488525</v>
      </c>
      <c r="AS60" s="2">
        <f t="shared" ref="AS60" si="61">H60</f>
        <v>155969.66269415943</v>
      </c>
      <c r="AT60" s="2">
        <f t="shared" si="31"/>
        <v>618783.21971181268</v>
      </c>
      <c r="AU60" s="2">
        <f t="shared" si="32"/>
        <v>0</v>
      </c>
    </row>
    <row r="61" spans="1:47" x14ac:dyDescent="0.2">
      <c r="A61">
        <f t="shared" si="4"/>
        <v>2010</v>
      </c>
      <c r="B61" s="2">
        <f t="shared" si="42"/>
        <v>142673.69827207335</v>
      </c>
      <c r="C61" s="2"/>
      <c r="D61" s="2">
        <f t="shared" si="47"/>
        <v>172678.77260904905</v>
      </c>
      <c r="E61" s="2">
        <f t="shared" si="48"/>
        <v>85324.622422738656</v>
      </c>
      <c r="F61" s="2"/>
      <c r="G61" s="2">
        <f t="shared" si="39"/>
        <v>149133.91507536449</v>
      </c>
      <c r="H61" s="2">
        <f t="shared" si="16"/>
        <v>165982.91503912446</v>
      </c>
      <c r="I61" s="2">
        <f t="shared" si="17"/>
        <v>715793.92341834994</v>
      </c>
      <c r="J61" s="2">
        <f t="shared" si="18"/>
        <v>97010.703706537257</v>
      </c>
      <c r="K61" s="6">
        <f t="shared" si="19"/>
        <v>0.15677655860111764</v>
      </c>
      <c r="L61" s="7">
        <f t="shared" si="20"/>
        <v>1.1567765586011176</v>
      </c>
      <c r="O61">
        <f t="shared" si="21"/>
        <v>2010</v>
      </c>
      <c r="P61" s="6">
        <f t="shared" si="5"/>
        <v>0.19932230996139216</v>
      </c>
      <c r="Q61" s="7"/>
      <c r="R61" s="6">
        <f t="shared" si="49"/>
        <v>0.24124090322589387</v>
      </c>
      <c r="S61" s="6">
        <f t="shared" si="50"/>
        <v>0.11920277559113922</v>
      </c>
      <c r="T61" s="7"/>
      <c r="U61" s="6">
        <f t="shared" si="5"/>
        <v>0.2083475567425323</v>
      </c>
      <c r="V61" s="6">
        <f t="shared" si="8"/>
        <v>0.23188645447904255</v>
      </c>
      <c r="W61" s="6">
        <f t="shared" si="22"/>
        <v>1</v>
      </c>
      <c r="X61" s="7">
        <f t="shared" si="23"/>
        <v>0.76811354552095756</v>
      </c>
      <c r="Y61" s="7">
        <f t="shared" si="24"/>
        <v>0</v>
      </c>
      <c r="Z61" s="6"/>
      <c r="AB61">
        <f t="shared" si="25"/>
        <v>2010</v>
      </c>
      <c r="AC61" s="1" t="b">
        <f t="shared" si="26"/>
        <v>1</v>
      </c>
      <c r="AE61" s="1" t="b">
        <f t="shared" si="51"/>
        <v>1</v>
      </c>
      <c r="AF61" s="1" t="b">
        <f t="shared" si="52"/>
        <v>1</v>
      </c>
      <c r="AH61" s="1" t="b">
        <f t="shared" si="57"/>
        <v>1</v>
      </c>
      <c r="AI61" s="39" t="b">
        <f t="shared" si="28"/>
        <v>0</v>
      </c>
      <c r="AJ61" s="1" t="b">
        <f t="shared" si="29"/>
        <v>1</v>
      </c>
      <c r="AL61">
        <f t="shared" si="30"/>
        <v>2010</v>
      </c>
      <c r="AM61" s="40">
        <f>AM$39*$AT61</f>
        <v>143158.78468367</v>
      </c>
      <c r="AN61" s="2"/>
      <c r="AO61" s="40">
        <f>AO$39*$AT61</f>
        <v>143158.78468367</v>
      </c>
      <c r="AP61" s="40">
        <f>AP$39*$AT61</f>
        <v>71579.392341835002</v>
      </c>
      <c r="AQ61" s="2"/>
      <c r="AR61" s="40">
        <f>AR$39*$AT61</f>
        <v>143158.78468367</v>
      </c>
      <c r="AS61" s="40">
        <f>AS$39*$AT61</f>
        <v>214738.17702550496</v>
      </c>
      <c r="AT61" s="2">
        <f t="shared" si="31"/>
        <v>715793.92341834994</v>
      </c>
      <c r="AU61" s="2">
        <f t="shared" si="32"/>
        <v>0</v>
      </c>
    </row>
    <row r="62" spans="1:47" x14ac:dyDescent="0.2">
      <c r="A62">
        <f t="shared" si="4"/>
        <v>2011</v>
      </c>
      <c r="B62" s="2">
        <f t="shared" si="42"/>
        <v>145979.01274193832</v>
      </c>
      <c r="C62" s="2"/>
      <c r="D62" s="2">
        <f t="shared" si="47"/>
        <v>140138.13432684456</v>
      </c>
      <c r="E62" s="2">
        <f t="shared" si="48"/>
        <v>69575.169356263621</v>
      </c>
      <c r="F62" s="2"/>
      <c r="G62" s="2">
        <f t="shared" si="39"/>
        <v>122314.86563372766</v>
      </c>
      <c r="H62" s="2">
        <f t="shared" si="16"/>
        <v>230972.38320863317</v>
      </c>
      <c r="I62" s="2">
        <f t="shared" si="17"/>
        <v>708979.56526740734</v>
      </c>
      <c r="J62" s="2">
        <f t="shared" si="18"/>
        <v>-6814.3581509426003</v>
      </c>
      <c r="K62" s="6">
        <f t="shared" si="19"/>
        <v>-9.5199999999998723E-3</v>
      </c>
      <c r="L62" s="7">
        <f t="shared" si="20"/>
        <v>0.99048000000000014</v>
      </c>
      <c r="O62">
        <f t="shared" si="21"/>
        <v>2011</v>
      </c>
      <c r="P62" s="6">
        <f t="shared" si="5"/>
        <v>0.20590016961473229</v>
      </c>
      <c r="Q62" s="7"/>
      <c r="R62" s="6">
        <f t="shared" si="49"/>
        <v>0.19766173976253937</v>
      </c>
      <c r="S62" s="6">
        <f t="shared" si="50"/>
        <v>9.8134237945238664E-2</v>
      </c>
      <c r="T62" s="7"/>
      <c r="U62" s="6">
        <f t="shared" si="5"/>
        <v>0.17252241337533319</v>
      </c>
      <c r="V62" s="38">
        <f t="shared" si="8"/>
        <v>0.32578143930215653</v>
      </c>
      <c r="W62" s="6">
        <f t="shared" si="22"/>
        <v>1</v>
      </c>
      <c r="X62" s="7">
        <f t="shared" si="23"/>
        <v>0.67421856069784347</v>
      </c>
      <c r="Y62" s="7">
        <f t="shared" si="24"/>
        <v>0</v>
      </c>
      <c r="Z62" s="6"/>
      <c r="AB62">
        <f t="shared" si="25"/>
        <v>2011</v>
      </c>
      <c r="AC62" s="1" t="b">
        <f t="shared" si="26"/>
        <v>1</v>
      </c>
      <c r="AE62" s="1" t="b">
        <f t="shared" si="51"/>
        <v>1</v>
      </c>
      <c r="AF62" s="1" t="b">
        <f t="shared" si="52"/>
        <v>1</v>
      </c>
      <c r="AH62" s="1" t="b">
        <f t="shared" si="57"/>
        <v>1</v>
      </c>
      <c r="AI62" s="1" t="b">
        <f t="shared" si="28"/>
        <v>1</v>
      </c>
      <c r="AJ62" s="1" t="b">
        <f t="shared" si="29"/>
        <v>1</v>
      </c>
      <c r="AL62">
        <f t="shared" si="30"/>
        <v>2011</v>
      </c>
      <c r="AM62" s="2">
        <f>B62</f>
        <v>145979.01274193832</v>
      </c>
      <c r="AN62" s="2"/>
      <c r="AO62" s="26">
        <f t="shared" ref="AO62:AP64" si="62">D62</f>
        <v>140138.13432684456</v>
      </c>
      <c r="AP62" s="26">
        <f t="shared" si="62"/>
        <v>69575.169356263621</v>
      </c>
      <c r="AQ62" s="2"/>
      <c r="AR62" s="2">
        <f t="shared" ref="AR62" si="63">G62</f>
        <v>122314.86563372766</v>
      </c>
      <c r="AS62" s="2">
        <f t="shared" ref="AS62" si="64">H62</f>
        <v>230972.38320863317</v>
      </c>
      <c r="AT62" s="2">
        <f t="shared" si="31"/>
        <v>708979.56526740734</v>
      </c>
      <c r="AU62" s="2">
        <f t="shared" si="32"/>
        <v>0</v>
      </c>
    </row>
    <row r="63" spans="1:47" x14ac:dyDescent="0.2">
      <c r="A63">
        <f t="shared" si="4"/>
        <v>2012</v>
      </c>
      <c r="B63" s="2">
        <f t="shared" si="42"/>
        <v>169072.89255771294</v>
      </c>
      <c r="C63" s="2"/>
      <c r="D63" s="2">
        <f t="shared" si="47"/>
        <v>162279.959550486</v>
      </c>
      <c r="E63" s="2">
        <f t="shared" si="48"/>
        <v>82126.529908133583</v>
      </c>
      <c r="F63" s="2"/>
      <c r="G63" s="2">
        <f t="shared" si="39"/>
        <v>144502.78225968586</v>
      </c>
      <c r="H63" s="2">
        <f t="shared" si="16"/>
        <v>240326.76472858281</v>
      </c>
      <c r="I63" s="2">
        <f t="shared" si="17"/>
        <v>798308.92900460109</v>
      </c>
      <c r="J63" s="2">
        <f t="shared" si="18"/>
        <v>89329.363737193751</v>
      </c>
      <c r="K63" s="6">
        <f t="shared" si="19"/>
        <v>0.12599709231887551</v>
      </c>
      <c r="L63" s="7">
        <f t="shared" si="20"/>
        <v>1.1259970923188756</v>
      </c>
      <c r="O63">
        <f t="shared" si="21"/>
        <v>2012</v>
      </c>
      <c r="P63" s="6">
        <f t="shared" si="5"/>
        <v>0.21178880307467848</v>
      </c>
      <c r="Q63" s="7"/>
      <c r="R63" s="6">
        <f t="shared" si="49"/>
        <v>0.20327964983785204</v>
      </c>
      <c r="S63" s="6">
        <f t="shared" si="50"/>
        <v>0.10287562486684931</v>
      </c>
      <c r="T63" s="7"/>
      <c r="U63" s="6">
        <f t="shared" si="5"/>
        <v>0.18101110611385007</v>
      </c>
      <c r="V63" s="6">
        <f t="shared" si="8"/>
        <v>0.3010448161067702</v>
      </c>
      <c r="W63" s="6">
        <f t="shared" si="22"/>
        <v>1</v>
      </c>
      <c r="X63" s="7">
        <f t="shared" si="23"/>
        <v>0.69895518389322986</v>
      </c>
      <c r="Y63" s="7">
        <f t="shared" si="24"/>
        <v>0</v>
      </c>
      <c r="Z63" s="6"/>
      <c r="AB63">
        <f t="shared" si="25"/>
        <v>2012</v>
      </c>
      <c r="AC63" s="1" t="b">
        <f t="shared" si="26"/>
        <v>1</v>
      </c>
      <c r="AE63" s="1" t="b">
        <f t="shared" si="51"/>
        <v>1</v>
      </c>
      <c r="AF63" s="1" t="b">
        <f t="shared" si="52"/>
        <v>1</v>
      </c>
      <c r="AH63" s="1" t="b">
        <f t="shared" si="57"/>
        <v>1</v>
      </c>
      <c r="AI63" s="1" t="b">
        <f t="shared" si="28"/>
        <v>1</v>
      </c>
      <c r="AJ63" s="1" t="b">
        <f t="shared" si="29"/>
        <v>1</v>
      </c>
      <c r="AL63">
        <f t="shared" si="30"/>
        <v>2012</v>
      </c>
      <c r="AM63" s="2">
        <f>B63</f>
        <v>169072.89255771294</v>
      </c>
      <c r="AN63" s="2"/>
      <c r="AO63" s="26">
        <f t="shared" si="62"/>
        <v>162279.959550486</v>
      </c>
      <c r="AP63" s="26">
        <f t="shared" si="62"/>
        <v>82126.529908133583</v>
      </c>
      <c r="AQ63" s="2"/>
      <c r="AR63" s="2">
        <f t="shared" si="46"/>
        <v>144502.78225968586</v>
      </c>
      <c r="AS63" s="2">
        <f t="shared" si="12"/>
        <v>240326.76472858281</v>
      </c>
      <c r="AT63" s="2">
        <f t="shared" si="31"/>
        <v>798308.92900460109</v>
      </c>
      <c r="AU63" s="2">
        <f t="shared" si="32"/>
        <v>0</v>
      </c>
    </row>
    <row r="64" spans="1:47" x14ac:dyDescent="0.2">
      <c r="A64">
        <f t="shared" si="4"/>
        <v>2013</v>
      </c>
      <c r="B64" s="2">
        <f t="shared" si="42"/>
        <v>223480.54938278499</v>
      </c>
      <c r="C64" s="2"/>
      <c r="D64" s="2">
        <f t="shared" si="47"/>
        <v>219077.94539315611</v>
      </c>
      <c r="E64" s="2">
        <f t="shared" si="48"/>
        <v>113022.53045957342</v>
      </c>
      <c r="F64" s="2"/>
      <c r="G64" s="2">
        <f t="shared" si="39"/>
        <v>166236.00071154258</v>
      </c>
      <c r="H64" s="2">
        <f t="shared" si="16"/>
        <v>234895.37984571685</v>
      </c>
      <c r="I64" s="2">
        <f t="shared" si="17"/>
        <v>956712.40579277393</v>
      </c>
      <c r="J64" s="2">
        <f t="shared" si="18"/>
        <v>158403.47678817285</v>
      </c>
      <c r="K64" s="6">
        <f t="shared" si="19"/>
        <v>0.19842378186309861</v>
      </c>
      <c r="L64" s="7">
        <f t="shared" si="20"/>
        <v>1.1984237818630987</v>
      </c>
      <c r="O64">
        <f t="shared" si="21"/>
        <v>2013</v>
      </c>
      <c r="P64" s="6">
        <f t="shared" si="5"/>
        <v>0.23359219346340471</v>
      </c>
      <c r="Q64" s="7"/>
      <c r="R64" s="6">
        <f t="shared" si="49"/>
        <v>0.22899038840373195</v>
      </c>
      <c r="S64" s="6">
        <f t="shared" si="50"/>
        <v>0.11813636969191174</v>
      </c>
      <c r="T64" s="7"/>
      <c r="U64" s="6">
        <f t="shared" si="5"/>
        <v>0.17375754689183959</v>
      </c>
      <c r="V64" s="6">
        <f t="shared" si="8"/>
        <v>0.24552350154911204</v>
      </c>
      <c r="W64" s="6">
        <f t="shared" si="22"/>
        <v>1</v>
      </c>
      <c r="X64" s="7">
        <f t="shared" si="23"/>
        <v>0.75447649845088804</v>
      </c>
      <c r="Y64" s="7">
        <f t="shared" si="24"/>
        <v>0</v>
      </c>
      <c r="Z64" s="6"/>
      <c r="AB64">
        <f t="shared" si="25"/>
        <v>2013</v>
      </c>
      <c r="AC64" s="1" t="b">
        <f t="shared" si="26"/>
        <v>1</v>
      </c>
      <c r="AE64" s="1" t="b">
        <f t="shared" si="51"/>
        <v>1</v>
      </c>
      <c r="AF64" s="1" t="b">
        <f t="shared" si="52"/>
        <v>1</v>
      </c>
      <c r="AH64" s="1" t="b">
        <f t="shared" si="57"/>
        <v>1</v>
      </c>
      <c r="AI64" s="1" t="b">
        <f t="shared" si="28"/>
        <v>0</v>
      </c>
      <c r="AJ64" s="1" t="b">
        <f t="shared" si="29"/>
        <v>1</v>
      </c>
      <c r="AL64">
        <f t="shared" si="30"/>
        <v>2013</v>
      </c>
      <c r="AM64" s="2">
        <f>B64</f>
        <v>223480.54938278499</v>
      </c>
      <c r="AN64" s="2"/>
      <c r="AO64" s="26">
        <f t="shared" si="62"/>
        <v>219077.94539315611</v>
      </c>
      <c r="AP64" s="26">
        <f t="shared" si="62"/>
        <v>113022.53045957342</v>
      </c>
      <c r="AQ64" s="2"/>
      <c r="AR64" s="2">
        <f t="shared" si="46"/>
        <v>166236.00071154258</v>
      </c>
      <c r="AS64" s="2">
        <f t="shared" si="12"/>
        <v>234895.37984571685</v>
      </c>
      <c r="AT64" s="2">
        <f t="shared" si="31"/>
        <v>956712.40579277393</v>
      </c>
      <c r="AU64" s="2">
        <f t="shared" si="32"/>
        <v>0</v>
      </c>
    </row>
    <row r="65" spans="1:45" x14ac:dyDescent="0.2">
      <c r="A65" s="9" t="s">
        <v>78</v>
      </c>
      <c r="B65" s="10">
        <f>B64</f>
        <v>223480.54938278499</v>
      </c>
      <c r="C65" s="10"/>
      <c r="D65" s="10">
        <f>D64</f>
        <v>219077.94539315611</v>
      </c>
      <c r="E65" s="10">
        <f>E64</f>
        <v>113022.53045957342</v>
      </c>
      <c r="F65" s="10"/>
      <c r="G65" s="10">
        <f>G64</f>
        <v>166236.00071154258</v>
      </c>
      <c r="H65" s="10">
        <f>H64</f>
        <v>234895.37984571685</v>
      </c>
      <c r="I65" s="10">
        <f>SUM(B64:H64)</f>
        <v>956712.40579277393</v>
      </c>
      <c r="J65" s="10"/>
      <c r="K65" s="10"/>
      <c r="AM65" s="2"/>
      <c r="AO65" s="2"/>
      <c r="AP65" s="2"/>
      <c r="AR65" s="2"/>
      <c r="AS65" s="2"/>
    </row>
    <row r="66" spans="1:45" x14ac:dyDescent="0.2">
      <c r="A66" s="11" t="s">
        <v>79</v>
      </c>
      <c r="I66" s="6">
        <f>(I65-I39)/I39</f>
        <v>8.5671240579277388</v>
      </c>
      <c r="K66" s="6"/>
      <c r="R66" s="7"/>
      <c r="AO66" s="2"/>
    </row>
    <row r="67" spans="1:45" x14ac:dyDescent="0.2">
      <c r="A67" s="1" t="s">
        <v>80</v>
      </c>
      <c r="I67" s="29">
        <f>STDEV(L40:L64)</f>
        <v>0.12705193215752805</v>
      </c>
      <c r="K67" s="30"/>
      <c r="AL67" s="21" t="s">
        <v>160</v>
      </c>
      <c r="AM67">
        <f>COUNTA(AM62,AM60,AM58,AM55,AM54,AM50,AM48,AM44)</f>
        <v>8</v>
      </c>
    </row>
    <row r="68" spans="1:45" x14ac:dyDescent="0.2">
      <c r="A68" s="1" t="s">
        <v>81</v>
      </c>
      <c r="I68" s="13">
        <f>((1+I66)^(1/I73))-1</f>
        <v>9.4539039075656639E-2</v>
      </c>
      <c r="K68" s="30"/>
      <c r="AL68" t="s">
        <v>161</v>
      </c>
      <c r="AM68">
        <f>COUNTA(AL40:AL64)</f>
        <v>25</v>
      </c>
    </row>
    <row r="69" spans="1:45" x14ac:dyDescent="0.2">
      <c r="A69" s="1" t="s">
        <v>82</v>
      </c>
      <c r="I69" s="31">
        <f>J60</f>
        <v>127988.4725701171</v>
      </c>
      <c r="AL69" s="21" t="s">
        <v>162</v>
      </c>
      <c r="AM69">
        <f>AM68/AM67</f>
        <v>3.125</v>
      </c>
    </row>
    <row r="70" spans="1:45" x14ac:dyDescent="0.2">
      <c r="A70" s="1" t="s">
        <v>83</v>
      </c>
      <c r="I70" s="32">
        <f>K60</f>
        <v>0.26077800000000001</v>
      </c>
    </row>
    <row r="71" spans="1:45" x14ac:dyDescent="0.2">
      <c r="A71" s="3" t="s">
        <v>84</v>
      </c>
      <c r="I71" s="33">
        <f>I64-I65</f>
        <v>0</v>
      </c>
    </row>
    <row r="72" spans="1:45" x14ac:dyDescent="0.2">
      <c r="A72" s="3" t="s">
        <v>148</v>
      </c>
      <c r="I72" s="33">
        <f>((SUM(J40:J64))-(I65-I39))</f>
        <v>0</v>
      </c>
    </row>
    <row r="73" spans="1:45" x14ac:dyDescent="0.2">
      <c r="A73" s="3" t="s">
        <v>159</v>
      </c>
      <c r="I73" s="3">
        <f>COUNTA(I40:I64)</f>
        <v>25</v>
      </c>
    </row>
    <row r="74" spans="1:45" x14ac:dyDescent="0.2">
      <c r="A74" s="1" t="s">
        <v>105</v>
      </c>
      <c r="B74" s="63"/>
      <c r="C74" s="63"/>
      <c r="D74" s="63"/>
      <c r="E74" s="63"/>
      <c r="G74" s="63"/>
      <c r="H74" s="63"/>
      <c r="I74" s="83">
        <f>(SUM(B62:G62)/I62)</f>
        <v>0.67421856069784347</v>
      </c>
    </row>
    <row r="75" spans="1:45" x14ac:dyDescent="0.2">
      <c r="A75" s="1" t="s">
        <v>106</v>
      </c>
      <c r="B75" s="63"/>
      <c r="C75" s="63"/>
      <c r="D75" s="63"/>
      <c r="E75" s="63"/>
      <c r="G75" s="63"/>
      <c r="H75" s="63"/>
      <c r="I75" s="83">
        <f>(H62/I62)</f>
        <v>0.32578143930215653</v>
      </c>
    </row>
    <row r="76" spans="1:45" x14ac:dyDescent="0.2">
      <c r="A76" s="3" t="s">
        <v>107</v>
      </c>
      <c r="I76" s="3">
        <f>100%-(I74+I75)</f>
        <v>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76"/>
  <sheetViews>
    <sheetView topLeftCell="A57" zoomScaleNormal="100" workbookViewId="0">
      <selection activeCell="A75" sqref="A75"/>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0.6640625" customWidth="1"/>
    <col min="10" max="10" width="10" bestFit="1" customWidth="1"/>
    <col min="39" max="40" width="10.83203125" bestFit="1" customWidth="1"/>
    <col min="41" max="41" width="9.33203125" bestFit="1" customWidth="1"/>
    <col min="42" max="42" width="9.5" bestFit="1" customWidth="1"/>
    <col min="43" max="43" width="10.83203125" bestFit="1" customWidth="1"/>
    <col min="44" max="44" width="9.83203125" bestFit="1" customWidth="1"/>
    <col min="45" max="45" width="10.83203125" bestFit="1" customWidth="1"/>
    <col min="46" max="46" width="11.5" customWidth="1"/>
  </cols>
  <sheetData>
    <row r="1" spans="1:8" x14ac:dyDescent="0.2">
      <c r="A1" s="20" t="s">
        <v>49</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
      <c r="A4" s="17">
        <f>'Non-Rebalanced Portfolio'!A4</f>
        <v>1989</v>
      </c>
      <c r="B4" s="17">
        <f>'Non-Rebalanced Portfolio'!B4</f>
        <v>31.36</v>
      </c>
      <c r="C4" s="17">
        <f>'Non-Rebalanced Portfolio'!C4</f>
        <v>24.096</v>
      </c>
      <c r="D4" s="17"/>
      <c r="E4" s="17"/>
      <c r="F4" s="17">
        <f>'Non-Rebalanced Portfolio'!F4</f>
        <v>25.971</v>
      </c>
      <c r="G4" s="17"/>
      <c r="H4" s="17">
        <f>'Non-Rebalanced Portfolio'!H4</f>
        <v>13.64</v>
      </c>
    </row>
    <row r="5" spans="1:8" x14ac:dyDescent="0.2">
      <c r="A5" s="17">
        <f>'Non-Rebalanced Portfolio'!A5</f>
        <v>1990</v>
      </c>
      <c r="B5" s="17">
        <f>'Non-Rebalanced Portfolio'!B5</f>
        <v>-3.32</v>
      </c>
      <c r="C5" s="17">
        <f>'Non-Rebalanced Portfolio'!C5</f>
        <v>-14.045</v>
      </c>
      <c r="D5" s="17"/>
      <c r="E5" s="17"/>
      <c r="F5" s="17">
        <f>'Non-Rebalanced Portfolio'!F5</f>
        <v>-12.26</v>
      </c>
      <c r="G5" s="17"/>
      <c r="H5" s="17">
        <f>'Non-Rebalanced Portfolio'!H5</f>
        <v>8.65</v>
      </c>
    </row>
    <row r="6" spans="1:8" x14ac:dyDescent="0.2">
      <c r="A6" s="17">
        <f>'Non-Rebalanced Portfolio'!A6</f>
        <v>1991</v>
      </c>
      <c r="B6" s="17">
        <f>'Non-Rebalanced Portfolio'!B6</f>
        <v>30.22</v>
      </c>
      <c r="C6" s="17">
        <f>'Non-Rebalanced Portfolio'!C6</f>
        <v>41.85</v>
      </c>
      <c r="D6" s="17"/>
      <c r="E6" s="17"/>
      <c r="F6" s="17">
        <f>'Non-Rebalanced Portfolio'!F6</f>
        <v>9.9559999999999995</v>
      </c>
      <c r="G6" s="17"/>
      <c r="H6" s="17">
        <f>'Non-Rebalanced Portfolio'!H6</f>
        <v>15.25</v>
      </c>
    </row>
    <row r="7" spans="1:8" x14ac:dyDescent="0.2">
      <c r="A7" s="17">
        <f>'Non-Rebalanced Portfolio'!A7</f>
        <v>1992</v>
      </c>
      <c r="B7" s="17">
        <f>'Non-Rebalanced Portfolio'!B7</f>
        <v>7.42</v>
      </c>
      <c r="C7" s="17">
        <f>'Non-Rebalanced Portfolio'!C7</f>
        <v>12.465999999999999</v>
      </c>
      <c r="D7" s="17"/>
      <c r="E7" s="17"/>
      <c r="F7" s="17">
        <f>'Non-Rebalanced Portfolio'!F7</f>
        <v>-8.7210000000000001</v>
      </c>
      <c r="G7" s="17"/>
      <c r="H7" s="17">
        <f>'Non-Rebalanced Portfolio'!H7</f>
        <v>7.14</v>
      </c>
    </row>
    <row r="8" spans="1:8" x14ac:dyDescent="0.2">
      <c r="A8" s="17">
        <f>'Non-Rebalanced Portfolio'!A8</f>
        <v>1993</v>
      </c>
      <c r="B8" s="17">
        <f>'Non-Rebalanced Portfolio'!B8</f>
        <v>9.89</v>
      </c>
      <c r="C8" s="17">
        <f>'Non-Rebalanced Portfolio'!C8</f>
        <v>14.49</v>
      </c>
      <c r="D8" s="17"/>
      <c r="E8" s="17"/>
      <c r="F8" s="17">
        <f>'Non-Rebalanced Portfolio'!F8</f>
        <v>30.494</v>
      </c>
      <c r="G8" s="17"/>
      <c r="H8" s="17">
        <f>'Non-Rebalanced Portfolio'!H8</f>
        <v>9.68</v>
      </c>
    </row>
    <row r="9" spans="1:8" x14ac:dyDescent="0.2">
      <c r="A9" s="17">
        <f>'Non-Rebalanced Portfolio'!A9</f>
        <v>1994</v>
      </c>
      <c r="B9" s="17">
        <f>'Non-Rebalanced Portfolio'!B9</f>
        <v>1.18</v>
      </c>
      <c r="C9" s="17">
        <f>'Non-Rebalanced Portfolio'!C9</f>
        <v>-1.764</v>
      </c>
      <c r="D9" s="17"/>
      <c r="E9" s="17"/>
      <c r="F9" s="17">
        <f>'Non-Rebalanced Portfolio'!F9</f>
        <v>5.2549999999999999</v>
      </c>
      <c r="G9" s="17"/>
      <c r="H9" s="17">
        <f>'Non-Rebalanced Portfolio'!H9</f>
        <v>-2.66</v>
      </c>
    </row>
    <row r="10" spans="1:8" x14ac:dyDescent="0.2">
      <c r="A10" s="17">
        <f>'Non-Rebalanced Portfolio'!A10</f>
        <v>1995</v>
      </c>
      <c r="B10" s="17">
        <f>'Non-Rebalanced Portfolio'!B10</f>
        <v>37.450000000000003</v>
      </c>
      <c r="C10" s="17">
        <f>'Non-Rebalanced Portfolio'!C10</f>
        <v>33.796999999999997</v>
      </c>
      <c r="D10" s="17"/>
      <c r="E10" s="17"/>
      <c r="F10" s="17">
        <f>'Non-Rebalanced Portfolio'!F10</f>
        <v>9.6460000000000008</v>
      </c>
      <c r="G10" s="17"/>
      <c r="H10" s="17">
        <f>'Non-Rebalanced Portfolio'!H10</f>
        <v>18.18</v>
      </c>
    </row>
    <row r="11" spans="1:8" x14ac:dyDescent="0.2">
      <c r="A11" s="17">
        <f>'Non-Rebalanced Portfolio'!A11</f>
        <v>1996</v>
      </c>
      <c r="B11" s="17">
        <f>'Non-Rebalanced Portfolio'!B11</f>
        <v>22.88</v>
      </c>
      <c r="C11" s="17">
        <f>'Non-Rebalanced Portfolio'!C11</f>
        <v>17.646999999999998</v>
      </c>
      <c r="D11" s="17"/>
      <c r="E11" s="17"/>
      <c r="F11" s="17">
        <f>'Non-Rebalanced Portfolio'!F11</f>
        <v>10.218999999999999</v>
      </c>
      <c r="G11" s="17"/>
      <c r="H11" s="17">
        <f>'Non-Rebalanced Portfolio'!H11</f>
        <v>3.58</v>
      </c>
    </row>
    <row r="12" spans="1:8" x14ac:dyDescent="0.2">
      <c r="A12" s="17">
        <f>'Non-Rebalanced Portfolio'!A12</f>
        <v>1997</v>
      </c>
      <c r="B12" s="17">
        <f>'Non-Rebalanced Portfolio'!B12</f>
        <v>33.19</v>
      </c>
      <c r="C12" s="17">
        <f>'Non-Rebalanced Portfolio'!C12</f>
        <v>26.687000000000001</v>
      </c>
      <c r="D12" s="17"/>
      <c r="E12" s="17"/>
      <c r="F12" s="17">
        <f>'Non-Rebalanced Portfolio'!F12</f>
        <v>0</v>
      </c>
      <c r="G12" s="18">
        <f>'Non-Rebalanced Portfolio'!G12</f>
        <v>-0.77500000000000002</v>
      </c>
      <c r="H12" s="17">
        <f>'Non-Rebalanced Portfolio'!H12</f>
        <v>9.44</v>
      </c>
    </row>
    <row r="13" spans="1:8" x14ac:dyDescent="0.2">
      <c r="A13" s="17">
        <f>'Non-Rebalanced Portfolio'!A13</f>
        <v>1998</v>
      </c>
      <c r="B13" s="17">
        <f>'Non-Rebalanced Portfolio'!B13</f>
        <v>28.66</v>
      </c>
      <c r="C13" s="17">
        <f>'Non-Rebalanced Portfolio'!C13</f>
        <v>8.3529999999999998</v>
      </c>
      <c r="D13" s="17"/>
      <c r="E13" s="17"/>
      <c r="F13" s="17"/>
      <c r="G13" s="18">
        <f>'Non-Rebalanced Portfolio'!G13</f>
        <v>15.603</v>
      </c>
      <c r="H13" s="17">
        <f>'Non-Rebalanced Portfolio'!H13</f>
        <v>8.58</v>
      </c>
    </row>
    <row r="14" spans="1:8" x14ac:dyDescent="0.2">
      <c r="A14" s="17">
        <f>'Non-Rebalanced Portfolio'!A14</f>
        <v>1999</v>
      </c>
      <c r="B14" s="17">
        <f>'Non-Rebalanced Portfolio'!B14</f>
        <v>21.07</v>
      </c>
      <c r="C14" s="17">
        <f>'Non-Rebalanced Portfolio'!C14</f>
        <v>0</v>
      </c>
      <c r="D14" s="18">
        <f>'Non-Rebalanced Portfolio'!D14</f>
        <v>15.319000000000001</v>
      </c>
      <c r="E14" s="18">
        <f>'Non-Rebalanced Portfolio'!E14</f>
        <v>23.132999999999999</v>
      </c>
      <c r="F14" s="17"/>
      <c r="G14" s="17">
        <f>'Non-Rebalanced Portfolio'!G14</f>
        <v>29.919</v>
      </c>
      <c r="H14" s="17">
        <f>'Non-Rebalanced Portfolio'!H14</f>
        <v>-0.76</v>
      </c>
    </row>
    <row r="15" spans="1:8" x14ac:dyDescent="0.2">
      <c r="A15" s="17">
        <f>'Non-Rebalanced Portfolio'!A15</f>
        <v>2000</v>
      </c>
      <c r="B15" s="17">
        <f>'Non-Rebalanced Portfolio'!B15</f>
        <v>-9.06</v>
      </c>
      <c r="C15" s="17"/>
      <c r="D15" s="18">
        <f>'Non-Rebalanced Portfolio'!D15</f>
        <v>18.097999999999999</v>
      </c>
      <c r="E15" s="18">
        <f>'Non-Rebalanced Portfolio'!E15</f>
        <v>-2.665</v>
      </c>
      <c r="F15" s="17"/>
      <c r="G15" s="17">
        <f>'Non-Rebalanced Portfolio'!G15</f>
        <v>-15.614000000000001</v>
      </c>
      <c r="H15" s="17">
        <f>'Non-Rebalanced Portfolio'!H15</f>
        <v>11.39</v>
      </c>
    </row>
    <row r="16" spans="1:8"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row>
    <row r="17" spans="1:8"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row>
    <row r="18" spans="1:8"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row>
    <row r="19" spans="1:8"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row>
    <row r="20" spans="1:8"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row>
    <row r="21" spans="1:8"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row>
    <row r="22" spans="1:8"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row>
    <row r="23" spans="1:8"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row>
    <row r="24" spans="1:8"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row>
    <row r="25" spans="1:8"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row>
    <row r="26" spans="1:8"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row>
    <row r="27" spans="1:8"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row>
    <row r="28" spans="1:8" x14ac:dyDescent="0.2">
      <c r="A28" s="17">
        <f>'Non-Rebalanced Portfolio'!A28</f>
        <v>2013</v>
      </c>
      <c r="B28" s="17">
        <f>'Non-Rebalanced Portfolio'!B28</f>
        <v>32.18</v>
      </c>
      <c r="C28" s="19"/>
      <c r="D28" s="17">
        <f>'Non-Rebalanced Portfolio'!D28</f>
        <v>35</v>
      </c>
      <c r="E28" s="17">
        <f>'Non-Rebalanced Portfolio'!E28</f>
        <v>37.619999999999997</v>
      </c>
      <c r="F28" s="19"/>
      <c r="G28" s="17">
        <f>'Non-Rebalanced Portfolio'!G28</f>
        <v>15.04</v>
      </c>
      <c r="H28" s="17">
        <f>'Non-Rebalanced Portfolio'!H28</f>
        <v>-2.2599999999999998</v>
      </c>
    </row>
    <row r="29" spans="1:8"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
      <c r="A36" s="20" t="s">
        <v>116</v>
      </c>
      <c r="O36" s="20" t="s">
        <v>126</v>
      </c>
      <c r="AB36" s="20" t="s">
        <v>18</v>
      </c>
      <c r="AL36" s="20" t="s">
        <v>21</v>
      </c>
    </row>
    <row r="37" spans="1:47"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88</v>
      </c>
    </row>
    <row r="38" spans="1:47"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72</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87</v>
      </c>
    </row>
    <row r="39" spans="1:47" x14ac:dyDescent="0.2">
      <c r="A39" t="s">
        <v>71</v>
      </c>
      <c r="B39" s="2">
        <f>'Non-Rebalanced Portfolio'!B39</f>
        <v>20000</v>
      </c>
      <c r="C39" s="2">
        <f>'Non-Rebalanced Portfolio'!C39</f>
        <v>30000</v>
      </c>
      <c r="F39" s="2">
        <f>'Non-Rebalanced Portfolio'!F39</f>
        <v>20000</v>
      </c>
      <c r="H39" s="2">
        <f>'Non-Rebalanced Portfolio'!H39</f>
        <v>30000</v>
      </c>
      <c r="I39" s="2">
        <f>SUM(B39:H39)</f>
        <v>100000</v>
      </c>
      <c r="O39" s="21" t="s">
        <v>86</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2">
      <c r="A40">
        <f t="shared" ref="A40:A64" si="4">A4</f>
        <v>1989</v>
      </c>
      <c r="B40" s="2">
        <f>B39*(1+(B4/100))</f>
        <v>26272.000000000004</v>
      </c>
      <c r="C40" s="2">
        <f>C39*(1+(C4/100))</f>
        <v>37228.800000000003</v>
      </c>
      <c r="D40" s="2"/>
      <c r="E40" s="2"/>
      <c r="F40" s="2">
        <f>F39*(1+(F4/100))</f>
        <v>25194.2</v>
      </c>
      <c r="G40" s="2"/>
      <c r="H40" s="2">
        <f>H39*(1+(H4/100))</f>
        <v>34092</v>
      </c>
      <c r="I40" s="2">
        <f>SUM(B40:H40)</f>
        <v>122787</v>
      </c>
      <c r="J40" s="2">
        <f>I40-I39</f>
        <v>22787</v>
      </c>
      <c r="K40" s="6">
        <f>(J40/I39)</f>
        <v>0.22786999999999999</v>
      </c>
      <c r="L40" s="7">
        <f>K40+1</f>
        <v>1.22787</v>
      </c>
      <c r="O40">
        <f>A40</f>
        <v>1989</v>
      </c>
      <c r="P40" s="6">
        <f t="shared" ref="P40:U64" si="5">B40/$I40</f>
        <v>0.21396401899223863</v>
      </c>
      <c r="Q40" s="6">
        <f t="shared" si="5"/>
        <v>0.30319822131007357</v>
      </c>
      <c r="R40" s="7"/>
      <c r="S40" s="7"/>
      <c r="T40" s="6">
        <f t="shared" ref="T40:T48" si="6">F40/$I40</f>
        <v>0.20518621678190688</v>
      </c>
      <c r="U40" s="7"/>
      <c r="V40" s="6">
        <f t="shared" ref="V40:V64" si="7">H40/$I40</f>
        <v>0.27765154291578098</v>
      </c>
      <c r="W40" s="6">
        <f>SUM(P40:V40)</f>
        <v>1</v>
      </c>
      <c r="X40" s="7">
        <f>SUM(P40:U40)</f>
        <v>0.72234845708421902</v>
      </c>
      <c r="Y40" s="7">
        <f>W40-(X40+V40)</f>
        <v>0</v>
      </c>
      <c r="Z40" s="6"/>
      <c r="AB40">
        <f>O40</f>
        <v>1989</v>
      </c>
      <c r="AC40" s="1" t="b">
        <f>AND((B40/$I40)&gt;0.15,(B40/$I40)&lt;0.25)</f>
        <v>1</v>
      </c>
      <c r="AD40" s="1" t="b">
        <f>AND((C40/$I40)&gt;0.25,(C40/$I40)&lt;0.35)</f>
        <v>1</v>
      </c>
      <c r="AG40" s="1" t="b">
        <f t="shared" ref="AG40:AG48" si="8">AND((F40/$I40)&gt;0.15,(F40/$I40)&lt;0.25)</f>
        <v>1</v>
      </c>
      <c r="AI40" s="1" t="b">
        <f>AND((H40/$I40)&gt;0.25,(H40/$I40)&lt;0.35)</f>
        <v>1</v>
      </c>
      <c r="AJ40" s="1" t="b">
        <f>AND((I40/$I40)&gt;0.999,(I40/$I40)&lt;1.01)</f>
        <v>1</v>
      </c>
      <c r="AL40">
        <f>A40</f>
        <v>1989</v>
      </c>
      <c r="AM40" s="2">
        <f t="shared" ref="AM40:AN50" si="9">$I40*AM$39</f>
        <v>24557.4</v>
      </c>
      <c r="AN40" s="2">
        <f t="shared" si="9"/>
        <v>36836.1</v>
      </c>
      <c r="AO40" s="2"/>
      <c r="AP40" s="2"/>
      <c r="AQ40" s="2">
        <f t="shared" ref="AQ40:AQ47" si="10">$I40*AQ$39</f>
        <v>24557.4</v>
      </c>
      <c r="AR40" s="2"/>
      <c r="AS40" s="2">
        <f t="shared" ref="AS40:AS51" si="11">$I40*AS$39</f>
        <v>36836.1</v>
      </c>
      <c r="AT40" s="2">
        <f>SUM(AM40:AS40)</f>
        <v>122787</v>
      </c>
      <c r="AU40" s="2">
        <f>AT40-I40</f>
        <v>0</v>
      </c>
    </row>
    <row r="41" spans="1:47" x14ac:dyDescent="0.2">
      <c r="A41">
        <f t="shared" si="4"/>
        <v>1990</v>
      </c>
      <c r="B41" s="2">
        <f t="shared" ref="B41:B50" si="12">AM40*(1+(B5/100))</f>
        <v>23742.09432</v>
      </c>
      <c r="C41" s="2">
        <f t="shared" ref="C41:C49" si="13">AN40*(1+(C5/100))</f>
        <v>31662.469755000002</v>
      </c>
      <c r="D41" s="2"/>
      <c r="E41" s="2"/>
      <c r="F41" s="2">
        <f t="shared" ref="F41:F47" si="14">AQ40*(1+(F5/100))</f>
        <v>21546.662759999999</v>
      </c>
      <c r="G41" s="2"/>
      <c r="H41" s="2">
        <f t="shared" ref="H41:H64" si="15">AS40*(1+(H5/100))</f>
        <v>40022.42265</v>
      </c>
      <c r="I41" s="2">
        <f t="shared" ref="I41:I64" si="16">SUM(B41:H41)</f>
        <v>116973.649485</v>
      </c>
      <c r="J41" s="2">
        <f t="shared" ref="J41:J64" si="17">I41-I40</f>
        <v>-5813.3505149999983</v>
      </c>
      <c r="K41" s="6">
        <f t="shared" ref="K41:K64" si="18">(J41/I40)</f>
        <v>-4.7344999999999984E-2</v>
      </c>
      <c r="L41" s="7">
        <f t="shared" ref="L41:L64" si="19">K41+1</f>
        <v>0.95265500000000003</v>
      </c>
      <c r="O41">
        <f t="shared" ref="O41:O64" si="20">A41</f>
        <v>1990</v>
      </c>
      <c r="P41" s="6">
        <f t="shared" si="5"/>
        <v>0.20296959549889518</v>
      </c>
      <c r="Q41" s="6">
        <f t="shared" si="5"/>
        <v>0.27068036172591337</v>
      </c>
      <c r="R41" s="7"/>
      <c r="S41" s="7"/>
      <c r="T41" s="6">
        <f t="shared" si="6"/>
        <v>0.18420099616335397</v>
      </c>
      <c r="U41" s="7"/>
      <c r="V41" s="6">
        <f t="shared" si="7"/>
        <v>0.34214904661183743</v>
      </c>
      <c r="W41" s="6">
        <f t="shared" ref="W41:W64" si="21">SUM(P41:V41)</f>
        <v>0.99999999999999989</v>
      </c>
      <c r="X41" s="7">
        <f t="shared" ref="X41:X64" si="22">SUM(P41:U41)</f>
        <v>0.65785095338816246</v>
      </c>
      <c r="Y41" s="7">
        <f t="shared" ref="Y41:Y64" si="23">W41-(X41+V41)</f>
        <v>0</v>
      </c>
      <c r="Z41" s="6"/>
      <c r="AB41">
        <f t="shared" ref="AB41:AB64" si="24">O41</f>
        <v>1990</v>
      </c>
      <c r="AC41" s="1" t="b">
        <f t="shared" ref="AC41:AC64" si="25">AND((B41/$I41)&gt;0.15,(B41/$I41)&lt;0.25)</f>
        <v>1</v>
      </c>
      <c r="AD41" s="1" t="b">
        <f t="shared" ref="AD41:AD50" si="26">AND((C41/$I41)&gt;0.25,(C41/$I41)&lt;0.35)</f>
        <v>1</v>
      </c>
      <c r="AG41" s="1" t="b">
        <f t="shared" si="8"/>
        <v>1</v>
      </c>
      <c r="AI41" s="1" t="b">
        <f t="shared" ref="AI41:AI64" si="27">AND((H41/$I41)&gt;0.25,(H41/$I41)&lt;0.35)</f>
        <v>1</v>
      </c>
      <c r="AJ41" s="1" t="b">
        <f t="shared" ref="AJ41:AJ64" si="28">AND((I41/$I41)&gt;0.999,(I41/$I41)&lt;1.01)</f>
        <v>1</v>
      </c>
      <c r="AL41">
        <f t="shared" ref="AL41:AL64" si="29">A41</f>
        <v>1990</v>
      </c>
      <c r="AM41" s="2">
        <f t="shared" si="9"/>
        <v>23394.729897000001</v>
      </c>
      <c r="AN41" s="2">
        <f t="shared" si="9"/>
        <v>35092.094845499996</v>
      </c>
      <c r="AO41" s="2"/>
      <c r="AP41" s="2"/>
      <c r="AQ41" s="2">
        <f t="shared" si="10"/>
        <v>23394.729897000001</v>
      </c>
      <c r="AR41" s="2"/>
      <c r="AS41" s="2">
        <f t="shared" si="11"/>
        <v>35092.094845499996</v>
      </c>
      <c r="AT41" s="2">
        <f t="shared" ref="AT41:AT64" si="30">I41</f>
        <v>116973.649485</v>
      </c>
      <c r="AU41" s="2">
        <f t="shared" ref="AU41:AU64" si="31">AT41-I41</f>
        <v>0</v>
      </c>
    </row>
    <row r="42" spans="1:47" x14ac:dyDescent="0.2">
      <c r="A42">
        <f t="shared" si="4"/>
        <v>1991</v>
      </c>
      <c r="B42" s="2">
        <f t="shared" si="12"/>
        <v>30464.617271873401</v>
      </c>
      <c r="C42" s="2">
        <f t="shared" si="13"/>
        <v>49778.136538341751</v>
      </c>
      <c r="D42" s="2"/>
      <c r="E42" s="2"/>
      <c r="F42" s="2">
        <f t="shared" si="14"/>
        <v>25723.909205545322</v>
      </c>
      <c r="G42" s="2"/>
      <c r="H42" s="2">
        <f t="shared" si="15"/>
        <v>40443.639309438746</v>
      </c>
      <c r="I42" s="2">
        <f t="shared" ref="I42:I48" si="32">SUM(B42:H42)</f>
        <v>146410.30232519924</v>
      </c>
      <c r="J42" s="2">
        <f t="shared" si="17"/>
        <v>29436.65284019924</v>
      </c>
      <c r="K42" s="6">
        <f t="shared" si="18"/>
        <v>0.25165200000000015</v>
      </c>
      <c r="L42" s="7">
        <f t="shared" si="19"/>
        <v>1.2516520000000002</v>
      </c>
      <c r="O42">
        <f t="shared" si="20"/>
        <v>1991</v>
      </c>
      <c r="P42" s="6">
        <f t="shared" si="5"/>
        <v>0.20807700542962418</v>
      </c>
      <c r="Q42" s="6">
        <f t="shared" si="5"/>
        <v>0.33999066833273139</v>
      </c>
      <c r="R42" s="7"/>
      <c r="S42" s="7"/>
      <c r="T42" s="6">
        <f t="shared" si="6"/>
        <v>0.17569739831838241</v>
      </c>
      <c r="U42" s="7"/>
      <c r="V42" s="6">
        <f t="shared" si="7"/>
        <v>0.27623492791926185</v>
      </c>
      <c r="W42" s="6">
        <f t="shared" si="21"/>
        <v>0.99999999999999978</v>
      </c>
      <c r="X42" s="7">
        <f t="shared" si="22"/>
        <v>0.72376507208073793</v>
      </c>
      <c r="Y42" s="7">
        <f t="shared" si="23"/>
        <v>0</v>
      </c>
      <c r="Z42" s="6"/>
      <c r="AB42">
        <f t="shared" si="24"/>
        <v>1991</v>
      </c>
      <c r="AC42" s="1" t="b">
        <f t="shared" si="25"/>
        <v>1</v>
      </c>
      <c r="AD42" s="1" t="b">
        <f t="shared" si="26"/>
        <v>1</v>
      </c>
      <c r="AG42" s="1" t="b">
        <f t="shared" si="8"/>
        <v>1</v>
      </c>
      <c r="AI42" s="1" t="b">
        <f t="shared" si="27"/>
        <v>1</v>
      </c>
      <c r="AJ42" s="1" t="b">
        <f t="shared" si="28"/>
        <v>1</v>
      </c>
      <c r="AL42">
        <f t="shared" si="29"/>
        <v>1991</v>
      </c>
      <c r="AM42" s="2">
        <f t="shared" si="9"/>
        <v>29282.060465039849</v>
      </c>
      <c r="AN42" s="2">
        <f t="shared" si="9"/>
        <v>43923.090697559768</v>
      </c>
      <c r="AO42" s="2"/>
      <c r="AP42" s="2"/>
      <c r="AQ42" s="2">
        <f t="shared" si="10"/>
        <v>29282.060465039849</v>
      </c>
      <c r="AR42" s="2"/>
      <c r="AS42" s="2">
        <f t="shared" si="11"/>
        <v>43923.090697559768</v>
      </c>
      <c r="AT42" s="2">
        <f t="shared" si="30"/>
        <v>146410.30232519924</v>
      </c>
      <c r="AU42" s="2">
        <f t="shared" si="31"/>
        <v>0</v>
      </c>
    </row>
    <row r="43" spans="1:47" x14ac:dyDescent="0.2">
      <c r="A43">
        <f t="shared" si="4"/>
        <v>1992</v>
      </c>
      <c r="B43" s="2">
        <f t="shared" si="12"/>
        <v>31454.789351545805</v>
      </c>
      <c r="C43" s="2">
        <f t="shared" si="13"/>
        <v>49398.543183917565</v>
      </c>
      <c r="D43" s="2"/>
      <c r="E43" s="2"/>
      <c r="F43" s="2">
        <f t="shared" si="14"/>
        <v>26728.371971883724</v>
      </c>
      <c r="G43" s="2"/>
      <c r="H43" s="2">
        <f t="shared" si="15"/>
        <v>47059.199373365533</v>
      </c>
      <c r="I43" s="2">
        <f t="shared" si="32"/>
        <v>154640.90388071263</v>
      </c>
      <c r="J43" s="2">
        <f t="shared" si="17"/>
        <v>8230.6015555133927</v>
      </c>
      <c r="K43" s="6">
        <f t="shared" si="18"/>
        <v>5.6215999999999947E-2</v>
      </c>
      <c r="L43" s="7">
        <f t="shared" si="19"/>
        <v>1.056216</v>
      </c>
      <c r="O43">
        <f t="shared" si="20"/>
        <v>1992</v>
      </c>
      <c r="P43" s="6">
        <f t="shared" si="5"/>
        <v>0.20340536405432225</v>
      </c>
      <c r="Q43" s="6">
        <f t="shared" si="5"/>
        <v>0.31944034174827873</v>
      </c>
      <c r="R43" s="7"/>
      <c r="S43" s="7"/>
      <c r="T43" s="6">
        <f t="shared" si="6"/>
        <v>0.17284153998803276</v>
      </c>
      <c r="U43" s="7"/>
      <c r="V43" s="6">
        <f t="shared" si="7"/>
        <v>0.30431275420936621</v>
      </c>
      <c r="W43" s="6">
        <f t="shared" si="21"/>
        <v>1</v>
      </c>
      <c r="X43" s="7">
        <f t="shared" si="22"/>
        <v>0.69568724579063379</v>
      </c>
      <c r="Y43" s="7">
        <f t="shared" si="23"/>
        <v>0</v>
      </c>
      <c r="Z43" s="6"/>
      <c r="AB43">
        <f t="shared" si="24"/>
        <v>1992</v>
      </c>
      <c r="AC43" s="1" t="b">
        <f t="shared" si="25"/>
        <v>1</v>
      </c>
      <c r="AD43" s="1" t="b">
        <f t="shared" si="26"/>
        <v>1</v>
      </c>
      <c r="AG43" s="1" t="b">
        <f t="shared" si="8"/>
        <v>1</v>
      </c>
      <c r="AI43" s="1" t="b">
        <f t="shared" si="27"/>
        <v>1</v>
      </c>
      <c r="AJ43" s="1" t="b">
        <f t="shared" si="28"/>
        <v>1</v>
      </c>
      <c r="AL43">
        <f t="shared" si="29"/>
        <v>1992</v>
      </c>
      <c r="AM43" s="2">
        <f t="shared" si="9"/>
        <v>30928.18077614253</v>
      </c>
      <c r="AN43" s="2">
        <f t="shared" si="9"/>
        <v>46392.271164213787</v>
      </c>
      <c r="AO43" s="2"/>
      <c r="AP43" s="2"/>
      <c r="AQ43" s="2">
        <f t="shared" si="10"/>
        <v>30928.18077614253</v>
      </c>
      <c r="AR43" s="2"/>
      <c r="AS43" s="2">
        <f t="shared" si="11"/>
        <v>46392.271164213787</v>
      </c>
      <c r="AT43" s="2">
        <f t="shared" si="30"/>
        <v>154640.90388071263</v>
      </c>
      <c r="AU43" s="2">
        <f t="shared" si="31"/>
        <v>0</v>
      </c>
    </row>
    <row r="44" spans="1:47" x14ac:dyDescent="0.2">
      <c r="A44">
        <f t="shared" si="4"/>
        <v>1993</v>
      </c>
      <c r="B44" s="2">
        <f t="shared" si="12"/>
        <v>33986.977854903023</v>
      </c>
      <c r="C44" s="2">
        <f t="shared" si="13"/>
        <v>53114.511255908365</v>
      </c>
      <c r="D44" s="2"/>
      <c r="E44" s="2"/>
      <c r="F44" s="2">
        <f t="shared" si="14"/>
        <v>40359.420222019435</v>
      </c>
      <c r="G44" s="2"/>
      <c r="H44" s="2">
        <f t="shared" si="15"/>
        <v>50883.043012909679</v>
      </c>
      <c r="I44" s="2">
        <f t="shared" si="32"/>
        <v>178343.95234574049</v>
      </c>
      <c r="J44" s="2">
        <f t="shared" si="17"/>
        <v>23703.048465027852</v>
      </c>
      <c r="K44" s="6">
        <f t="shared" si="18"/>
        <v>0.15327799999999989</v>
      </c>
      <c r="L44" s="7">
        <f t="shared" si="19"/>
        <v>1.1532779999999998</v>
      </c>
      <c r="O44">
        <f t="shared" si="20"/>
        <v>1993</v>
      </c>
      <c r="P44" s="6">
        <f t="shared" si="5"/>
        <v>0.19056983658753573</v>
      </c>
      <c r="Q44" s="6">
        <f t="shared" si="5"/>
        <v>0.29782064688652693</v>
      </c>
      <c r="R44" s="7"/>
      <c r="S44" s="7"/>
      <c r="T44" s="38">
        <f t="shared" si="6"/>
        <v>0.22630103062748103</v>
      </c>
      <c r="U44" s="7"/>
      <c r="V44" s="6">
        <f t="shared" si="7"/>
        <v>0.28530848589845637</v>
      </c>
      <c r="W44" s="6">
        <f t="shared" si="21"/>
        <v>1</v>
      </c>
      <c r="X44" s="7">
        <f t="shared" si="22"/>
        <v>0.71469151410154375</v>
      </c>
      <c r="Y44" s="7">
        <f t="shared" si="23"/>
        <v>0</v>
      </c>
      <c r="Z44" s="6"/>
      <c r="AB44">
        <f t="shared" si="24"/>
        <v>1993</v>
      </c>
      <c r="AC44" s="1" t="b">
        <f t="shared" si="25"/>
        <v>1</v>
      </c>
      <c r="AD44" s="1" t="b">
        <f t="shared" si="26"/>
        <v>1</v>
      </c>
      <c r="AG44" s="39" t="b">
        <f t="shared" si="8"/>
        <v>1</v>
      </c>
      <c r="AI44" s="1" t="b">
        <f t="shared" si="27"/>
        <v>1</v>
      </c>
      <c r="AJ44" s="1" t="b">
        <f t="shared" si="28"/>
        <v>1</v>
      </c>
      <c r="AL44">
        <f t="shared" si="29"/>
        <v>1993</v>
      </c>
      <c r="AM44" s="2">
        <f t="shared" si="9"/>
        <v>35668.790469148102</v>
      </c>
      <c r="AN44" s="2">
        <f t="shared" si="9"/>
        <v>53503.185703722142</v>
      </c>
      <c r="AO44" s="2"/>
      <c r="AP44" s="2"/>
      <c r="AQ44" s="2">
        <f t="shared" si="10"/>
        <v>35668.790469148102</v>
      </c>
      <c r="AR44" s="2"/>
      <c r="AS44" s="2">
        <f t="shared" si="11"/>
        <v>53503.185703722142</v>
      </c>
      <c r="AT44" s="2">
        <f t="shared" si="30"/>
        <v>178343.95234574049</v>
      </c>
      <c r="AU44" s="2">
        <f t="shared" si="31"/>
        <v>0</v>
      </c>
    </row>
    <row r="45" spans="1:47" x14ac:dyDescent="0.2">
      <c r="A45">
        <f t="shared" si="4"/>
        <v>1994</v>
      </c>
      <c r="B45" s="2">
        <f t="shared" si="12"/>
        <v>36089.682196684051</v>
      </c>
      <c r="C45" s="2">
        <f t="shared" si="13"/>
        <v>52559.389507908483</v>
      </c>
      <c r="D45" s="2"/>
      <c r="E45" s="2"/>
      <c r="F45" s="2">
        <f t="shared" si="14"/>
        <v>37543.185408301841</v>
      </c>
      <c r="G45" s="2"/>
      <c r="H45" s="2">
        <f t="shared" si="15"/>
        <v>52080.000964003135</v>
      </c>
      <c r="I45" s="2">
        <f t="shared" ref="I45" si="33">SUM(B45:H45)</f>
        <v>178272.2580768975</v>
      </c>
      <c r="J45" s="2">
        <f t="shared" si="17"/>
        <v>-71.694268842984457</v>
      </c>
      <c r="K45" s="6">
        <f t="shared" si="18"/>
        <v>-4.0199999999998196E-4</v>
      </c>
      <c r="L45" s="7">
        <f t="shared" si="19"/>
        <v>0.99959799999999999</v>
      </c>
      <c r="O45">
        <f t="shared" si="20"/>
        <v>1994</v>
      </c>
      <c r="P45" s="6">
        <f t="shared" si="5"/>
        <v>0.20244138143533705</v>
      </c>
      <c r="Q45" s="6">
        <f t="shared" si="5"/>
        <v>0.29482652026114498</v>
      </c>
      <c r="R45" s="7"/>
      <c r="S45" s="7"/>
      <c r="T45" s="6">
        <f t="shared" si="6"/>
        <v>0.21059465905293934</v>
      </c>
      <c r="U45" s="7"/>
      <c r="V45" s="6">
        <f t="shared" si="7"/>
        <v>0.29213743925057872</v>
      </c>
      <c r="W45" s="6">
        <f t="shared" si="21"/>
        <v>1</v>
      </c>
      <c r="X45" s="7">
        <f t="shared" si="22"/>
        <v>0.70786256074942133</v>
      </c>
      <c r="Y45" s="7">
        <f t="shared" si="23"/>
        <v>0</v>
      </c>
      <c r="Z45" s="6"/>
      <c r="AB45">
        <f t="shared" si="24"/>
        <v>1994</v>
      </c>
      <c r="AC45" s="1" t="b">
        <f t="shared" si="25"/>
        <v>1</v>
      </c>
      <c r="AD45" s="1" t="b">
        <f t="shared" si="26"/>
        <v>1</v>
      </c>
      <c r="AG45" s="1" t="b">
        <f t="shared" si="8"/>
        <v>1</v>
      </c>
      <c r="AI45" s="1" t="b">
        <f t="shared" si="27"/>
        <v>1</v>
      </c>
      <c r="AJ45" s="1" t="b">
        <f t="shared" si="28"/>
        <v>1</v>
      </c>
      <c r="AL45">
        <f t="shared" si="29"/>
        <v>1994</v>
      </c>
      <c r="AM45" s="2">
        <f t="shared" si="9"/>
        <v>35654.451615379505</v>
      </c>
      <c r="AN45" s="2">
        <f t="shared" si="9"/>
        <v>53481.677423069246</v>
      </c>
      <c r="AO45" s="2"/>
      <c r="AP45" s="2"/>
      <c r="AQ45" s="2">
        <f t="shared" si="10"/>
        <v>35654.451615379505</v>
      </c>
      <c r="AR45" s="2"/>
      <c r="AS45" s="2">
        <f t="shared" si="11"/>
        <v>53481.677423069246</v>
      </c>
      <c r="AT45" s="2">
        <f t="shared" si="30"/>
        <v>178272.2580768975</v>
      </c>
      <c r="AU45" s="2">
        <f t="shared" si="31"/>
        <v>0</v>
      </c>
    </row>
    <row r="46" spans="1:47" x14ac:dyDescent="0.2">
      <c r="A46">
        <f t="shared" si="4"/>
        <v>1995</v>
      </c>
      <c r="B46" s="2">
        <f t="shared" si="12"/>
        <v>49007.043745339128</v>
      </c>
      <c r="C46" s="2">
        <f t="shared" si="13"/>
        <v>71556.879941743959</v>
      </c>
      <c r="D46" s="2"/>
      <c r="E46" s="2"/>
      <c r="F46" s="2">
        <f t="shared" si="14"/>
        <v>39093.680018199011</v>
      </c>
      <c r="G46" s="2"/>
      <c r="H46" s="2">
        <f t="shared" si="15"/>
        <v>63204.646378583231</v>
      </c>
      <c r="I46" s="2">
        <f t="shared" si="32"/>
        <v>222862.25008386531</v>
      </c>
      <c r="J46" s="2">
        <f t="shared" si="17"/>
        <v>44589.992006967805</v>
      </c>
      <c r="K46" s="6">
        <f t="shared" si="18"/>
        <v>0.25012299999999982</v>
      </c>
      <c r="L46" s="7">
        <f t="shared" si="19"/>
        <v>1.2501229999999999</v>
      </c>
      <c r="O46">
        <f t="shared" si="20"/>
        <v>1995</v>
      </c>
      <c r="P46" s="6">
        <f t="shared" si="5"/>
        <v>0.21989836200117913</v>
      </c>
      <c r="Q46" s="6">
        <f t="shared" si="5"/>
        <v>0.32108120560936804</v>
      </c>
      <c r="R46" s="7"/>
      <c r="S46" s="7"/>
      <c r="T46" s="6">
        <f t="shared" si="6"/>
        <v>0.17541633903223927</v>
      </c>
      <c r="U46" s="7"/>
      <c r="V46" s="6">
        <f t="shared" si="7"/>
        <v>0.28360409335721365</v>
      </c>
      <c r="W46" s="6">
        <f t="shared" si="21"/>
        <v>1</v>
      </c>
      <c r="X46" s="7">
        <f t="shared" si="22"/>
        <v>0.71639590664278641</v>
      </c>
      <c r="Y46" s="7">
        <f t="shared" si="23"/>
        <v>0</v>
      </c>
      <c r="Z46" s="6"/>
      <c r="AB46">
        <f t="shared" si="24"/>
        <v>1995</v>
      </c>
      <c r="AC46" s="1" t="b">
        <f t="shared" si="25"/>
        <v>1</v>
      </c>
      <c r="AD46" s="1" t="b">
        <f t="shared" si="26"/>
        <v>1</v>
      </c>
      <c r="AG46" s="1" t="b">
        <f t="shared" si="8"/>
        <v>1</v>
      </c>
      <c r="AI46" s="1" t="b">
        <f t="shared" si="27"/>
        <v>1</v>
      </c>
      <c r="AJ46" s="1" t="b">
        <f t="shared" si="28"/>
        <v>1</v>
      </c>
      <c r="AL46">
        <f t="shared" si="29"/>
        <v>1995</v>
      </c>
      <c r="AM46" s="2">
        <f t="shared" si="9"/>
        <v>44572.450016773066</v>
      </c>
      <c r="AN46" s="2">
        <f t="shared" si="9"/>
        <v>66858.675025159595</v>
      </c>
      <c r="AO46" s="2"/>
      <c r="AP46" s="2"/>
      <c r="AQ46" s="2">
        <f t="shared" si="10"/>
        <v>44572.450016773066</v>
      </c>
      <c r="AR46" s="2"/>
      <c r="AS46" s="2">
        <f t="shared" si="11"/>
        <v>66858.675025159595</v>
      </c>
      <c r="AT46" s="2">
        <f t="shared" si="30"/>
        <v>222862.25008386531</v>
      </c>
      <c r="AU46" s="2">
        <f t="shared" si="31"/>
        <v>0</v>
      </c>
    </row>
    <row r="47" spans="1:47" x14ac:dyDescent="0.2">
      <c r="A47">
        <f t="shared" si="4"/>
        <v>1996</v>
      </c>
      <c r="B47" s="2">
        <f t="shared" si="12"/>
        <v>54770.626580610748</v>
      </c>
      <c r="C47" s="2">
        <f t="shared" si="13"/>
        <v>78657.225406849509</v>
      </c>
      <c r="D47" s="2"/>
      <c r="E47" s="2"/>
      <c r="F47" s="2">
        <f t="shared" si="14"/>
        <v>49127.308683987103</v>
      </c>
      <c r="G47" s="2"/>
      <c r="H47" s="2">
        <f t="shared" si="15"/>
        <v>69252.215591060318</v>
      </c>
      <c r="I47" s="2">
        <f t="shared" si="32"/>
        <v>251807.37626250766</v>
      </c>
      <c r="J47" s="2">
        <f t="shared" si="17"/>
        <v>28945.126178642357</v>
      </c>
      <c r="K47" s="6">
        <f t="shared" si="18"/>
        <v>0.12987900000000008</v>
      </c>
      <c r="L47" s="7">
        <f t="shared" si="19"/>
        <v>1.1298790000000001</v>
      </c>
      <c r="O47">
        <f t="shared" si="20"/>
        <v>1996</v>
      </c>
      <c r="P47" s="6">
        <f t="shared" si="5"/>
        <v>0.2175100165592953</v>
      </c>
      <c r="Q47" s="6">
        <f t="shared" si="5"/>
        <v>0.312370616676653</v>
      </c>
      <c r="R47" s="7"/>
      <c r="S47" s="7"/>
      <c r="T47" s="6">
        <f t="shared" si="6"/>
        <v>0.19509876721312636</v>
      </c>
      <c r="U47" s="7"/>
      <c r="V47" s="6">
        <f t="shared" si="7"/>
        <v>0.27502059955092539</v>
      </c>
      <c r="W47" s="6">
        <f t="shared" si="21"/>
        <v>1</v>
      </c>
      <c r="X47" s="7">
        <f t="shared" si="22"/>
        <v>0.72497940044907461</v>
      </c>
      <c r="Y47" s="7">
        <f t="shared" si="23"/>
        <v>0</v>
      </c>
      <c r="Z47" s="6"/>
      <c r="AB47">
        <f t="shared" si="24"/>
        <v>1996</v>
      </c>
      <c r="AC47" s="1" t="b">
        <f t="shared" si="25"/>
        <v>1</v>
      </c>
      <c r="AD47" s="1" t="b">
        <f t="shared" si="26"/>
        <v>1</v>
      </c>
      <c r="AG47" s="1" t="b">
        <f t="shared" si="8"/>
        <v>1</v>
      </c>
      <c r="AI47" s="1" t="b">
        <f t="shared" si="27"/>
        <v>1</v>
      </c>
      <c r="AJ47" s="1" t="b">
        <f t="shared" si="28"/>
        <v>1</v>
      </c>
      <c r="AL47">
        <f t="shared" si="29"/>
        <v>1996</v>
      </c>
      <c r="AM47" s="2">
        <f t="shared" si="9"/>
        <v>50361.475252501536</v>
      </c>
      <c r="AN47" s="2">
        <f t="shared" si="9"/>
        <v>75542.212878752296</v>
      </c>
      <c r="AO47" s="2"/>
      <c r="AP47" s="2"/>
      <c r="AQ47" s="2">
        <f t="shared" si="10"/>
        <v>50361.475252501536</v>
      </c>
      <c r="AR47" s="2"/>
      <c r="AS47" s="2">
        <f t="shared" si="11"/>
        <v>75542.212878752296</v>
      </c>
      <c r="AT47" s="2">
        <f t="shared" si="30"/>
        <v>251807.37626250766</v>
      </c>
      <c r="AU47" s="2">
        <f t="shared" si="31"/>
        <v>0</v>
      </c>
    </row>
    <row r="48" spans="1:47" x14ac:dyDescent="0.2">
      <c r="A48">
        <f t="shared" si="4"/>
        <v>1997</v>
      </c>
      <c r="B48" s="2">
        <f t="shared" si="12"/>
        <v>67076.448888806801</v>
      </c>
      <c r="C48" s="2">
        <f t="shared" si="13"/>
        <v>95702.163229704922</v>
      </c>
      <c r="D48" s="2"/>
      <c r="E48" s="2"/>
      <c r="F48" s="2"/>
      <c r="G48" s="2">
        <f>AQ47*(1+(G12/100))</f>
        <v>49971.17381929465</v>
      </c>
      <c r="H48" s="2">
        <f t="shared" si="15"/>
        <v>82673.39777450652</v>
      </c>
      <c r="I48" s="2">
        <f t="shared" si="32"/>
        <v>295423.18371231289</v>
      </c>
      <c r="J48" s="2">
        <f t="shared" si="17"/>
        <v>43615.80744980523</v>
      </c>
      <c r="K48" s="6">
        <f t="shared" si="18"/>
        <v>0.17321100000000006</v>
      </c>
      <c r="L48" s="7">
        <f t="shared" si="19"/>
        <v>1.173211</v>
      </c>
      <c r="O48">
        <f t="shared" si="20"/>
        <v>1997</v>
      </c>
      <c r="P48" s="6">
        <f t="shared" si="5"/>
        <v>0.22705208185057932</v>
      </c>
      <c r="Q48" s="6">
        <f t="shared" si="5"/>
        <v>0.32394940040623549</v>
      </c>
      <c r="R48" s="7"/>
      <c r="S48" s="7"/>
      <c r="T48" s="6">
        <f t="shared" si="6"/>
        <v>0</v>
      </c>
      <c r="U48" s="6"/>
      <c r="V48" s="38">
        <f t="shared" si="7"/>
        <v>0.27984735908545011</v>
      </c>
      <c r="W48" s="6">
        <f t="shared" si="21"/>
        <v>0.83084884134226489</v>
      </c>
      <c r="X48" s="7">
        <f t="shared" si="22"/>
        <v>0.55100148225681478</v>
      </c>
      <c r="Y48" s="7">
        <f t="shared" si="23"/>
        <v>0</v>
      </c>
      <c r="Z48" s="6"/>
      <c r="AB48">
        <f t="shared" si="24"/>
        <v>1997</v>
      </c>
      <c r="AC48" s="1" t="b">
        <f t="shared" si="25"/>
        <v>1</v>
      </c>
      <c r="AD48" s="1" t="b">
        <f t="shared" si="26"/>
        <v>1</v>
      </c>
      <c r="AG48" s="1" t="b">
        <f t="shared" si="8"/>
        <v>0</v>
      </c>
      <c r="AI48" s="39" t="b">
        <f t="shared" si="27"/>
        <v>1</v>
      </c>
      <c r="AJ48" s="1" t="b">
        <f t="shared" si="28"/>
        <v>1</v>
      </c>
      <c r="AL48">
        <f t="shared" si="29"/>
        <v>1997</v>
      </c>
      <c r="AM48" s="2">
        <f t="shared" si="9"/>
        <v>59084.636742462579</v>
      </c>
      <c r="AN48" s="2">
        <f t="shared" si="9"/>
        <v>88626.955113693868</v>
      </c>
      <c r="AO48" s="2"/>
      <c r="AP48" s="2"/>
      <c r="AQ48" s="2"/>
      <c r="AR48" s="2">
        <f>$I48*AR$39</f>
        <v>59084.636742462579</v>
      </c>
      <c r="AS48" s="2">
        <f t="shared" si="11"/>
        <v>88626.955113693868</v>
      </c>
      <c r="AT48" s="2">
        <f t="shared" si="30"/>
        <v>295423.18371231289</v>
      </c>
      <c r="AU48" s="2">
        <f t="shared" si="31"/>
        <v>0</v>
      </c>
    </row>
    <row r="49" spans="1:47" x14ac:dyDescent="0.2">
      <c r="A49">
        <f t="shared" si="4"/>
        <v>1998</v>
      </c>
      <c r="B49" s="2">
        <f t="shared" si="12"/>
        <v>76018.29363285235</v>
      </c>
      <c r="C49" s="2">
        <f t="shared" si="13"/>
        <v>96029.964674340721</v>
      </c>
      <c r="D49" s="2"/>
      <c r="E49" s="2"/>
      <c r="F49" s="2"/>
      <c r="G49" s="2">
        <f t="shared" ref="G49:G64" si="34">AR48*(1+(G13/100))</f>
        <v>68303.612613389007</v>
      </c>
      <c r="H49" s="2">
        <f t="shared" si="15"/>
        <v>96231.147862448808</v>
      </c>
      <c r="I49" s="2">
        <f t="shared" si="16"/>
        <v>336583.01878303086</v>
      </c>
      <c r="J49" s="2">
        <f t="shared" si="17"/>
        <v>41159.835070717963</v>
      </c>
      <c r="K49" s="6">
        <f t="shared" si="18"/>
        <v>0.13932499999999989</v>
      </c>
      <c r="L49" s="7">
        <f t="shared" si="19"/>
        <v>1.1393249999999999</v>
      </c>
      <c r="O49">
        <f t="shared" si="20"/>
        <v>1998</v>
      </c>
      <c r="P49" s="6">
        <f t="shared" si="5"/>
        <v>0.22585302701160775</v>
      </c>
      <c r="Q49" s="6">
        <f t="shared" si="5"/>
        <v>0.28530840629319998</v>
      </c>
      <c r="R49" s="7"/>
      <c r="S49" s="7"/>
      <c r="T49" s="6"/>
      <c r="U49" s="6">
        <f t="shared" si="5"/>
        <v>0.20293243806639896</v>
      </c>
      <c r="V49" s="6">
        <f t="shared" si="7"/>
        <v>0.28590612862879339</v>
      </c>
      <c r="W49" s="6">
        <f t="shared" si="21"/>
        <v>1</v>
      </c>
      <c r="X49" s="7">
        <f t="shared" si="22"/>
        <v>0.71409387137120672</v>
      </c>
      <c r="Y49" s="7">
        <f t="shared" si="23"/>
        <v>0</v>
      </c>
      <c r="Z49" s="6"/>
      <c r="AB49">
        <f t="shared" si="24"/>
        <v>1998</v>
      </c>
      <c r="AC49" s="1" t="b">
        <f t="shared" si="25"/>
        <v>1</v>
      </c>
      <c r="AD49" s="1" t="b">
        <f t="shared" si="26"/>
        <v>1</v>
      </c>
      <c r="AG49" s="1"/>
      <c r="AH49" s="1" t="b">
        <f t="shared" ref="AH49:AH64" si="35">AND((G49/$I49)&gt;0.15,(G49/$I49)&lt;0.25)</f>
        <v>1</v>
      </c>
      <c r="AI49" s="1" t="b">
        <f t="shared" si="27"/>
        <v>1</v>
      </c>
      <c r="AJ49" s="1" t="b">
        <f t="shared" si="28"/>
        <v>1</v>
      </c>
      <c r="AL49">
        <f t="shared" si="29"/>
        <v>1998</v>
      </c>
      <c r="AM49" s="2">
        <f t="shared" si="9"/>
        <v>67316.603756606171</v>
      </c>
      <c r="AN49" s="2">
        <f t="shared" si="9"/>
        <v>100974.90563490926</v>
      </c>
      <c r="AO49" s="2"/>
      <c r="AP49" s="2"/>
      <c r="AQ49" s="2"/>
      <c r="AR49" s="2">
        <f>$I49*AR$39</f>
        <v>67316.603756606171</v>
      </c>
      <c r="AS49" s="2">
        <f t="shared" si="11"/>
        <v>100974.90563490926</v>
      </c>
      <c r="AT49" s="2">
        <f t="shared" si="30"/>
        <v>336583.01878303086</v>
      </c>
      <c r="AU49" s="2">
        <f t="shared" si="31"/>
        <v>0</v>
      </c>
    </row>
    <row r="50" spans="1:47" x14ac:dyDescent="0.2">
      <c r="A50">
        <f t="shared" si="4"/>
        <v>1999</v>
      </c>
      <c r="B50" s="2">
        <f t="shared" si="12"/>
        <v>81500.212168123093</v>
      </c>
      <c r="C50" s="2"/>
      <c r="D50" s="2">
        <f>(AN49*0.67)*(1+(D14/100))</f>
        <v>78016.978457511068</v>
      </c>
      <c r="E50" s="2">
        <f>(AN49*0.33)*(1+(E14/100))</f>
        <v>41030.032083292834</v>
      </c>
      <c r="F50" s="2"/>
      <c r="G50" s="2">
        <f t="shared" si="34"/>
        <v>87457.058434545179</v>
      </c>
      <c r="H50" s="2">
        <f t="shared" si="15"/>
        <v>100207.49635208394</v>
      </c>
      <c r="I50" s="2">
        <f t="shared" si="16"/>
        <v>388211.7774955561</v>
      </c>
      <c r="J50" s="2">
        <f t="shared" si="17"/>
        <v>51628.758712525247</v>
      </c>
      <c r="K50" s="6">
        <f t="shared" si="18"/>
        <v>0.15339085999999996</v>
      </c>
      <c r="L50" s="7">
        <f t="shared" si="19"/>
        <v>1.15339086</v>
      </c>
      <c r="O50">
        <f t="shared" si="20"/>
        <v>1999</v>
      </c>
      <c r="P50" s="38">
        <f t="shared" si="5"/>
        <v>0.20993750548708182</v>
      </c>
      <c r="Q50" s="6">
        <f t="shared" si="5"/>
        <v>0</v>
      </c>
      <c r="R50" s="7"/>
      <c r="S50" s="7"/>
      <c r="T50" s="7"/>
      <c r="U50" s="6">
        <f t="shared" si="5"/>
        <v>0.22528182683882203</v>
      </c>
      <c r="V50" s="6">
        <f t="shared" si="7"/>
        <v>0.25812585336422728</v>
      </c>
      <c r="W50" s="6">
        <f t="shared" si="21"/>
        <v>0.69334518569013115</v>
      </c>
      <c r="X50" s="7">
        <f t="shared" si="22"/>
        <v>0.43521933232590382</v>
      </c>
      <c r="Y50" s="7">
        <f t="shared" si="23"/>
        <v>0</v>
      </c>
      <c r="Z50" s="6"/>
      <c r="AB50">
        <f t="shared" si="24"/>
        <v>1999</v>
      </c>
      <c r="AC50" s="39" t="b">
        <f t="shared" si="25"/>
        <v>1</v>
      </c>
      <c r="AD50" s="1" t="b">
        <f t="shared" si="26"/>
        <v>0</v>
      </c>
      <c r="AH50" s="1" t="b">
        <f t="shared" si="35"/>
        <v>1</v>
      </c>
      <c r="AI50" s="1" t="b">
        <f t="shared" si="27"/>
        <v>1</v>
      </c>
      <c r="AJ50" s="1" t="b">
        <f t="shared" si="28"/>
        <v>1</v>
      </c>
      <c r="AL50">
        <f t="shared" si="29"/>
        <v>1999</v>
      </c>
      <c r="AM50" s="2">
        <f t="shared" si="9"/>
        <v>77642.355499111218</v>
      </c>
      <c r="AN50" s="2"/>
      <c r="AO50" s="2">
        <f t="shared" ref="AO50:AP64" si="36">$I50*AO$39</f>
        <v>77642.355499111218</v>
      </c>
      <c r="AP50" s="2">
        <f t="shared" si="36"/>
        <v>38821.177749555609</v>
      </c>
      <c r="AQ50" s="2"/>
      <c r="AR50" s="2">
        <f t="shared" ref="AR50:AS64" si="37">$I50*AR$39</f>
        <v>77642.355499111218</v>
      </c>
      <c r="AS50" s="2">
        <f t="shared" si="11"/>
        <v>116463.53324866683</v>
      </c>
      <c r="AT50" s="2">
        <f t="shared" si="30"/>
        <v>388211.7774955561</v>
      </c>
      <c r="AU50" s="2">
        <f t="shared" si="31"/>
        <v>0</v>
      </c>
    </row>
    <row r="51" spans="1:47" x14ac:dyDescent="0.2">
      <c r="A51">
        <f t="shared" si="4"/>
        <v>2000</v>
      </c>
      <c r="B51" s="2">
        <f t="shared" ref="B51:B64" si="38">AM50*(1+(B15/100))</f>
        <v>70607.958090891741</v>
      </c>
      <c r="C51" s="2"/>
      <c r="D51" s="2">
        <f t="shared" ref="D51:D52" si="39">AO50*(1+(D15/100))</f>
        <v>91694.068997340364</v>
      </c>
      <c r="E51" s="2">
        <f t="shared" ref="E51:E52" si="40">AP50*(1+(E15/100))</f>
        <v>37786.593362529951</v>
      </c>
      <c r="F51" s="2"/>
      <c r="G51" s="2">
        <f t="shared" si="34"/>
        <v>65519.278111479995</v>
      </c>
      <c r="H51" s="2">
        <f t="shared" si="15"/>
        <v>129728.72968569001</v>
      </c>
      <c r="I51" s="2">
        <f t="shared" si="16"/>
        <v>395336.62824793207</v>
      </c>
      <c r="J51" s="2">
        <f t="shared" si="17"/>
        <v>7124.8507523759617</v>
      </c>
      <c r="K51" s="6">
        <f t="shared" si="18"/>
        <v>1.8353000000000053E-2</v>
      </c>
      <c r="L51" s="7">
        <f t="shared" si="19"/>
        <v>1.0183530000000001</v>
      </c>
      <c r="O51">
        <f t="shared" si="20"/>
        <v>2000</v>
      </c>
      <c r="P51" s="6">
        <f t="shared" si="5"/>
        <v>0.17860211537649517</v>
      </c>
      <c r="Q51" s="7"/>
      <c r="R51" s="6">
        <f t="shared" si="5"/>
        <v>0.23193921950443508</v>
      </c>
      <c r="S51" s="6">
        <f t="shared" si="5"/>
        <v>9.5580805477079159E-2</v>
      </c>
      <c r="T51" s="7"/>
      <c r="U51" s="6">
        <f t="shared" si="5"/>
        <v>0.16573035087047419</v>
      </c>
      <c r="V51" s="6">
        <f t="shared" si="7"/>
        <v>0.32814750877151638</v>
      </c>
      <c r="W51" s="6">
        <f t="shared" si="21"/>
        <v>1</v>
      </c>
      <c r="X51" s="7">
        <f t="shared" si="22"/>
        <v>0.67185249122848356</v>
      </c>
      <c r="Y51" s="7">
        <f t="shared" si="23"/>
        <v>0</v>
      </c>
      <c r="Z51" s="6"/>
      <c r="AB51">
        <f t="shared" si="24"/>
        <v>2000</v>
      </c>
      <c r="AC51" s="1" t="b">
        <f t="shared" si="25"/>
        <v>1</v>
      </c>
      <c r="AE51" s="1" t="b">
        <f>AND((D51/$I51)&gt;0.15,(D51/$I51)&lt;0.25)</f>
        <v>1</v>
      </c>
      <c r="AF51" s="1" t="b">
        <f>AND((E51/$I51)&gt;0.05,(E51/$I51)&lt;0.15)</f>
        <v>1</v>
      </c>
      <c r="AH51" s="1" t="b">
        <f t="shared" si="35"/>
        <v>1</v>
      </c>
      <c r="AI51" s="1" t="b">
        <f t="shared" si="27"/>
        <v>1</v>
      </c>
      <c r="AJ51" s="1" t="b">
        <f t="shared" si="28"/>
        <v>1</v>
      </c>
      <c r="AL51">
        <f t="shared" si="29"/>
        <v>2000</v>
      </c>
      <c r="AM51" s="2">
        <f>$I51*AM$39</f>
        <v>79067.325649586419</v>
      </c>
      <c r="AN51" s="2"/>
      <c r="AO51" s="2">
        <f t="shared" si="36"/>
        <v>79067.325649586419</v>
      </c>
      <c r="AP51" s="2">
        <f t="shared" si="36"/>
        <v>39533.662824793209</v>
      </c>
      <c r="AQ51" s="2"/>
      <c r="AR51" s="2">
        <f t="shared" si="37"/>
        <v>79067.325649586419</v>
      </c>
      <c r="AS51" s="2">
        <f t="shared" si="11"/>
        <v>118600.98847437961</v>
      </c>
      <c r="AT51" s="2">
        <f t="shared" si="30"/>
        <v>395336.62824793207</v>
      </c>
      <c r="AU51" s="2">
        <f t="shared" si="31"/>
        <v>0</v>
      </c>
    </row>
    <row r="52" spans="1:47" x14ac:dyDescent="0.2">
      <c r="A52">
        <f t="shared" si="4"/>
        <v>2001</v>
      </c>
      <c r="B52" s="2">
        <f t="shared" si="38"/>
        <v>69563.433106506127</v>
      </c>
      <c r="C52" s="2"/>
      <c r="D52" s="2">
        <f t="shared" si="39"/>
        <v>78672.779694594981</v>
      </c>
      <c r="E52" s="2">
        <f t="shared" si="40"/>
        <v>40759.206372361798</v>
      </c>
      <c r="F52" s="2"/>
      <c r="G52" s="2">
        <f t="shared" si="34"/>
        <v>63132.887511425266</v>
      </c>
      <c r="H52" s="2">
        <f t="shared" si="15"/>
        <v>128599.05180276983</v>
      </c>
      <c r="I52" s="2">
        <f t="shared" si="16"/>
        <v>380727.35848765797</v>
      </c>
      <c r="J52" s="2">
        <f t="shared" si="17"/>
        <v>-14609.269760274095</v>
      </c>
      <c r="K52" s="6">
        <f t="shared" si="18"/>
        <v>-3.6954000000000035E-2</v>
      </c>
      <c r="L52" s="7">
        <f t="shared" si="19"/>
        <v>0.96304599999999996</v>
      </c>
      <c r="O52">
        <f t="shared" si="20"/>
        <v>2001</v>
      </c>
      <c r="P52" s="6">
        <f t="shared" si="5"/>
        <v>0.18271193691682433</v>
      </c>
      <c r="Q52" s="7"/>
      <c r="R52" s="6">
        <f t="shared" si="5"/>
        <v>0.20663810451421843</v>
      </c>
      <c r="S52" s="6">
        <f t="shared" si="5"/>
        <v>0.10705615308095356</v>
      </c>
      <c r="T52" s="7"/>
      <c r="U52" s="6">
        <f t="shared" si="5"/>
        <v>0.1658217779836062</v>
      </c>
      <c r="V52" s="6">
        <f t="shared" si="7"/>
        <v>0.33777202750439755</v>
      </c>
      <c r="W52" s="6">
        <f t="shared" si="21"/>
        <v>1.0000000000000002</v>
      </c>
      <c r="X52" s="7">
        <f t="shared" si="22"/>
        <v>0.66222797249560261</v>
      </c>
      <c r="Y52" s="7">
        <f t="shared" si="23"/>
        <v>0</v>
      </c>
      <c r="Z52" s="6"/>
      <c r="AB52">
        <f t="shared" si="24"/>
        <v>2001</v>
      </c>
      <c r="AC52" s="1" t="b">
        <f t="shared" si="25"/>
        <v>1</v>
      </c>
      <c r="AE52" s="1" t="b">
        <f t="shared" ref="AE52:AE64" si="41">AND((D52/$I52)&gt;0.15,(D52/$I52)&lt;0.25)</f>
        <v>1</v>
      </c>
      <c r="AF52" s="1" t="b">
        <f t="shared" ref="AF52:AF64" si="42">AND((E52/$I52)&gt;0.05,(E52/$I52)&lt;0.15)</f>
        <v>1</v>
      </c>
      <c r="AH52" s="1" t="b">
        <f t="shared" si="35"/>
        <v>1</v>
      </c>
      <c r="AI52" s="1" t="b">
        <f t="shared" si="27"/>
        <v>1</v>
      </c>
      <c r="AJ52" s="1" t="b">
        <f t="shared" si="28"/>
        <v>1</v>
      </c>
      <c r="AL52">
        <f t="shared" si="29"/>
        <v>2001</v>
      </c>
      <c r="AM52" s="2">
        <f t="shared" ref="AM52:AM64" si="43">$I52*AM$39</f>
        <v>76145.471697531597</v>
      </c>
      <c r="AN52" s="2"/>
      <c r="AO52" s="2">
        <f t="shared" si="36"/>
        <v>76145.471697531597</v>
      </c>
      <c r="AP52" s="2">
        <f t="shared" si="36"/>
        <v>38072.735848765798</v>
      </c>
      <c r="AQ52" s="2"/>
      <c r="AR52" s="2">
        <f t="shared" si="37"/>
        <v>76145.471697531597</v>
      </c>
      <c r="AS52" s="2">
        <f t="shared" si="37"/>
        <v>114218.20754629739</v>
      </c>
      <c r="AT52" s="2">
        <f t="shared" si="30"/>
        <v>380727.35848765797</v>
      </c>
      <c r="AU52" s="2">
        <f t="shared" si="31"/>
        <v>0</v>
      </c>
    </row>
    <row r="53" spans="1:47" x14ac:dyDescent="0.2">
      <c r="A53">
        <f t="shared" si="4"/>
        <v>2002</v>
      </c>
      <c r="B53" s="2">
        <f t="shared" si="38"/>
        <v>59279.249716528349</v>
      </c>
      <c r="C53" s="2"/>
      <c r="D53" s="2">
        <f t="shared" ref="D53:D64" si="44">AO52*(1+(D17/100))</f>
        <v>65022.14119195618</v>
      </c>
      <c r="E53" s="2">
        <f t="shared" ref="E53:E64" si="45">AP52*(1+(E17/100))</f>
        <v>30449.812677125912</v>
      </c>
      <c r="F53" s="2"/>
      <c r="G53" s="2">
        <f t="shared" si="34"/>
        <v>64660.450201392901</v>
      </c>
      <c r="H53" s="2">
        <f t="shared" si="15"/>
        <v>123652.63148962155</v>
      </c>
      <c r="I53" s="2">
        <f t="shared" si="16"/>
        <v>343064.2852766249</v>
      </c>
      <c r="J53" s="2">
        <f t="shared" si="17"/>
        <v>-37663.073211033072</v>
      </c>
      <c r="K53" s="6">
        <f t="shared" si="18"/>
        <v>-9.8923999999999984E-2</v>
      </c>
      <c r="L53" s="7">
        <f t="shared" si="19"/>
        <v>0.90107599999999999</v>
      </c>
      <c r="O53">
        <f t="shared" si="20"/>
        <v>2002</v>
      </c>
      <c r="P53" s="6">
        <f t="shared" si="5"/>
        <v>0.1727934158716912</v>
      </c>
      <c r="Q53" s="7"/>
      <c r="R53" s="6">
        <f t="shared" si="5"/>
        <v>0.18953340228793131</v>
      </c>
      <c r="S53" s="6">
        <f t="shared" si="5"/>
        <v>8.8758328931188943E-2</v>
      </c>
      <c r="T53" s="7"/>
      <c r="U53" s="6">
        <f t="shared" si="5"/>
        <v>0.18847910720072444</v>
      </c>
      <c r="V53" s="6">
        <f t="shared" si="7"/>
        <v>0.36043574570846409</v>
      </c>
      <c r="W53" s="6">
        <f t="shared" si="21"/>
        <v>1</v>
      </c>
      <c r="X53" s="7">
        <f t="shared" si="22"/>
        <v>0.63956425429153596</v>
      </c>
      <c r="Y53" s="7">
        <f t="shared" si="23"/>
        <v>0</v>
      </c>
      <c r="Z53" s="6"/>
      <c r="AB53">
        <f t="shared" si="24"/>
        <v>2002</v>
      </c>
      <c r="AC53" s="1" t="b">
        <f t="shared" si="25"/>
        <v>1</v>
      </c>
      <c r="AE53" s="1" t="b">
        <f t="shared" si="41"/>
        <v>1</v>
      </c>
      <c r="AF53" s="1" t="b">
        <f t="shared" si="42"/>
        <v>1</v>
      </c>
      <c r="AH53" s="1" t="b">
        <f t="shared" si="35"/>
        <v>1</v>
      </c>
      <c r="AI53" s="1" t="b">
        <f t="shared" si="27"/>
        <v>0</v>
      </c>
      <c r="AJ53" s="1" t="b">
        <f t="shared" si="28"/>
        <v>1</v>
      </c>
      <c r="AL53">
        <f t="shared" si="29"/>
        <v>2002</v>
      </c>
      <c r="AM53" s="2">
        <f t="shared" si="43"/>
        <v>68612.857055324988</v>
      </c>
      <c r="AN53" s="2"/>
      <c r="AO53" s="2">
        <f t="shared" si="36"/>
        <v>68612.857055324988</v>
      </c>
      <c r="AP53" s="2">
        <f t="shared" si="36"/>
        <v>34306.428527662494</v>
      </c>
      <c r="AQ53" s="2"/>
      <c r="AR53" s="2">
        <f t="shared" si="37"/>
        <v>68612.857055324988</v>
      </c>
      <c r="AS53" s="2">
        <f t="shared" si="37"/>
        <v>102919.28558298746</v>
      </c>
      <c r="AT53" s="2">
        <f t="shared" si="30"/>
        <v>343064.2852766249</v>
      </c>
      <c r="AU53" s="2">
        <f t="shared" si="31"/>
        <v>0</v>
      </c>
    </row>
    <row r="54" spans="1:47" x14ac:dyDescent="0.2">
      <c r="A54">
        <f t="shared" si="4"/>
        <v>2003</v>
      </c>
      <c r="B54" s="2">
        <f t="shared" si="38"/>
        <v>88167.521316092607</v>
      </c>
      <c r="C54" s="2"/>
      <c r="D54" s="2">
        <f t="shared" si="44"/>
        <v>92038.658711154043</v>
      </c>
      <c r="E54" s="2">
        <f t="shared" si="45"/>
        <v>49959.765736264337</v>
      </c>
      <c r="F54" s="2"/>
      <c r="G54" s="2">
        <f t="shared" si="34"/>
        <v>96291.283591443091</v>
      </c>
      <c r="H54" s="2">
        <f t="shared" si="15"/>
        <v>107005.18122063208</v>
      </c>
      <c r="I54" s="2">
        <f t="shared" si="16"/>
        <v>433462.41057558614</v>
      </c>
      <c r="J54" s="2">
        <f t="shared" si="17"/>
        <v>90398.12529896124</v>
      </c>
      <c r="K54" s="6">
        <f t="shared" si="18"/>
        <v>0.26350200000000007</v>
      </c>
      <c r="L54" s="7">
        <f t="shared" si="19"/>
        <v>1.2635020000000001</v>
      </c>
      <c r="O54">
        <f t="shared" si="20"/>
        <v>2003</v>
      </c>
      <c r="P54" s="38">
        <f t="shared" si="5"/>
        <v>0.20340292298706295</v>
      </c>
      <c r="Q54" s="7"/>
      <c r="R54" s="6">
        <f t="shared" si="5"/>
        <v>0.21233365677300076</v>
      </c>
      <c r="S54" s="6">
        <f t="shared" si="5"/>
        <v>0.11525743528700391</v>
      </c>
      <c r="T54" s="7"/>
      <c r="U54" s="38">
        <f t="shared" si="5"/>
        <v>0.22214448414011218</v>
      </c>
      <c r="V54" s="38">
        <f t="shared" si="7"/>
        <v>0.24686150081282024</v>
      </c>
      <c r="W54" s="6">
        <f t="shared" si="21"/>
        <v>1.0000000000000002</v>
      </c>
      <c r="X54" s="7">
        <f t="shared" si="22"/>
        <v>0.7531384991871799</v>
      </c>
      <c r="Y54" s="7">
        <f t="shared" si="23"/>
        <v>0</v>
      </c>
      <c r="Z54" s="6"/>
      <c r="AB54">
        <f t="shared" si="24"/>
        <v>2003</v>
      </c>
      <c r="AC54" s="39" t="b">
        <f t="shared" si="25"/>
        <v>1</v>
      </c>
      <c r="AE54" s="1" t="b">
        <f t="shared" si="41"/>
        <v>1</v>
      </c>
      <c r="AF54" s="1" t="b">
        <f t="shared" si="42"/>
        <v>1</v>
      </c>
      <c r="AH54" s="39" t="b">
        <f t="shared" si="35"/>
        <v>1</v>
      </c>
      <c r="AI54" s="39" t="b">
        <f t="shared" si="27"/>
        <v>0</v>
      </c>
      <c r="AJ54" s="1" t="b">
        <f t="shared" si="28"/>
        <v>1</v>
      </c>
      <c r="AL54">
        <f t="shared" si="29"/>
        <v>2003</v>
      </c>
      <c r="AM54" s="2">
        <f t="shared" si="43"/>
        <v>86692.482115117236</v>
      </c>
      <c r="AN54" s="2"/>
      <c r="AO54" s="2">
        <f t="shared" si="36"/>
        <v>86692.482115117236</v>
      </c>
      <c r="AP54" s="2">
        <f t="shared" si="36"/>
        <v>43346.241057558618</v>
      </c>
      <c r="AQ54" s="2"/>
      <c r="AR54" s="2">
        <f t="shared" si="37"/>
        <v>86692.482115117236</v>
      </c>
      <c r="AS54" s="2">
        <f t="shared" si="37"/>
        <v>130038.72317267583</v>
      </c>
      <c r="AT54" s="2">
        <f t="shared" si="30"/>
        <v>433462.41057558614</v>
      </c>
      <c r="AU54" s="2">
        <f t="shared" si="31"/>
        <v>0</v>
      </c>
    </row>
    <row r="55" spans="1:47" x14ac:dyDescent="0.2">
      <c r="A55">
        <f t="shared" si="4"/>
        <v>2004</v>
      </c>
      <c r="B55" s="2">
        <f t="shared" si="38"/>
        <v>96003.254694280826</v>
      </c>
      <c r="C55" s="2"/>
      <c r="D55" s="2">
        <f t="shared" si="44"/>
        <v>104337.00300000704</v>
      </c>
      <c r="E55" s="2">
        <f t="shared" si="45"/>
        <v>51970.842640781062</v>
      </c>
      <c r="F55" s="2"/>
      <c r="G55" s="2">
        <f t="shared" si="34"/>
        <v>104756.59461344421</v>
      </c>
      <c r="H55" s="2">
        <f t="shared" si="15"/>
        <v>135552.36503519729</v>
      </c>
      <c r="I55" s="2">
        <f t="shared" si="16"/>
        <v>492620.05998371047</v>
      </c>
      <c r="J55" s="2">
        <f t="shared" si="17"/>
        <v>59157.649408124329</v>
      </c>
      <c r="K55" s="6">
        <f t="shared" si="18"/>
        <v>0.13647700000000013</v>
      </c>
      <c r="L55" s="7">
        <f t="shared" si="19"/>
        <v>1.1364770000000002</v>
      </c>
      <c r="O55">
        <f t="shared" si="20"/>
        <v>2004</v>
      </c>
      <c r="P55" s="6">
        <f t="shared" si="5"/>
        <v>0.19488295847606241</v>
      </c>
      <c r="Q55" s="7"/>
      <c r="R55" s="6">
        <f t="shared" si="5"/>
        <v>0.21180015081695447</v>
      </c>
      <c r="S55" s="6">
        <f t="shared" si="5"/>
        <v>0.1054988354361769</v>
      </c>
      <c r="T55" s="7"/>
      <c r="U55" s="6">
        <f t="shared" si="5"/>
        <v>0.21265190584587279</v>
      </c>
      <c r="V55" s="38">
        <f t="shared" si="7"/>
        <v>0.27516614942493334</v>
      </c>
      <c r="W55" s="6">
        <f t="shared" si="21"/>
        <v>0.99999999999999989</v>
      </c>
      <c r="X55" s="7">
        <f t="shared" si="22"/>
        <v>0.72483385057506655</v>
      </c>
      <c r="Y55" s="7">
        <f t="shared" si="23"/>
        <v>0</v>
      </c>
      <c r="Z55" s="6"/>
      <c r="AB55">
        <f t="shared" si="24"/>
        <v>2004</v>
      </c>
      <c r="AC55" s="1" t="b">
        <f t="shared" si="25"/>
        <v>1</v>
      </c>
      <c r="AE55" s="1" t="b">
        <f t="shared" si="41"/>
        <v>1</v>
      </c>
      <c r="AF55" s="1" t="b">
        <f t="shared" si="42"/>
        <v>1</v>
      </c>
      <c r="AH55" s="1" t="b">
        <f t="shared" si="35"/>
        <v>1</v>
      </c>
      <c r="AI55" s="39" t="b">
        <f t="shared" si="27"/>
        <v>1</v>
      </c>
      <c r="AJ55" s="1" t="b">
        <f t="shared" si="28"/>
        <v>1</v>
      </c>
      <c r="AL55">
        <f t="shared" si="29"/>
        <v>2004</v>
      </c>
      <c r="AM55" s="2">
        <f t="shared" si="43"/>
        <v>98524.011996742105</v>
      </c>
      <c r="AN55" s="2"/>
      <c r="AO55" s="2">
        <f t="shared" si="36"/>
        <v>98524.011996742105</v>
      </c>
      <c r="AP55" s="2">
        <f t="shared" si="36"/>
        <v>49262.005998371053</v>
      </c>
      <c r="AQ55" s="2"/>
      <c r="AR55" s="2">
        <f t="shared" si="37"/>
        <v>98524.011996742105</v>
      </c>
      <c r="AS55" s="2">
        <f t="shared" si="37"/>
        <v>147786.01799511313</v>
      </c>
      <c r="AT55" s="2">
        <f t="shared" si="30"/>
        <v>492620.05998371047</v>
      </c>
      <c r="AU55" s="2">
        <f t="shared" si="31"/>
        <v>0</v>
      </c>
    </row>
    <row r="56" spans="1:47" x14ac:dyDescent="0.2">
      <c r="A56">
        <f t="shared" si="4"/>
        <v>2005</v>
      </c>
      <c r="B56" s="2">
        <f t="shared" si="38"/>
        <v>103223.6073689867</v>
      </c>
      <c r="C56" s="2"/>
      <c r="D56" s="2">
        <f t="shared" si="44"/>
        <v>112249.39210800825</v>
      </c>
      <c r="E56" s="2">
        <f t="shared" si="45"/>
        <v>52889.167500031115</v>
      </c>
      <c r="F56" s="2"/>
      <c r="G56" s="2">
        <f t="shared" si="34"/>
        <v>113865.18590475482</v>
      </c>
      <c r="H56" s="2">
        <f t="shared" si="15"/>
        <v>151332.88242699584</v>
      </c>
      <c r="I56" s="2">
        <f t="shared" si="16"/>
        <v>533560.23530877684</v>
      </c>
      <c r="J56" s="2">
        <f>I56-I55</f>
        <v>40940.175325066375</v>
      </c>
      <c r="K56" s="6">
        <f>(J56/I55)</f>
        <v>8.3107000000000306E-2</v>
      </c>
      <c r="L56" s="7">
        <f t="shared" si="19"/>
        <v>1.0831070000000003</v>
      </c>
      <c r="O56">
        <f t="shared" si="20"/>
        <v>2005</v>
      </c>
      <c r="P56" s="6">
        <f t="shared" si="5"/>
        <v>0.19346195712888936</v>
      </c>
      <c r="Q56" s="7"/>
      <c r="R56" s="6">
        <f t="shared" si="5"/>
        <v>0.21037810668752022</v>
      </c>
      <c r="S56" s="6">
        <f t="shared" si="5"/>
        <v>9.9125017195900306E-2</v>
      </c>
      <c r="T56" s="7"/>
      <c r="U56" s="6">
        <f t="shared" si="5"/>
        <v>0.21340643168218834</v>
      </c>
      <c r="V56" s="6">
        <f t="shared" si="7"/>
        <v>0.28362848730550155</v>
      </c>
      <c r="W56" s="6">
        <f t="shared" si="21"/>
        <v>0.99999999999999978</v>
      </c>
      <c r="X56" s="7">
        <f t="shared" si="22"/>
        <v>0.71637151269449817</v>
      </c>
      <c r="Y56" s="7">
        <f t="shared" si="23"/>
        <v>0</v>
      </c>
      <c r="Z56" s="6"/>
      <c r="AB56">
        <f t="shared" si="24"/>
        <v>2005</v>
      </c>
      <c r="AC56" s="1" t="b">
        <f t="shared" si="25"/>
        <v>1</v>
      </c>
      <c r="AE56" s="1" t="b">
        <f t="shared" si="41"/>
        <v>1</v>
      </c>
      <c r="AF56" s="1" t="b">
        <f t="shared" si="42"/>
        <v>1</v>
      </c>
      <c r="AH56" s="1" t="b">
        <f t="shared" si="35"/>
        <v>1</v>
      </c>
      <c r="AI56" s="1" t="b">
        <f t="shared" si="27"/>
        <v>1</v>
      </c>
      <c r="AJ56" s="1" t="b">
        <f t="shared" si="28"/>
        <v>1</v>
      </c>
      <c r="AL56">
        <f t="shared" si="29"/>
        <v>2005</v>
      </c>
      <c r="AM56" s="2">
        <f t="shared" si="43"/>
        <v>106712.04706175538</v>
      </c>
      <c r="AN56" s="2"/>
      <c r="AO56" s="2">
        <f t="shared" si="36"/>
        <v>106712.04706175538</v>
      </c>
      <c r="AP56" s="2">
        <f t="shared" si="36"/>
        <v>53356.02353087769</v>
      </c>
      <c r="AQ56" s="2"/>
      <c r="AR56" s="2">
        <f t="shared" si="37"/>
        <v>106712.04706175538</v>
      </c>
      <c r="AS56" s="2">
        <f t="shared" si="37"/>
        <v>160068.07059263304</v>
      </c>
      <c r="AT56" s="2">
        <f t="shared" si="30"/>
        <v>533560.23530877684</v>
      </c>
      <c r="AU56" s="2">
        <f t="shared" si="31"/>
        <v>0</v>
      </c>
    </row>
    <row r="57" spans="1:47" x14ac:dyDescent="0.2">
      <c r="A57">
        <f t="shared" si="4"/>
        <v>2006</v>
      </c>
      <c r="B57" s="2">
        <f t="shared" si="38"/>
        <v>123401.81122221393</v>
      </c>
      <c r="C57" s="2"/>
      <c r="D57" s="2">
        <f t="shared" si="44"/>
        <v>121221.68410074225</v>
      </c>
      <c r="E57" s="2">
        <f t="shared" si="45"/>
        <v>61709.4425748719</v>
      </c>
      <c r="F57" s="2"/>
      <c r="G57" s="2">
        <f t="shared" si="34"/>
        <v>135136.93503759516</v>
      </c>
      <c r="H57" s="2">
        <f t="shared" si="15"/>
        <v>166902.97720693846</v>
      </c>
      <c r="I57" s="2">
        <f t="shared" si="16"/>
        <v>608372.85014236171</v>
      </c>
      <c r="J57" s="2">
        <f t="shared" si="17"/>
        <v>74812.61483358487</v>
      </c>
      <c r="K57" s="6">
        <f t="shared" si="18"/>
        <v>0.14021400000000006</v>
      </c>
      <c r="L57" s="7">
        <f t="shared" si="19"/>
        <v>1.1402140000000001</v>
      </c>
      <c r="O57">
        <f t="shared" si="20"/>
        <v>2006</v>
      </c>
      <c r="P57" s="6">
        <f t="shared" si="5"/>
        <v>0.20283911616591274</v>
      </c>
      <c r="Q57" s="7"/>
      <c r="R57" s="6">
        <f t="shared" si="5"/>
        <v>0.19925557833880306</v>
      </c>
      <c r="S57" s="6">
        <f t="shared" si="5"/>
        <v>0.10143359053651332</v>
      </c>
      <c r="T57" s="7"/>
      <c r="U57" s="6">
        <f t="shared" si="5"/>
        <v>0.22212847763665419</v>
      </c>
      <c r="V57" s="6">
        <f t="shared" si="7"/>
        <v>0.27434323732211668</v>
      </c>
      <c r="W57" s="6">
        <f t="shared" si="21"/>
        <v>1</v>
      </c>
      <c r="X57" s="7">
        <f t="shared" si="22"/>
        <v>0.72565676267788337</v>
      </c>
      <c r="Y57" s="7">
        <f t="shared" si="23"/>
        <v>0</v>
      </c>
      <c r="Z57" s="6"/>
      <c r="AB57">
        <f t="shared" si="24"/>
        <v>2006</v>
      </c>
      <c r="AC57" s="1" t="b">
        <f t="shared" si="25"/>
        <v>1</v>
      </c>
      <c r="AE57" s="1" t="b">
        <f t="shared" si="41"/>
        <v>1</v>
      </c>
      <c r="AF57" s="1" t="b">
        <f t="shared" si="42"/>
        <v>1</v>
      </c>
      <c r="AH57" s="1" t="b">
        <f t="shared" si="35"/>
        <v>1</v>
      </c>
      <c r="AI57" s="1" t="b">
        <f t="shared" si="27"/>
        <v>1</v>
      </c>
      <c r="AJ57" s="1" t="b">
        <f t="shared" si="28"/>
        <v>1</v>
      </c>
      <c r="AL57">
        <f t="shared" si="29"/>
        <v>2006</v>
      </c>
      <c r="AM57" s="2">
        <f t="shared" si="43"/>
        <v>121674.57002847234</v>
      </c>
      <c r="AN57" s="2"/>
      <c r="AO57" s="2">
        <f t="shared" si="36"/>
        <v>121674.57002847234</v>
      </c>
      <c r="AP57" s="2">
        <f t="shared" si="36"/>
        <v>60837.285014236171</v>
      </c>
      <c r="AQ57" s="2"/>
      <c r="AR57" s="2">
        <f t="shared" si="37"/>
        <v>121674.57002847234</v>
      </c>
      <c r="AS57" s="2">
        <f t="shared" si="37"/>
        <v>182511.85504270851</v>
      </c>
      <c r="AT57" s="2">
        <f t="shared" si="30"/>
        <v>608372.85014236171</v>
      </c>
      <c r="AU57" s="2">
        <f t="shared" si="31"/>
        <v>0</v>
      </c>
    </row>
    <row r="58" spans="1:47" x14ac:dyDescent="0.2">
      <c r="A58">
        <f t="shared" si="4"/>
        <v>2007</v>
      </c>
      <c r="B58" s="2">
        <f t="shared" si="38"/>
        <v>128232.82935300701</v>
      </c>
      <c r="C58" s="2"/>
      <c r="D58" s="2">
        <f t="shared" si="44"/>
        <v>129000.59588988668</v>
      </c>
      <c r="E58" s="2">
        <f t="shared" si="45"/>
        <v>61540.564029000743</v>
      </c>
      <c r="F58" s="2"/>
      <c r="G58" s="2">
        <f t="shared" si="34"/>
        <v>140560.89678829181</v>
      </c>
      <c r="H58" s="2">
        <f t="shared" si="15"/>
        <v>195141.67541166392</v>
      </c>
      <c r="I58" s="2">
        <f t="shared" si="16"/>
        <v>654476.56147185015</v>
      </c>
      <c r="J58" s="2">
        <f t="shared" si="17"/>
        <v>46103.711329488433</v>
      </c>
      <c r="K58" s="6">
        <f t="shared" si="18"/>
        <v>7.5781999999999961E-2</v>
      </c>
      <c r="L58" s="7">
        <f t="shared" si="19"/>
        <v>1.075782</v>
      </c>
      <c r="O58">
        <f t="shared" si="20"/>
        <v>2007</v>
      </c>
      <c r="P58" s="6">
        <f t="shared" si="5"/>
        <v>0.19593188954639509</v>
      </c>
      <c r="Q58" s="7"/>
      <c r="R58" s="6">
        <f t="shared" si="5"/>
        <v>0.19710498967262888</v>
      </c>
      <c r="S58" s="6">
        <f t="shared" si="5"/>
        <v>9.4030203145246904E-2</v>
      </c>
      <c r="T58" s="7"/>
      <c r="U58" s="6">
        <f t="shared" si="5"/>
        <v>0.21476841962405022</v>
      </c>
      <c r="V58" s="38">
        <f t="shared" si="7"/>
        <v>0.29816449801167894</v>
      </c>
      <c r="W58" s="6">
        <f t="shared" si="21"/>
        <v>1</v>
      </c>
      <c r="X58" s="7">
        <f t="shared" si="22"/>
        <v>0.70183550198832112</v>
      </c>
      <c r="Y58" s="7">
        <f t="shared" si="23"/>
        <v>0</v>
      </c>
      <c r="Z58" s="6"/>
      <c r="AB58">
        <f t="shared" si="24"/>
        <v>2007</v>
      </c>
      <c r="AC58" s="1" t="b">
        <f t="shared" si="25"/>
        <v>1</v>
      </c>
      <c r="AE58" s="1" t="b">
        <f t="shared" si="41"/>
        <v>1</v>
      </c>
      <c r="AF58" s="1" t="b">
        <f t="shared" si="42"/>
        <v>1</v>
      </c>
      <c r="AH58" s="1" t="b">
        <f t="shared" si="35"/>
        <v>1</v>
      </c>
      <c r="AI58" s="39" t="b">
        <f t="shared" si="27"/>
        <v>1</v>
      </c>
      <c r="AJ58" s="1" t="b">
        <f t="shared" si="28"/>
        <v>1</v>
      </c>
      <c r="AL58">
        <f t="shared" si="29"/>
        <v>2007</v>
      </c>
      <c r="AM58" s="2">
        <f t="shared" si="43"/>
        <v>130895.31229437003</v>
      </c>
      <c r="AN58" s="2"/>
      <c r="AO58" s="2">
        <f t="shared" si="36"/>
        <v>130895.31229437003</v>
      </c>
      <c r="AP58" s="2">
        <f t="shared" si="36"/>
        <v>65447.656147185015</v>
      </c>
      <c r="AQ58" s="2"/>
      <c r="AR58" s="2">
        <f t="shared" si="37"/>
        <v>130895.31229437003</v>
      </c>
      <c r="AS58" s="2">
        <f t="shared" si="37"/>
        <v>196342.96844155504</v>
      </c>
      <c r="AT58" s="2">
        <f t="shared" si="30"/>
        <v>654476.56147185015</v>
      </c>
      <c r="AU58" s="2">
        <f t="shared" si="31"/>
        <v>0</v>
      </c>
    </row>
    <row r="59" spans="1:47" x14ac:dyDescent="0.2">
      <c r="A59">
        <f t="shared" si="4"/>
        <v>2008</v>
      </c>
      <c r="B59" s="2">
        <f t="shared" si="38"/>
        <v>82437.867682994227</v>
      </c>
      <c r="C59" s="2"/>
      <c r="D59" s="2">
        <f t="shared" si="44"/>
        <v>76149.656880372713</v>
      </c>
      <c r="E59" s="2">
        <f t="shared" si="45"/>
        <v>41840.686574895379</v>
      </c>
      <c r="F59" s="2"/>
      <c r="G59" s="2">
        <f t="shared" si="34"/>
        <v>73169.170619429904</v>
      </c>
      <c r="H59" s="2">
        <f t="shared" si="15"/>
        <v>206258.28834785358</v>
      </c>
      <c r="I59" s="2">
        <f t="shared" si="16"/>
        <v>479855.67010554578</v>
      </c>
      <c r="J59" s="2">
        <f t="shared" si="17"/>
        <v>-174620.89136630436</v>
      </c>
      <c r="K59" s="6">
        <f t="shared" si="18"/>
        <v>-0.26681000000000005</v>
      </c>
      <c r="L59" s="7">
        <f t="shared" si="19"/>
        <v>0.73319000000000001</v>
      </c>
      <c r="O59">
        <f t="shared" si="20"/>
        <v>2008</v>
      </c>
      <c r="P59" s="6">
        <f t="shared" si="5"/>
        <v>0.17179721491018696</v>
      </c>
      <c r="Q59" s="7"/>
      <c r="R59" s="6">
        <f t="shared" si="5"/>
        <v>0.15869283541783169</v>
      </c>
      <c r="S59" s="6">
        <f t="shared" si="5"/>
        <v>8.7194315252526633E-2</v>
      </c>
      <c r="T59" s="7"/>
      <c r="U59" s="6">
        <f t="shared" si="5"/>
        <v>0.15248162140782062</v>
      </c>
      <c r="V59" s="6">
        <f t="shared" si="7"/>
        <v>0.42983401301163415</v>
      </c>
      <c r="W59" s="6">
        <f t="shared" si="21"/>
        <v>1</v>
      </c>
      <c r="X59" s="7">
        <f t="shared" si="22"/>
        <v>0.57016598698836596</v>
      </c>
      <c r="Y59" s="7">
        <f t="shared" si="23"/>
        <v>0</v>
      </c>
      <c r="Z59" s="6"/>
      <c r="AA59" s="7">
        <f>SUM(P59:U59)</f>
        <v>0.57016598698836596</v>
      </c>
      <c r="AB59">
        <f t="shared" si="24"/>
        <v>2008</v>
      </c>
      <c r="AC59" s="1" t="b">
        <f t="shared" si="25"/>
        <v>1</v>
      </c>
      <c r="AE59" s="1" t="b">
        <f t="shared" si="41"/>
        <v>1</v>
      </c>
      <c r="AF59" s="1" t="b">
        <f t="shared" si="42"/>
        <v>1</v>
      </c>
      <c r="AH59" s="1" t="b">
        <f t="shared" si="35"/>
        <v>1</v>
      </c>
      <c r="AI59" s="1" t="b">
        <f t="shared" si="27"/>
        <v>0</v>
      </c>
      <c r="AJ59" s="1" t="b">
        <f t="shared" si="28"/>
        <v>1</v>
      </c>
      <c r="AL59">
        <f t="shared" si="29"/>
        <v>2008</v>
      </c>
      <c r="AM59" s="2">
        <f t="shared" si="43"/>
        <v>95971.134021109159</v>
      </c>
      <c r="AN59" s="2"/>
      <c r="AO59" s="2">
        <f t="shared" si="36"/>
        <v>95971.134021109159</v>
      </c>
      <c r="AP59" s="2">
        <f t="shared" si="36"/>
        <v>47985.56701055458</v>
      </c>
      <c r="AQ59" s="2"/>
      <c r="AR59" s="2">
        <f t="shared" si="37"/>
        <v>95971.134021109159</v>
      </c>
      <c r="AS59" s="2">
        <f t="shared" si="37"/>
        <v>143956.70103166372</v>
      </c>
      <c r="AT59" s="2">
        <f t="shared" si="30"/>
        <v>479855.67010554578</v>
      </c>
      <c r="AU59" s="2">
        <f t="shared" si="31"/>
        <v>0</v>
      </c>
    </row>
    <row r="60" spans="1:47" x14ac:dyDescent="0.2">
      <c r="A60">
        <f t="shared" si="4"/>
        <v>2009</v>
      </c>
      <c r="B60" s="2">
        <f t="shared" si="38"/>
        <v>121393.88742330097</v>
      </c>
      <c r="C60" s="2"/>
      <c r="D60" s="2">
        <f t="shared" si="44"/>
        <v>134568.80470171885</v>
      </c>
      <c r="E60" s="2">
        <f t="shared" si="45"/>
        <v>65316.994103426689</v>
      </c>
      <c r="F60" s="2"/>
      <c r="G60" s="2">
        <f t="shared" si="34"/>
        <v>131218.45241304193</v>
      </c>
      <c r="H60" s="2">
        <f t="shared" si="15"/>
        <v>152493.33340284135</v>
      </c>
      <c r="I60" s="2">
        <f t="shared" si="16"/>
        <v>604991.47204432974</v>
      </c>
      <c r="J60" s="2">
        <f t="shared" si="17"/>
        <v>125135.80193878396</v>
      </c>
      <c r="K60" s="6">
        <f t="shared" si="18"/>
        <v>0.2607779999999999</v>
      </c>
      <c r="L60" s="7">
        <f t="shared" si="19"/>
        <v>1.260778</v>
      </c>
      <c r="O60">
        <f t="shared" si="20"/>
        <v>2009</v>
      </c>
      <c r="P60" s="6">
        <f t="shared" si="5"/>
        <v>0.20065388196811812</v>
      </c>
      <c r="Q60" s="7"/>
      <c r="R60" s="6">
        <f t="shared" si="5"/>
        <v>0.22243091170689849</v>
      </c>
      <c r="S60" s="6">
        <f t="shared" si="5"/>
        <v>0.10796349555591866</v>
      </c>
      <c r="T60" s="7"/>
      <c r="U60" s="6">
        <f t="shared" si="5"/>
        <v>0.21689306126851837</v>
      </c>
      <c r="V60" s="38">
        <f t="shared" si="7"/>
        <v>0.25205864950054646</v>
      </c>
      <c r="W60" s="6">
        <f t="shared" si="21"/>
        <v>1</v>
      </c>
      <c r="X60" s="7">
        <f t="shared" si="22"/>
        <v>0.74794135049945365</v>
      </c>
      <c r="Y60" s="7">
        <f t="shared" si="23"/>
        <v>0</v>
      </c>
      <c r="Z60" s="6"/>
      <c r="AB60">
        <f t="shared" si="24"/>
        <v>2009</v>
      </c>
      <c r="AC60" s="1" t="b">
        <f t="shared" si="25"/>
        <v>1</v>
      </c>
      <c r="AE60" s="1" t="b">
        <f t="shared" si="41"/>
        <v>1</v>
      </c>
      <c r="AF60" s="1" t="b">
        <f t="shared" si="42"/>
        <v>1</v>
      </c>
      <c r="AH60" s="1" t="b">
        <f t="shared" si="35"/>
        <v>1</v>
      </c>
      <c r="AI60" s="39" t="b">
        <f t="shared" si="27"/>
        <v>1</v>
      </c>
      <c r="AJ60" s="1" t="b">
        <f t="shared" si="28"/>
        <v>1</v>
      </c>
      <c r="AL60">
        <f t="shared" si="29"/>
        <v>2009</v>
      </c>
      <c r="AM60" s="2">
        <f t="shared" si="43"/>
        <v>120998.29440886596</v>
      </c>
      <c r="AN60" s="2"/>
      <c r="AO60" s="2">
        <f t="shared" si="36"/>
        <v>120998.29440886596</v>
      </c>
      <c r="AP60" s="2">
        <f t="shared" si="36"/>
        <v>60499.147204432978</v>
      </c>
      <c r="AQ60" s="2"/>
      <c r="AR60" s="2">
        <f t="shared" si="37"/>
        <v>120998.29440886596</v>
      </c>
      <c r="AS60" s="2">
        <f t="shared" si="37"/>
        <v>181497.44161329893</v>
      </c>
      <c r="AT60" s="2">
        <f t="shared" si="30"/>
        <v>604991.47204432974</v>
      </c>
      <c r="AU60" s="2">
        <f t="shared" si="31"/>
        <v>0</v>
      </c>
    </row>
    <row r="61" spans="1:47" x14ac:dyDescent="0.2">
      <c r="A61">
        <f t="shared" si="4"/>
        <v>2010</v>
      </c>
      <c r="B61" s="2">
        <f t="shared" si="38"/>
        <v>139039.14010522788</v>
      </c>
      <c r="C61" s="2"/>
      <c r="D61" s="2">
        <f t="shared" si="44"/>
        <v>151804.46016536321</v>
      </c>
      <c r="E61" s="2">
        <f t="shared" si="45"/>
        <v>77269.510809501808</v>
      </c>
      <c r="F61" s="2"/>
      <c r="G61" s="2">
        <f t="shared" si="34"/>
        <v>134453.30474713186</v>
      </c>
      <c r="H61" s="2">
        <f t="shared" si="15"/>
        <v>193149.57736487273</v>
      </c>
      <c r="I61" s="2">
        <f t="shared" si="16"/>
        <v>695715.9931920974</v>
      </c>
      <c r="J61" s="2">
        <f t="shared" si="17"/>
        <v>90724.521147767664</v>
      </c>
      <c r="K61" s="6">
        <f t="shared" si="18"/>
        <v>0.14995999999999995</v>
      </c>
      <c r="L61" s="7">
        <f t="shared" si="19"/>
        <v>1.1499599999999999</v>
      </c>
      <c r="O61">
        <f t="shared" si="20"/>
        <v>2010</v>
      </c>
      <c r="P61" s="6">
        <f t="shared" si="5"/>
        <v>0.19985042958015933</v>
      </c>
      <c r="Q61" s="7"/>
      <c r="R61" s="6">
        <f t="shared" si="5"/>
        <v>0.21819889387456956</v>
      </c>
      <c r="S61" s="6">
        <f t="shared" si="5"/>
        <v>0.11106473268635433</v>
      </c>
      <c r="T61" s="7"/>
      <c r="U61" s="6">
        <f t="shared" si="5"/>
        <v>0.1932588959615987</v>
      </c>
      <c r="V61" s="6">
        <f t="shared" si="7"/>
        <v>0.27762704789731818</v>
      </c>
      <c r="W61" s="6">
        <f t="shared" si="21"/>
        <v>1</v>
      </c>
      <c r="X61" s="7">
        <f t="shared" si="22"/>
        <v>0.72237295210268193</v>
      </c>
      <c r="Y61" s="7">
        <f t="shared" si="23"/>
        <v>0</v>
      </c>
      <c r="Z61" s="6"/>
      <c r="AB61">
        <f t="shared" si="24"/>
        <v>2010</v>
      </c>
      <c r="AC61" s="1" t="b">
        <f t="shared" si="25"/>
        <v>1</v>
      </c>
      <c r="AE61" s="1" t="b">
        <f t="shared" si="41"/>
        <v>1</v>
      </c>
      <c r="AF61" s="1" t="b">
        <f t="shared" si="42"/>
        <v>1</v>
      </c>
      <c r="AH61" s="1" t="b">
        <f t="shared" si="35"/>
        <v>1</v>
      </c>
      <c r="AI61" s="1" t="b">
        <f t="shared" si="27"/>
        <v>1</v>
      </c>
      <c r="AJ61" s="1" t="b">
        <f t="shared" si="28"/>
        <v>1</v>
      </c>
      <c r="AL61">
        <f t="shared" si="29"/>
        <v>2010</v>
      </c>
      <c r="AM61" s="2">
        <f t="shared" si="43"/>
        <v>139143.19863841948</v>
      </c>
      <c r="AN61" s="2"/>
      <c r="AO61" s="2">
        <f t="shared" si="36"/>
        <v>139143.19863841948</v>
      </c>
      <c r="AP61" s="2">
        <f t="shared" si="36"/>
        <v>69571.599319209738</v>
      </c>
      <c r="AQ61" s="2"/>
      <c r="AR61" s="2">
        <f t="shared" si="37"/>
        <v>139143.19863841948</v>
      </c>
      <c r="AS61" s="2">
        <f t="shared" si="37"/>
        <v>208714.79795762923</v>
      </c>
      <c r="AT61" s="2">
        <f t="shared" si="30"/>
        <v>695715.9931920974</v>
      </c>
      <c r="AU61" s="2">
        <f t="shared" si="31"/>
        <v>0</v>
      </c>
    </row>
    <row r="62" spans="1:47" x14ac:dyDescent="0.2">
      <c r="A62">
        <f t="shared" si="4"/>
        <v>2011</v>
      </c>
      <c r="B62" s="2">
        <f t="shared" si="38"/>
        <v>141884.31965159634</v>
      </c>
      <c r="C62" s="2"/>
      <c r="D62" s="2">
        <f t="shared" si="44"/>
        <v>136207.27714714882</v>
      </c>
      <c r="E62" s="2">
        <f t="shared" si="45"/>
        <v>67623.594538271864</v>
      </c>
      <c r="F62" s="2"/>
      <c r="G62" s="2">
        <f t="shared" si="34"/>
        <v>118883.94891666561</v>
      </c>
      <c r="H62" s="2">
        <f t="shared" si="15"/>
        <v>224493.63668322601</v>
      </c>
      <c r="I62" s="2">
        <f t="shared" si="16"/>
        <v>689092.7769369086</v>
      </c>
      <c r="J62" s="2">
        <f t="shared" si="17"/>
        <v>-6623.2162551888032</v>
      </c>
      <c r="K62" s="6">
        <f t="shared" si="18"/>
        <v>-9.520000000000051E-3</v>
      </c>
      <c r="L62" s="7">
        <f t="shared" si="19"/>
        <v>0.99047999999999992</v>
      </c>
      <c r="O62">
        <f t="shared" si="20"/>
        <v>2011</v>
      </c>
      <c r="P62" s="6">
        <f t="shared" si="5"/>
        <v>0.20590016961473226</v>
      </c>
      <c r="Q62" s="7"/>
      <c r="R62" s="6">
        <f t="shared" si="5"/>
        <v>0.19766173976253937</v>
      </c>
      <c r="S62" s="6">
        <f t="shared" si="5"/>
        <v>9.8134237945238678E-2</v>
      </c>
      <c r="T62" s="7"/>
      <c r="U62" s="6">
        <f t="shared" si="5"/>
        <v>0.17252241337533319</v>
      </c>
      <c r="V62" s="38">
        <f t="shared" si="7"/>
        <v>0.32578143930215658</v>
      </c>
      <c r="W62" s="6">
        <f t="shared" si="21"/>
        <v>1</v>
      </c>
      <c r="X62" s="7">
        <f t="shared" si="22"/>
        <v>0.67421856069784347</v>
      </c>
      <c r="Y62" s="7">
        <f t="shared" si="23"/>
        <v>0</v>
      </c>
      <c r="Z62" s="6"/>
      <c r="AB62">
        <f t="shared" si="24"/>
        <v>2011</v>
      </c>
      <c r="AC62" s="1" t="b">
        <f t="shared" si="25"/>
        <v>1</v>
      </c>
      <c r="AE62" s="1" t="b">
        <f t="shared" si="41"/>
        <v>1</v>
      </c>
      <c r="AF62" s="1" t="b">
        <f t="shared" si="42"/>
        <v>1</v>
      </c>
      <c r="AH62" s="1" t="b">
        <f t="shared" si="35"/>
        <v>1</v>
      </c>
      <c r="AI62" s="39" t="b">
        <f t="shared" si="27"/>
        <v>1</v>
      </c>
      <c r="AJ62" s="1" t="b">
        <f t="shared" si="28"/>
        <v>1</v>
      </c>
      <c r="AL62">
        <f t="shared" si="29"/>
        <v>2011</v>
      </c>
      <c r="AM62" s="2">
        <f t="shared" si="43"/>
        <v>137818.55538738173</v>
      </c>
      <c r="AN62" s="2"/>
      <c r="AO62" s="2">
        <f t="shared" si="36"/>
        <v>137818.55538738173</v>
      </c>
      <c r="AP62" s="2">
        <f t="shared" si="36"/>
        <v>68909.277693690863</v>
      </c>
      <c r="AQ62" s="2"/>
      <c r="AR62" s="2">
        <f t="shared" si="37"/>
        <v>137818.55538738173</v>
      </c>
      <c r="AS62" s="2">
        <f t="shared" si="37"/>
        <v>206727.83308107257</v>
      </c>
      <c r="AT62" s="2">
        <f t="shared" si="30"/>
        <v>689092.7769369086</v>
      </c>
      <c r="AU62" s="2">
        <f t="shared" si="31"/>
        <v>0</v>
      </c>
    </row>
    <row r="63" spans="1:47" x14ac:dyDescent="0.2">
      <c r="A63">
        <f t="shared" si="4"/>
        <v>2012</v>
      </c>
      <c r="B63" s="2">
        <f t="shared" si="38"/>
        <v>159621.4508496655</v>
      </c>
      <c r="C63" s="2"/>
      <c r="D63" s="2">
        <f t="shared" si="44"/>
        <v>159593.88713858803</v>
      </c>
      <c r="E63" s="2">
        <f t="shared" si="45"/>
        <v>81340.511389632709</v>
      </c>
      <c r="F63" s="2"/>
      <c r="G63" s="2">
        <f t="shared" si="34"/>
        <v>162818.84133465277</v>
      </c>
      <c r="H63" s="2">
        <f t="shared" si="15"/>
        <v>215100.31032085602</v>
      </c>
      <c r="I63" s="2">
        <f t="shared" si="16"/>
        <v>778475.00103339506</v>
      </c>
      <c r="J63" s="2">
        <f t="shared" si="17"/>
        <v>89382.224096486461</v>
      </c>
      <c r="K63" s="6">
        <f t="shared" si="18"/>
        <v>0.12971000000000008</v>
      </c>
      <c r="L63" s="7">
        <f t="shared" si="19"/>
        <v>1.12971</v>
      </c>
      <c r="O63">
        <f t="shared" si="20"/>
        <v>2012</v>
      </c>
      <c r="P63" s="6">
        <f t="shared" si="5"/>
        <v>0.20504377229554485</v>
      </c>
      <c r="Q63" s="7"/>
      <c r="R63" s="6">
        <f t="shared" si="5"/>
        <v>0.20500836497862282</v>
      </c>
      <c r="S63" s="6">
        <f t="shared" si="5"/>
        <v>0.10448699223694578</v>
      </c>
      <c r="T63" s="7"/>
      <c r="U63" s="6">
        <f t="shared" si="5"/>
        <v>0.20915102105850172</v>
      </c>
      <c r="V63" s="6">
        <f t="shared" si="7"/>
        <v>0.27630984943038478</v>
      </c>
      <c r="W63" s="6">
        <f t="shared" si="21"/>
        <v>1</v>
      </c>
      <c r="X63" s="7">
        <f t="shared" si="22"/>
        <v>0.72369015056961516</v>
      </c>
      <c r="Y63" s="7">
        <f t="shared" si="23"/>
        <v>0</v>
      </c>
      <c r="Z63" s="6"/>
      <c r="AB63">
        <f t="shared" si="24"/>
        <v>2012</v>
      </c>
      <c r="AC63" s="1" t="b">
        <f t="shared" si="25"/>
        <v>1</v>
      </c>
      <c r="AE63" s="1" t="b">
        <f t="shared" si="41"/>
        <v>1</v>
      </c>
      <c r="AF63" s="1" t="b">
        <f t="shared" si="42"/>
        <v>1</v>
      </c>
      <c r="AH63" s="1" t="b">
        <f t="shared" si="35"/>
        <v>1</v>
      </c>
      <c r="AI63" s="1" t="b">
        <f t="shared" si="27"/>
        <v>1</v>
      </c>
      <c r="AJ63" s="1" t="b">
        <f t="shared" si="28"/>
        <v>1</v>
      </c>
      <c r="AL63">
        <f t="shared" si="29"/>
        <v>2012</v>
      </c>
      <c r="AM63" s="2">
        <f t="shared" si="43"/>
        <v>155695.00020667902</v>
      </c>
      <c r="AN63" s="2"/>
      <c r="AO63" s="2">
        <f t="shared" si="36"/>
        <v>155695.00020667902</v>
      </c>
      <c r="AP63" s="2">
        <f t="shared" si="36"/>
        <v>77847.500103339509</v>
      </c>
      <c r="AQ63" s="2"/>
      <c r="AR63" s="2">
        <f t="shared" si="37"/>
        <v>155695.00020667902</v>
      </c>
      <c r="AS63" s="2">
        <f t="shared" si="37"/>
        <v>233542.50031001851</v>
      </c>
      <c r="AT63" s="2">
        <f t="shared" si="30"/>
        <v>778475.00103339506</v>
      </c>
      <c r="AU63" s="2">
        <f t="shared" si="31"/>
        <v>0</v>
      </c>
    </row>
    <row r="64" spans="1:47" x14ac:dyDescent="0.2">
      <c r="A64">
        <f t="shared" si="4"/>
        <v>2013</v>
      </c>
      <c r="B64" s="2">
        <f t="shared" si="38"/>
        <v>205797.65127318833</v>
      </c>
      <c r="C64" s="2"/>
      <c r="D64" s="2">
        <f t="shared" si="44"/>
        <v>210188.25027901668</v>
      </c>
      <c r="E64" s="2">
        <f t="shared" si="45"/>
        <v>107133.72964221583</v>
      </c>
      <c r="F64" s="2"/>
      <c r="G64" s="2">
        <f t="shared" si="34"/>
        <v>179111.52823776353</v>
      </c>
      <c r="H64" s="2">
        <f t="shared" si="15"/>
        <v>228264.43980301209</v>
      </c>
      <c r="I64" s="2">
        <f t="shared" si="16"/>
        <v>930495.59923519637</v>
      </c>
      <c r="J64" s="2">
        <f t="shared" si="17"/>
        <v>152020.5982018013</v>
      </c>
      <c r="K64" s="6">
        <f t="shared" si="18"/>
        <v>0.1952799999999999</v>
      </c>
      <c r="L64" s="7">
        <f t="shared" si="19"/>
        <v>1.1952799999999999</v>
      </c>
      <c r="O64">
        <f t="shared" si="20"/>
        <v>2013</v>
      </c>
      <c r="P64" s="6">
        <f t="shared" si="5"/>
        <v>0.22116993507797339</v>
      </c>
      <c r="Q64" s="7"/>
      <c r="R64" s="6">
        <f t="shared" si="5"/>
        <v>0.22588849474600098</v>
      </c>
      <c r="S64" s="6">
        <f t="shared" si="5"/>
        <v>0.11513620239609131</v>
      </c>
      <c r="T64" s="7"/>
      <c r="U64" s="6">
        <f t="shared" si="5"/>
        <v>0.19249046248577739</v>
      </c>
      <c r="V64" s="6">
        <f t="shared" si="7"/>
        <v>0.24531490529415703</v>
      </c>
      <c r="W64" s="6">
        <f t="shared" si="21"/>
        <v>1.0000000000000002</v>
      </c>
      <c r="X64" s="7">
        <f t="shared" si="22"/>
        <v>0.75468509470584311</v>
      </c>
      <c r="Y64" s="7">
        <f t="shared" si="23"/>
        <v>0</v>
      </c>
      <c r="Z64" s="6"/>
      <c r="AB64">
        <f t="shared" si="24"/>
        <v>2013</v>
      </c>
      <c r="AC64" s="1" t="b">
        <f t="shared" si="25"/>
        <v>1</v>
      </c>
      <c r="AE64" s="1" t="b">
        <f t="shared" si="41"/>
        <v>1</v>
      </c>
      <c r="AF64" s="1" t="b">
        <f t="shared" si="42"/>
        <v>1</v>
      </c>
      <c r="AH64" s="1" t="b">
        <f t="shared" si="35"/>
        <v>1</v>
      </c>
      <c r="AI64" s="1" t="b">
        <f t="shared" si="27"/>
        <v>0</v>
      </c>
      <c r="AJ64" s="1" t="b">
        <f t="shared" si="28"/>
        <v>1</v>
      </c>
      <c r="AL64">
        <f t="shared" si="29"/>
        <v>2013</v>
      </c>
      <c r="AM64" s="2">
        <f t="shared" si="43"/>
        <v>186099.11984703928</v>
      </c>
      <c r="AN64" s="2"/>
      <c r="AO64" s="2">
        <f t="shared" si="36"/>
        <v>186099.11984703928</v>
      </c>
      <c r="AP64" s="2">
        <f t="shared" si="36"/>
        <v>93049.559923519642</v>
      </c>
      <c r="AQ64" s="2"/>
      <c r="AR64" s="2">
        <f t="shared" si="37"/>
        <v>186099.11984703928</v>
      </c>
      <c r="AS64" s="2">
        <f t="shared" si="37"/>
        <v>279148.6797705589</v>
      </c>
      <c r="AT64" s="2">
        <f t="shared" si="30"/>
        <v>930495.59923519637</v>
      </c>
      <c r="AU64" s="2">
        <f t="shared" si="31"/>
        <v>0</v>
      </c>
    </row>
    <row r="65" spans="1:45" x14ac:dyDescent="0.2">
      <c r="A65" s="9" t="s">
        <v>78</v>
      </c>
      <c r="B65" s="10">
        <f>B64</f>
        <v>205797.65127318833</v>
      </c>
      <c r="C65" s="10"/>
      <c r="D65" s="10">
        <f>D64</f>
        <v>210188.25027901668</v>
      </c>
      <c r="E65" s="10">
        <f>E64</f>
        <v>107133.72964221583</v>
      </c>
      <c r="F65" s="10"/>
      <c r="G65" s="10">
        <f>G64</f>
        <v>179111.52823776353</v>
      </c>
      <c r="H65" s="10">
        <f>H64</f>
        <v>228264.43980301209</v>
      </c>
      <c r="I65" s="10">
        <f>SUM(B65:H65)</f>
        <v>930495.59923519637</v>
      </c>
      <c r="J65" s="10"/>
      <c r="K65" s="10"/>
      <c r="AM65" s="22"/>
      <c r="AO65" s="22"/>
      <c r="AP65" s="22"/>
      <c r="AR65" s="22"/>
      <c r="AS65" s="22"/>
    </row>
    <row r="66" spans="1:45" x14ac:dyDescent="0.2">
      <c r="A66" s="11" t="s">
        <v>79</v>
      </c>
      <c r="I66" s="6">
        <f>(I65-I39)/I39</f>
        <v>8.3049559923519638</v>
      </c>
      <c r="K66" s="6"/>
      <c r="R66" s="7"/>
      <c r="AO66" s="2"/>
    </row>
    <row r="67" spans="1:45" x14ac:dyDescent="0.2">
      <c r="A67" s="1" t="s">
        <v>80</v>
      </c>
      <c r="I67" s="29">
        <f>STDEV(L40:L64)</f>
        <v>0.12738512271953137</v>
      </c>
      <c r="K67" s="30"/>
    </row>
    <row r="68" spans="1:45" x14ac:dyDescent="0.2">
      <c r="A68" s="1" t="s">
        <v>81</v>
      </c>
      <c r="I68" s="13">
        <f>((1+I66)^(1/I73))-1</f>
        <v>9.3323222995336463E-2</v>
      </c>
      <c r="K68" s="30"/>
    </row>
    <row r="69" spans="1:45" x14ac:dyDescent="0.2">
      <c r="A69" s="1" t="s">
        <v>82</v>
      </c>
      <c r="I69" s="31">
        <f>J60</f>
        <v>125135.80193878396</v>
      </c>
    </row>
    <row r="70" spans="1:45" x14ac:dyDescent="0.2">
      <c r="A70" s="1" t="s">
        <v>83</v>
      </c>
      <c r="I70" s="32">
        <f>K60</f>
        <v>0.2607779999999999</v>
      </c>
    </row>
    <row r="71" spans="1:45" x14ac:dyDescent="0.2">
      <c r="A71" s="3" t="s">
        <v>84</v>
      </c>
      <c r="I71" s="33">
        <f>I64-I65</f>
        <v>0</v>
      </c>
    </row>
    <row r="72" spans="1:45" x14ac:dyDescent="0.2">
      <c r="A72" s="3" t="s">
        <v>148</v>
      </c>
      <c r="I72" s="33">
        <f>((SUM(J40:J64))-(I65-I39))</f>
        <v>0</v>
      </c>
    </row>
    <row r="73" spans="1:45" x14ac:dyDescent="0.2">
      <c r="A73" s="3" t="s">
        <v>159</v>
      </c>
      <c r="I73" s="3">
        <f>COUNTA(I40:I64)</f>
        <v>25</v>
      </c>
    </row>
    <row r="74" spans="1:45" x14ac:dyDescent="0.2">
      <c r="A74" s="1" t="s">
        <v>105</v>
      </c>
      <c r="B74" s="63"/>
      <c r="C74" s="63"/>
      <c r="D74" s="63"/>
      <c r="E74" s="63"/>
      <c r="G74" s="63"/>
      <c r="H74" s="63"/>
      <c r="I74" s="83">
        <f>(SUM(B62:G62)/I62)</f>
        <v>0.67421856069784347</v>
      </c>
    </row>
    <row r="75" spans="1:45" x14ac:dyDescent="0.2">
      <c r="A75" s="1" t="s">
        <v>106</v>
      </c>
      <c r="B75" s="63"/>
      <c r="C75" s="63"/>
      <c r="D75" s="63"/>
      <c r="E75" s="63"/>
      <c r="G75" s="63"/>
      <c r="H75" s="63"/>
      <c r="I75" s="83">
        <f>(H62/I62)</f>
        <v>0.32578143930215658</v>
      </c>
    </row>
    <row r="76" spans="1:45" x14ac:dyDescent="0.2">
      <c r="A76" s="3" t="s">
        <v>107</v>
      </c>
      <c r="I76" s="3">
        <f>100%-(I74+I75)</f>
        <v>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76"/>
  <sheetViews>
    <sheetView topLeftCell="A57" zoomScaleNormal="100" workbookViewId="0">
      <selection activeCell="A74" sqref="A74:I76"/>
    </sheetView>
  </sheetViews>
  <sheetFormatPr baseColWidth="10" defaultColWidth="8.83203125" defaultRowHeight="15" x14ac:dyDescent="0.2"/>
  <cols>
    <col min="1" max="1" width="25.5" customWidth="1"/>
    <col min="2" max="2" width="9.83203125" bestFit="1" customWidth="1"/>
    <col min="3" max="4" width="9.33203125" bestFit="1" customWidth="1"/>
    <col min="5" max="5" width="10.1640625" customWidth="1"/>
    <col min="7" max="7" width="9.83203125" bestFit="1" customWidth="1"/>
    <col min="8" max="8" width="9.33203125" bestFit="1" customWidth="1"/>
    <col min="9" max="9" width="11.6640625" customWidth="1"/>
    <col min="10" max="10" width="10" bestFit="1" customWidth="1"/>
    <col min="28" max="28" width="10.83203125" bestFit="1" customWidth="1"/>
    <col min="29" max="30" width="9.33203125" bestFit="1" customWidth="1"/>
    <col min="31" max="31" width="10.33203125" customWidth="1"/>
    <col min="33" max="33" width="9.83203125" bestFit="1" customWidth="1"/>
    <col min="34" max="35" width="9.33203125" bestFit="1" customWidth="1"/>
  </cols>
  <sheetData>
    <row r="1" spans="1:8" x14ac:dyDescent="0.2">
      <c r="A1" t="s">
        <v>49</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
      <c r="A4" s="17">
        <f>'Non-Rebalanced Portfolio'!A4</f>
        <v>1989</v>
      </c>
      <c r="B4" s="17">
        <f>'Non-Rebalanced Portfolio'!B4</f>
        <v>31.36</v>
      </c>
      <c r="C4" s="17">
        <f>'Non-Rebalanced Portfolio'!C4</f>
        <v>24.096</v>
      </c>
      <c r="D4" s="17"/>
      <c r="E4" s="17"/>
      <c r="F4" s="17">
        <f>'Non-Rebalanced Portfolio'!F4</f>
        <v>25.971</v>
      </c>
      <c r="G4" s="17"/>
      <c r="H4" s="17">
        <f>'Non-Rebalanced Portfolio'!H4</f>
        <v>13.64</v>
      </c>
    </row>
    <row r="5" spans="1:8" x14ac:dyDescent="0.2">
      <c r="A5" s="17">
        <f>'Non-Rebalanced Portfolio'!A5</f>
        <v>1990</v>
      </c>
      <c r="B5" s="17">
        <f>'Non-Rebalanced Portfolio'!B5</f>
        <v>-3.32</v>
      </c>
      <c r="C5" s="17">
        <f>'Non-Rebalanced Portfolio'!C5</f>
        <v>-14.045</v>
      </c>
      <c r="D5" s="17"/>
      <c r="E5" s="17"/>
      <c r="F5" s="17">
        <f>'Non-Rebalanced Portfolio'!F5</f>
        <v>-12.26</v>
      </c>
      <c r="G5" s="17"/>
      <c r="H5" s="17">
        <f>'Non-Rebalanced Portfolio'!H5</f>
        <v>8.65</v>
      </c>
    </row>
    <row r="6" spans="1:8" x14ac:dyDescent="0.2">
      <c r="A6" s="17">
        <f>'Non-Rebalanced Portfolio'!A6</f>
        <v>1991</v>
      </c>
      <c r="B6" s="17">
        <f>'Non-Rebalanced Portfolio'!B6</f>
        <v>30.22</v>
      </c>
      <c r="C6" s="17">
        <f>'Non-Rebalanced Portfolio'!C6</f>
        <v>41.85</v>
      </c>
      <c r="D6" s="17"/>
      <c r="E6" s="17"/>
      <c r="F6" s="17">
        <f>'Non-Rebalanced Portfolio'!F6</f>
        <v>9.9559999999999995</v>
      </c>
      <c r="G6" s="17"/>
      <c r="H6" s="17">
        <f>'Non-Rebalanced Portfolio'!H6</f>
        <v>15.25</v>
      </c>
    </row>
    <row r="7" spans="1:8" x14ac:dyDescent="0.2">
      <c r="A7" s="17">
        <f>'Non-Rebalanced Portfolio'!A7</f>
        <v>1992</v>
      </c>
      <c r="B7" s="17">
        <f>'Non-Rebalanced Portfolio'!B7</f>
        <v>7.42</v>
      </c>
      <c r="C7" s="17">
        <f>'Non-Rebalanced Portfolio'!C7</f>
        <v>12.465999999999999</v>
      </c>
      <c r="D7" s="17"/>
      <c r="E7" s="17"/>
      <c r="F7" s="17">
        <f>'Non-Rebalanced Portfolio'!F7</f>
        <v>-8.7210000000000001</v>
      </c>
      <c r="G7" s="17"/>
      <c r="H7" s="17">
        <f>'Non-Rebalanced Portfolio'!H7</f>
        <v>7.14</v>
      </c>
    </row>
    <row r="8" spans="1:8" x14ac:dyDescent="0.2">
      <c r="A8" s="17">
        <f>'Non-Rebalanced Portfolio'!A8</f>
        <v>1993</v>
      </c>
      <c r="B8" s="17">
        <f>'Non-Rebalanced Portfolio'!B8</f>
        <v>9.89</v>
      </c>
      <c r="C8" s="17">
        <f>'Non-Rebalanced Portfolio'!C8</f>
        <v>14.49</v>
      </c>
      <c r="D8" s="17"/>
      <c r="E8" s="17"/>
      <c r="F8" s="17">
        <f>'Non-Rebalanced Portfolio'!F8</f>
        <v>30.494</v>
      </c>
      <c r="G8" s="17"/>
      <c r="H8" s="17">
        <f>'Non-Rebalanced Portfolio'!H8</f>
        <v>9.68</v>
      </c>
    </row>
    <row r="9" spans="1:8" x14ac:dyDescent="0.2">
      <c r="A9" s="17">
        <f>'Non-Rebalanced Portfolio'!A9</f>
        <v>1994</v>
      </c>
      <c r="B9" s="17">
        <f>'Non-Rebalanced Portfolio'!B9</f>
        <v>1.18</v>
      </c>
      <c r="C9" s="17">
        <f>'Non-Rebalanced Portfolio'!C9</f>
        <v>-1.764</v>
      </c>
      <c r="D9" s="17"/>
      <c r="E9" s="17"/>
      <c r="F9" s="17">
        <f>'Non-Rebalanced Portfolio'!F9</f>
        <v>5.2549999999999999</v>
      </c>
      <c r="G9" s="17"/>
      <c r="H9" s="17">
        <f>'Non-Rebalanced Portfolio'!H9</f>
        <v>-2.66</v>
      </c>
    </row>
    <row r="10" spans="1:8" x14ac:dyDescent="0.2">
      <c r="A10" s="17">
        <f>'Non-Rebalanced Portfolio'!A10</f>
        <v>1995</v>
      </c>
      <c r="B10" s="17">
        <f>'Non-Rebalanced Portfolio'!B10</f>
        <v>37.450000000000003</v>
      </c>
      <c r="C10" s="17">
        <f>'Non-Rebalanced Portfolio'!C10</f>
        <v>33.796999999999997</v>
      </c>
      <c r="D10" s="17"/>
      <c r="E10" s="17"/>
      <c r="F10" s="17">
        <f>'Non-Rebalanced Portfolio'!F10</f>
        <v>9.6460000000000008</v>
      </c>
      <c r="G10" s="17"/>
      <c r="H10" s="17">
        <f>'Non-Rebalanced Portfolio'!H10</f>
        <v>18.18</v>
      </c>
    </row>
    <row r="11" spans="1:8" x14ac:dyDescent="0.2">
      <c r="A11" s="17">
        <f>'Non-Rebalanced Portfolio'!A11</f>
        <v>1996</v>
      </c>
      <c r="B11" s="17">
        <f>'Non-Rebalanced Portfolio'!B11</f>
        <v>22.88</v>
      </c>
      <c r="C11" s="17">
        <f>'Non-Rebalanced Portfolio'!C11</f>
        <v>17.646999999999998</v>
      </c>
      <c r="D11" s="17"/>
      <c r="E11" s="17"/>
      <c r="F11" s="17">
        <f>'Non-Rebalanced Portfolio'!F11</f>
        <v>10.218999999999999</v>
      </c>
      <c r="G11" s="17"/>
      <c r="H11" s="17">
        <f>'Non-Rebalanced Portfolio'!H11</f>
        <v>3.58</v>
      </c>
    </row>
    <row r="12" spans="1:8" x14ac:dyDescent="0.2">
      <c r="A12" s="17">
        <f>'Non-Rebalanced Portfolio'!A12</f>
        <v>1997</v>
      </c>
      <c r="B12" s="17">
        <f>'Non-Rebalanced Portfolio'!B12</f>
        <v>33.19</v>
      </c>
      <c r="C12" s="17">
        <f>'Non-Rebalanced Portfolio'!C12</f>
        <v>26.687000000000001</v>
      </c>
      <c r="D12" s="17"/>
      <c r="E12" s="17"/>
      <c r="F12" s="17">
        <f>'Non-Rebalanced Portfolio'!F12</f>
        <v>0</v>
      </c>
      <c r="G12" s="18">
        <f>'Non-Rebalanced Portfolio'!G12</f>
        <v>-0.77500000000000002</v>
      </c>
      <c r="H12" s="17">
        <f>'Non-Rebalanced Portfolio'!H12</f>
        <v>9.44</v>
      </c>
    </row>
    <row r="13" spans="1:8" x14ac:dyDescent="0.2">
      <c r="A13" s="17">
        <f>'Non-Rebalanced Portfolio'!A13</f>
        <v>1998</v>
      </c>
      <c r="B13" s="17">
        <f>'Non-Rebalanced Portfolio'!B13</f>
        <v>28.66</v>
      </c>
      <c r="C13" s="17">
        <f>'Non-Rebalanced Portfolio'!C13</f>
        <v>8.3529999999999998</v>
      </c>
      <c r="D13" s="17"/>
      <c r="E13" s="17"/>
      <c r="F13" s="17"/>
      <c r="G13" s="18">
        <f>'Non-Rebalanced Portfolio'!G13</f>
        <v>15.603</v>
      </c>
      <c r="H13" s="17">
        <f>'Non-Rebalanced Portfolio'!H13</f>
        <v>8.58</v>
      </c>
    </row>
    <row r="14" spans="1:8" x14ac:dyDescent="0.2">
      <c r="A14" s="17">
        <f>'Non-Rebalanced Portfolio'!A14</f>
        <v>1999</v>
      </c>
      <c r="B14" s="17">
        <f>'Non-Rebalanced Portfolio'!B14</f>
        <v>21.07</v>
      </c>
      <c r="C14" s="17">
        <f>'Non-Rebalanced Portfolio'!C14</f>
        <v>0</v>
      </c>
      <c r="D14" s="18">
        <f>'Non-Rebalanced Portfolio'!D14</f>
        <v>15.319000000000001</v>
      </c>
      <c r="E14" s="18">
        <f>'Non-Rebalanced Portfolio'!E14</f>
        <v>23.132999999999999</v>
      </c>
      <c r="F14" s="17"/>
      <c r="G14" s="17">
        <f>'Non-Rebalanced Portfolio'!G14</f>
        <v>29.919</v>
      </c>
      <c r="H14" s="17">
        <f>'Non-Rebalanced Portfolio'!H14</f>
        <v>-0.76</v>
      </c>
    </row>
    <row r="15" spans="1:8" x14ac:dyDescent="0.2">
      <c r="A15" s="17">
        <f>'Non-Rebalanced Portfolio'!A15</f>
        <v>2000</v>
      </c>
      <c r="B15" s="17">
        <f>'Non-Rebalanced Portfolio'!B15</f>
        <v>-9.06</v>
      </c>
      <c r="C15" s="17"/>
      <c r="D15" s="18">
        <f>'Non-Rebalanced Portfolio'!D15</f>
        <v>18.097999999999999</v>
      </c>
      <c r="E15" s="18">
        <f>'Non-Rebalanced Portfolio'!E15</f>
        <v>-2.665</v>
      </c>
      <c r="F15" s="17"/>
      <c r="G15" s="17">
        <f>'Non-Rebalanced Portfolio'!G15</f>
        <v>-15.614000000000001</v>
      </c>
      <c r="H15" s="17">
        <f>'Non-Rebalanced Portfolio'!H15</f>
        <v>11.39</v>
      </c>
    </row>
    <row r="16" spans="1:8"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row>
    <row r="17" spans="1:8"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row>
    <row r="18" spans="1:8"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row>
    <row r="19" spans="1:8"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row>
    <row r="20" spans="1:8"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row>
    <row r="21" spans="1:8"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row>
    <row r="22" spans="1:8"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row>
    <row r="23" spans="1:8"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row>
    <row r="24" spans="1:8"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row>
    <row r="25" spans="1:8"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row>
    <row r="26" spans="1:8"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row>
    <row r="27" spans="1:8"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row>
    <row r="28" spans="1:8" x14ac:dyDescent="0.2">
      <c r="A28" s="17">
        <f>'Non-Rebalanced Portfolio'!A28</f>
        <v>2013</v>
      </c>
      <c r="B28" s="17">
        <f>'Non-Rebalanced Portfolio'!B28</f>
        <v>32.18</v>
      </c>
      <c r="C28" s="19"/>
      <c r="D28" s="17">
        <f>'Non-Rebalanced Portfolio'!D28</f>
        <v>35</v>
      </c>
      <c r="E28" s="17">
        <f>'Non-Rebalanced Portfolio'!E28</f>
        <v>37.619999999999997</v>
      </c>
      <c r="F28" s="19"/>
      <c r="G28" s="17">
        <f>'Non-Rebalanced Portfolio'!G28</f>
        <v>15.04</v>
      </c>
      <c r="H28" s="17">
        <f>'Non-Rebalanced Portfolio'!H28</f>
        <v>-2.2599999999999998</v>
      </c>
    </row>
    <row r="29" spans="1:8" x14ac:dyDescent="0.2">
      <c r="A29" s="17">
        <f>'Non-Rebalanced Portfolio'!A29</f>
        <v>2013</v>
      </c>
      <c r="B29" s="17">
        <f>'Non-Rebalanced Portfolio'!B29</f>
        <v>32.18</v>
      </c>
      <c r="C29" s="19"/>
      <c r="D29" s="19">
        <f>'Non-Rebalanced Portfolio'!D29</f>
        <v>35</v>
      </c>
      <c r="E29" s="17">
        <f>'Non-Rebalanced Portfolio'!E29</f>
        <v>37.619999999999997</v>
      </c>
      <c r="F29" s="19"/>
      <c r="G29" s="17">
        <f>'Non-Rebalanced Portfolio'!G29</f>
        <v>15.04</v>
      </c>
      <c r="H29" s="17">
        <f>'Non-Rebalanced Portfolio'!H29</f>
        <v>-2.2599999999999998</v>
      </c>
    </row>
    <row r="30" spans="1:8" x14ac:dyDescent="0.2">
      <c r="A30" s="17">
        <f>'Non-Rebalanced Portfolio'!A30</f>
        <v>2014</v>
      </c>
      <c r="B30" s="17">
        <f>'Non-Rebalanced Portfolio'!B30</f>
        <v>13.51</v>
      </c>
      <c r="C30" s="19"/>
      <c r="D30" s="19">
        <f>'Non-Rebalanced Portfolio'!D30</f>
        <v>13.6</v>
      </c>
      <c r="E30" s="17">
        <f>'Non-Rebalanced Portfolio'!E30</f>
        <v>7.37</v>
      </c>
      <c r="F30" s="19"/>
      <c r="G30" s="17">
        <f>'Non-Rebalanced Portfolio'!G30</f>
        <v>-4.24</v>
      </c>
      <c r="H30" s="17">
        <f>'Non-Rebalanced Portfolio'!H30</f>
        <v>5.76</v>
      </c>
    </row>
    <row r="31" spans="1:8" x14ac:dyDescent="0.2">
      <c r="A31" s="17">
        <f>'Non-Rebalanced Portfolio'!A31</f>
        <v>2015</v>
      </c>
      <c r="B31" s="17">
        <f>'Non-Rebalanced Portfolio'!B31</f>
        <v>1.25</v>
      </c>
      <c r="C31" s="19"/>
      <c r="D31" s="19">
        <f>'Non-Rebalanced Portfolio'!D31</f>
        <v>-1.46</v>
      </c>
      <c r="E31" s="17">
        <f>'Non-Rebalanced Portfolio'!E31</f>
        <v>-3.78</v>
      </c>
      <c r="F31" s="19"/>
      <c r="G31" s="17">
        <f>'Non-Rebalanced Portfolio'!G31</f>
        <v>-4.37</v>
      </c>
      <c r="H31" s="17">
        <f>'Non-Rebalanced Portfolio'!H31</f>
        <v>0.3</v>
      </c>
    </row>
    <row r="32" spans="1:8" x14ac:dyDescent="0.2">
      <c r="A32" s="17">
        <f>'Non-Rebalanced Portfolio'!A32</f>
        <v>2016</v>
      </c>
      <c r="B32" s="17">
        <f>'Non-Rebalanced Portfolio'!B32</f>
        <v>11.82</v>
      </c>
      <c r="C32" s="19"/>
      <c r="D32" s="19">
        <f>'Non-Rebalanced Portfolio'!D32</f>
        <v>11.07</v>
      </c>
      <c r="E32" s="17">
        <f>'Non-Rebalanced Portfolio'!E32</f>
        <v>18.170000000000002</v>
      </c>
      <c r="F32" s="19"/>
      <c r="G32" s="17">
        <f>'Non-Rebalanced Portfolio'!G32</f>
        <v>4.6500000000000004</v>
      </c>
      <c r="H32" s="17">
        <f>'Non-Rebalanced Portfolio'!H32</f>
        <v>2.5</v>
      </c>
    </row>
    <row r="33" spans="1:36" x14ac:dyDescent="0.2">
      <c r="A33" s="17">
        <f>'Non-Rebalanced Portfolio'!A33</f>
        <v>2017</v>
      </c>
      <c r="B33" s="17">
        <f>'Non-Rebalanced Portfolio'!B33</f>
        <v>21.67</v>
      </c>
      <c r="C33" s="19"/>
      <c r="D33" s="19">
        <f>'Non-Rebalanced Portfolio'!D33</f>
        <v>19.600000000000001</v>
      </c>
      <c r="E33" s="17">
        <f>'Non-Rebalanced Portfolio'!E33</f>
        <v>16.100000000000001</v>
      </c>
      <c r="F33" s="19"/>
      <c r="G33" s="17">
        <f>'Non-Rebalanced Portfolio'!G33</f>
        <v>27.4</v>
      </c>
      <c r="H33" s="17">
        <f>'Non-Rebalanced Portfolio'!H33</f>
        <v>3.46</v>
      </c>
    </row>
    <row r="35" spans="1:36" x14ac:dyDescent="0.2">
      <c r="A35" s="57"/>
    </row>
    <row r="36" spans="1:36" x14ac:dyDescent="0.2">
      <c r="A36" s="20" t="s">
        <v>120</v>
      </c>
      <c r="O36" s="20" t="s">
        <v>125</v>
      </c>
      <c r="AA36" s="20" t="s">
        <v>4</v>
      </c>
    </row>
    <row r="37" spans="1:36"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5" t="s">
        <v>112</v>
      </c>
      <c r="AB37" s="4" t="str">
        <f t="shared" ref="AB37:AH38" si="2">P37</f>
        <v>LC Stocks</v>
      </c>
      <c r="AC37" s="4" t="str">
        <f t="shared" si="2"/>
        <v>Ext Mkt</v>
      </c>
      <c r="AD37" s="4" t="str">
        <f t="shared" si="2"/>
        <v>Mcap Stk</v>
      </c>
      <c r="AE37" s="4" t="str">
        <f t="shared" si="2"/>
        <v>Small Cap</v>
      </c>
      <c r="AF37" s="4" t="str">
        <f t="shared" si="2"/>
        <v>Intl Val</v>
      </c>
      <c r="AG37" s="4" t="str">
        <f t="shared" si="2"/>
        <v>Tot Int Stk</v>
      </c>
      <c r="AH37" s="4" t="str">
        <f t="shared" si="2"/>
        <v>Bonds</v>
      </c>
      <c r="AI37" s="4"/>
      <c r="AJ37" t="s">
        <v>88</v>
      </c>
    </row>
    <row r="38" spans="1:36"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5" t="s">
        <v>87</v>
      </c>
      <c r="AA38" t="str">
        <f>A38</f>
        <v>Fund</v>
      </c>
      <c r="AB38" s="4" t="str">
        <f t="shared" si="2"/>
        <v>VFINX</v>
      </c>
      <c r="AC38" s="4" t="str">
        <f t="shared" si="2"/>
        <v>VEXMX</v>
      </c>
      <c r="AD38" s="4" t="str">
        <f t="shared" si="2"/>
        <v>VIMSX</v>
      </c>
      <c r="AE38" s="4" t="str">
        <f t="shared" si="2"/>
        <v>NAESX</v>
      </c>
      <c r="AF38" s="4" t="str">
        <f t="shared" si="2"/>
        <v>VTRIX</v>
      </c>
      <c r="AG38" s="4" t="str">
        <f t="shared" si="2"/>
        <v>VGTSX</v>
      </c>
      <c r="AH38" s="4" t="str">
        <f t="shared" si="2"/>
        <v>VBMFX</v>
      </c>
      <c r="AI38" s="4" t="str">
        <f>W38</f>
        <v>Total</v>
      </c>
      <c r="AJ38" t="s">
        <v>87</v>
      </c>
    </row>
    <row r="39" spans="1:36" x14ac:dyDescent="0.2">
      <c r="A39" t="s">
        <v>71</v>
      </c>
      <c r="B39" s="2">
        <f>'Non-Rebalanced Portfolio'!B39</f>
        <v>20000</v>
      </c>
      <c r="C39" s="2">
        <f>'Non-Rebalanced Portfolio'!C39</f>
        <v>30000</v>
      </c>
      <c r="F39" s="2">
        <f>'Non-Rebalanced Portfolio'!F39</f>
        <v>20000</v>
      </c>
      <c r="H39" s="2">
        <f>'Non-Rebalanced Portfolio'!H39</f>
        <v>30000</v>
      </c>
      <c r="I39" s="2">
        <f>SUM(B39:H39)</f>
        <v>100000</v>
      </c>
      <c r="O39" s="21" t="s">
        <v>86</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4"/>
      <c r="AA39" t="str">
        <f>A39</f>
        <v>Stating Balance</v>
      </c>
      <c r="AB39" s="2">
        <f t="shared" ref="AB39:AB50" si="3">B39</f>
        <v>20000</v>
      </c>
      <c r="AC39" s="2">
        <f t="shared" ref="AC39:AC49" si="4">C39</f>
        <v>30000</v>
      </c>
      <c r="AD39" s="2"/>
      <c r="AE39" s="2"/>
      <c r="AF39" s="2">
        <f t="shared" ref="AF39:AF47" si="5">F39</f>
        <v>20000</v>
      </c>
      <c r="AG39" s="2"/>
      <c r="AH39" s="2">
        <f t="shared" ref="AH39:AH52" si="6">H39</f>
        <v>30000</v>
      </c>
      <c r="AI39" s="2">
        <f>SUM(AB39:AH39)</f>
        <v>100000</v>
      </c>
      <c r="AJ39" s="2">
        <f t="shared" ref="AJ39:AJ64" si="7">AI39-I39</f>
        <v>0</v>
      </c>
    </row>
    <row r="40" spans="1:36" x14ac:dyDescent="0.2">
      <c r="A40">
        <f t="shared" ref="A40:A64" si="8">A4</f>
        <v>1989</v>
      </c>
      <c r="B40" s="2">
        <f t="shared" ref="B40" si="9">B39*(1+(B4/100))</f>
        <v>26272.000000000004</v>
      </c>
      <c r="C40" s="2">
        <f t="shared" ref="C40" si="10">C39*(1+(C4/100))</f>
        <v>37228.800000000003</v>
      </c>
      <c r="D40" s="2"/>
      <c r="E40" s="2"/>
      <c r="F40" s="2">
        <f t="shared" ref="F40" si="11">F39*(1+(F4/100))</f>
        <v>25194.2</v>
      </c>
      <c r="G40" s="2"/>
      <c r="H40" s="2">
        <f t="shared" ref="H40" si="12">H39*(1+(H4/100))</f>
        <v>34092</v>
      </c>
      <c r="I40" s="2">
        <f>SUM(B40:H40)</f>
        <v>122787</v>
      </c>
      <c r="J40" s="2">
        <f>I40-I39</f>
        <v>22787</v>
      </c>
      <c r="K40" s="6">
        <f>(J40/I39)</f>
        <v>0.22786999999999999</v>
      </c>
      <c r="L40" s="7">
        <f>K40+1</f>
        <v>1.22787</v>
      </c>
      <c r="O40">
        <f>A40</f>
        <v>1989</v>
      </c>
      <c r="P40" s="6">
        <f t="shared" ref="P40:U64" si="13">B40/$I40</f>
        <v>0.21396401899223863</v>
      </c>
      <c r="Q40" s="6">
        <f t="shared" si="13"/>
        <v>0.30319822131007357</v>
      </c>
      <c r="R40" s="7"/>
      <c r="S40" s="7"/>
      <c r="T40" s="6">
        <f t="shared" ref="T40:T47" si="14">F40/$I40</f>
        <v>0.20518621678190688</v>
      </c>
      <c r="U40" s="7"/>
      <c r="V40" s="6">
        <f t="shared" ref="V40:V64" si="15">H40/$I40</f>
        <v>0.27765154291578098</v>
      </c>
      <c r="W40" s="6">
        <f>SUM(P40:V40)</f>
        <v>1</v>
      </c>
      <c r="X40" s="7">
        <f>SUM(P40:U40)</f>
        <v>0.72234845708421902</v>
      </c>
      <c r="Y40" s="7">
        <f>W40-(X40+V40)</f>
        <v>0</v>
      </c>
      <c r="Z40" s="24"/>
      <c r="AA40">
        <f t="shared" ref="AA40:AA64" si="16">O40</f>
        <v>1989</v>
      </c>
      <c r="AB40" s="2">
        <f t="shared" si="3"/>
        <v>26272.000000000004</v>
      </c>
      <c r="AC40" s="2">
        <f t="shared" si="4"/>
        <v>37228.800000000003</v>
      </c>
      <c r="AD40" s="2"/>
      <c r="AE40" s="2"/>
      <c r="AF40" s="2">
        <f t="shared" si="5"/>
        <v>25194.2</v>
      </c>
      <c r="AG40" s="2"/>
      <c r="AH40" s="2">
        <f t="shared" si="6"/>
        <v>34092</v>
      </c>
      <c r="AI40" s="2">
        <f t="shared" ref="AI40:AI64" si="17">SUM(AB40:AH40)</f>
        <v>122787</v>
      </c>
      <c r="AJ40" s="2">
        <f t="shared" si="7"/>
        <v>0</v>
      </c>
    </row>
    <row r="41" spans="1:36" x14ac:dyDescent="0.2">
      <c r="A41">
        <f t="shared" si="8"/>
        <v>1990</v>
      </c>
      <c r="B41" s="2">
        <f t="shared" ref="B41:B50" si="18">AB40*(1+(B5/100))</f>
        <v>25399.769600000003</v>
      </c>
      <c r="C41" s="2">
        <f t="shared" ref="C41:C49" si="19">AC40*(1+(C5/100))</f>
        <v>32000.015040000002</v>
      </c>
      <c r="D41" s="2"/>
      <c r="E41" s="2"/>
      <c r="F41" s="2">
        <f t="shared" ref="F41:F47" si="20">AF40*(1+(F5/100))</f>
        <v>22105.391080000001</v>
      </c>
      <c r="G41" s="2"/>
      <c r="H41" s="2">
        <f t="shared" ref="H41:H64" si="21">AH40*(1+(H5/100))</f>
        <v>37040.957999999999</v>
      </c>
      <c r="I41" s="2">
        <f t="shared" ref="I41:I64" si="22">SUM(B41:H41)</f>
        <v>116546.13372</v>
      </c>
      <c r="J41" s="2">
        <f t="shared" ref="J41:J64" si="23">I41-I40</f>
        <v>-6240.866280000002</v>
      </c>
      <c r="K41" s="6">
        <f t="shared" ref="K41:K64" si="24">(J41/I40)</f>
        <v>-5.0826767328788894E-2</v>
      </c>
      <c r="L41" s="7">
        <f t="shared" ref="L41:L64" si="25">K41+1</f>
        <v>0.94917323267121112</v>
      </c>
      <c r="O41">
        <f t="shared" ref="O41:O64" si="26">A41</f>
        <v>1990</v>
      </c>
      <c r="P41" s="6">
        <f t="shared" si="13"/>
        <v>0.2179374706759685</v>
      </c>
      <c r="Q41" s="6">
        <f t="shared" si="13"/>
        <v>0.27456951181992417</v>
      </c>
      <c r="R41" s="7"/>
      <c r="S41" s="7"/>
      <c r="T41" s="6">
        <f t="shared" si="14"/>
        <v>0.18967073702425691</v>
      </c>
      <c r="U41" s="7"/>
      <c r="V41" s="6">
        <f t="shared" si="15"/>
        <v>0.31782228047985045</v>
      </c>
      <c r="W41" s="6">
        <f t="shared" ref="W41:W64" si="27">SUM(P41:V41)</f>
        <v>1</v>
      </c>
      <c r="X41" s="7">
        <f t="shared" ref="X41:X64" si="28">SUM(P41:U41)</f>
        <v>0.68217771952014949</v>
      </c>
      <c r="Y41" s="7">
        <f t="shared" ref="Y41:Y64" si="29">W41-(X41+V41)</f>
        <v>0</v>
      </c>
      <c r="Z41" s="24"/>
      <c r="AA41">
        <f t="shared" si="16"/>
        <v>1990</v>
      </c>
      <c r="AB41" s="2">
        <f t="shared" si="3"/>
        <v>25399.769600000003</v>
      </c>
      <c r="AC41" s="2">
        <f t="shared" si="4"/>
        <v>32000.015040000002</v>
      </c>
      <c r="AD41" s="2"/>
      <c r="AE41" s="2"/>
      <c r="AF41" s="2">
        <f t="shared" si="5"/>
        <v>22105.391080000001</v>
      </c>
      <c r="AG41" s="2"/>
      <c r="AH41" s="2">
        <f t="shared" si="6"/>
        <v>37040.957999999999</v>
      </c>
      <c r="AI41" s="2">
        <f t="shared" si="17"/>
        <v>116546.13372</v>
      </c>
      <c r="AJ41" s="2">
        <f t="shared" si="7"/>
        <v>0</v>
      </c>
    </row>
    <row r="42" spans="1:36" x14ac:dyDescent="0.2">
      <c r="A42">
        <f t="shared" si="8"/>
        <v>1991</v>
      </c>
      <c r="B42" s="2">
        <f t="shared" si="18"/>
        <v>33075.579973120002</v>
      </c>
      <c r="C42" s="2">
        <f t="shared" si="19"/>
        <v>45392.021334240009</v>
      </c>
      <c r="D42" s="2"/>
      <c r="E42" s="2"/>
      <c r="F42" s="2">
        <f t="shared" si="20"/>
        <v>24306.203815924804</v>
      </c>
      <c r="G42" s="2"/>
      <c r="H42" s="2">
        <f t="shared" si="21"/>
        <v>42689.704095000001</v>
      </c>
      <c r="I42" s="2">
        <f t="shared" si="22"/>
        <v>145463.50921828483</v>
      </c>
      <c r="J42" s="2">
        <f t="shared" si="23"/>
        <v>28917.375498284833</v>
      </c>
      <c r="K42" s="6">
        <f t="shared" si="24"/>
        <v>0.24811956068622842</v>
      </c>
      <c r="L42" s="7">
        <f t="shared" si="25"/>
        <v>1.2481195606862285</v>
      </c>
      <c r="O42">
        <f t="shared" si="26"/>
        <v>1991</v>
      </c>
      <c r="P42" s="6">
        <f t="shared" si="13"/>
        <v>0.22738059978661912</v>
      </c>
      <c r="Q42" s="6">
        <f t="shared" si="13"/>
        <v>0.31205091626191989</v>
      </c>
      <c r="R42" s="7"/>
      <c r="S42" s="7"/>
      <c r="T42" s="6">
        <f t="shared" si="14"/>
        <v>0.16709485386778708</v>
      </c>
      <c r="U42" s="7"/>
      <c r="V42" s="6">
        <f t="shared" si="15"/>
        <v>0.29347363008367383</v>
      </c>
      <c r="W42" s="6">
        <f t="shared" si="27"/>
        <v>1</v>
      </c>
      <c r="X42" s="7">
        <f t="shared" si="28"/>
        <v>0.70652636991632611</v>
      </c>
      <c r="Y42" s="7">
        <f t="shared" si="29"/>
        <v>0</v>
      </c>
      <c r="Z42" s="24"/>
      <c r="AA42">
        <f t="shared" si="16"/>
        <v>1991</v>
      </c>
      <c r="AB42" s="2">
        <f t="shared" si="3"/>
        <v>33075.579973120002</v>
      </c>
      <c r="AC42" s="2">
        <f t="shared" si="4"/>
        <v>45392.021334240009</v>
      </c>
      <c r="AD42" s="2"/>
      <c r="AE42" s="2"/>
      <c r="AF42" s="2">
        <f t="shared" si="5"/>
        <v>24306.203815924804</v>
      </c>
      <c r="AG42" s="2"/>
      <c r="AH42" s="2">
        <f t="shared" si="6"/>
        <v>42689.704095000001</v>
      </c>
      <c r="AI42" s="2">
        <f t="shared" si="17"/>
        <v>145463.50921828483</v>
      </c>
      <c r="AJ42" s="2">
        <f t="shared" si="7"/>
        <v>0</v>
      </c>
    </row>
    <row r="43" spans="1:36" x14ac:dyDescent="0.2">
      <c r="A43">
        <f t="shared" si="8"/>
        <v>1992</v>
      </c>
      <c r="B43" s="2">
        <f t="shared" si="18"/>
        <v>35529.788007125506</v>
      </c>
      <c r="C43" s="2">
        <f t="shared" si="19"/>
        <v>51050.590713766367</v>
      </c>
      <c r="D43" s="2"/>
      <c r="E43" s="2"/>
      <c r="F43" s="2">
        <f t="shared" si="20"/>
        <v>22186.459781138001</v>
      </c>
      <c r="G43" s="2"/>
      <c r="H43" s="2">
        <f t="shared" si="21"/>
        <v>45737.748967382999</v>
      </c>
      <c r="I43" s="2">
        <f t="shared" si="22"/>
        <v>154504.58746941286</v>
      </c>
      <c r="J43" s="2">
        <f t="shared" si="23"/>
        <v>9041.0782511280267</v>
      </c>
      <c r="K43" s="6">
        <f t="shared" si="24"/>
        <v>6.2153582707542426E-2</v>
      </c>
      <c r="L43" s="7">
        <f t="shared" si="25"/>
        <v>1.0621535827075423</v>
      </c>
      <c r="O43">
        <f t="shared" si="26"/>
        <v>1992</v>
      </c>
      <c r="P43" s="6">
        <f t="shared" si="13"/>
        <v>0.22995943738019628</v>
      </c>
      <c r="Q43" s="6">
        <f t="shared" si="13"/>
        <v>0.33041472457167531</v>
      </c>
      <c r="R43" s="7"/>
      <c r="S43" s="7"/>
      <c r="T43" s="6">
        <f t="shared" si="14"/>
        <v>0.14359741768528547</v>
      </c>
      <c r="U43" s="7"/>
      <c r="V43" s="6">
        <f t="shared" si="15"/>
        <v>0.29602842036284305</v>
      </c>
      <c r="W43" s="6">
        <f t="shared" si="27"/>
        <v>1</v>
      </c>
      <c r="X43" s="7">
        <f t="shared" si="28"/>
        <v>0.70397157963715706</v>
      </c>
      <c r="Y43" s="7">
        <f t="shared" si="29"/>
        <v>0</v>
      </c>
      <c r="Z43" s="24"/>
      <c r="AA43">
        <f t="shared" si="16"/>
        <v>1992</v>
      </c>
      <c r="AB43" s="2">
        <f t="shared" si="3"/>
        <v>35529.788007125506</v>
      </c>
      <c r="AC43" s="2">
        <f t="shared" si="4"/>
        <v>51050.590713766367</v>
      </c>
      <c r="AD43" s="2"/>
      <c r="AE43" s="2"/>
      <c r="AF43" s="2">
        <f t="shared" si="5"/>
        <v>22186.459781138001</v>
      </c>
      <c r="AG43" s="2"/>
      <c r="AH43" s="2">
        <f t="shared" si="6"/>
        <v>45737.748967382999</v>
      </c>
      <c r="AI43" s="2">
        <f t="shared" si="17"/>
        <v>154504.58746941286</v>
      </c>
      <c r="AJ43" s="2">
        <f t="shared" si="7"/>
        <v>0</v>
      </c>
    </row>
    <row r="44" spans="1:36" x14ac:dyDescent="0.2">
      <c r="A44">
        <f t="shared" si="8"/>
        <v>1993</v>
      </c>
      <c r="B44" s="2">
        <f t="shared" si="18"/>
        <v>39043.684041030217</v>
      </c>
      <c r="C44" s="2">
        <f t="shared" si="19"/>
        <v>58447.821308191116</v>
      </c>
      <c r="D44" s="2"/>
      <c r="E44" s="2"/>
      <c r="F44" s="2">
        <f t="shared" si="20"/>
        <v>28951.998826798223</v>
      </c>
      <c r="G44" s="2"/>
      <c r="H44" s="2">
        <f t="shared" si="21"/>
        <v>50165.163067425674</v>
      </c>
      <c r="I44" s="2">
        <f t="shared" si="22"/>
        <v>176608.66724344523</v>
      </c>
      <c r="J44" s="2">
        <f t="shared" si="23"/>
        <v>22104.079774032376</v>
      </c>
      <c r="K44" s="6">
        <f t="shared" si="24"/>
        <v>0.14306422958741147</v>
      </c>
      <c r="L44" s="7">
        <f t="shared" si="25"/>
        <v>1.1430642295874114</v>
      </c>
      <c r="O44">
        <f t="shared" si="26"/>
        <v>1993</v>
      </c>
      <c r="P44" s="6">
        <f t="shared" si="13"/>
        <v>0.22107456361250191</v>
      </c>
      <c r="Q44" s="6">
        <f t="shared" si="13"/>
        <v>0.33094537329600049</v>
      </c>
      <c r="R44" s="7"/>
      <c r="S44" s="7"/>
      <c r="T44" s="6">
        <f t="shared" si="14"/>
        <v>0.16393305763917862</v>
      </c>
      <c r="U44" s="7"/>
      <c r="V44" s="6">
        <f t="shared" si="15"/>
        <v>0.28404700545231898</v>
      </c>
      <c r="W44" s="6">
        <f t="shared" si="27"/>
        <v>1</v>
      </c>
      <c r="X44" s="7">
        <f t="shared" si="28"/>
        <v>0.71595299454768102</v>
      </c>
      <c r="Y44" s="7">
        <f t="shared" si="29"/>
        <v>0</v>
      </c>
      <c r="Z44" s="24"/>
      <c r="AA44">
        <f t="shared" si="16"/>
        <v>1993</v>
      </c>
      <c r="AB44" s="2">
        <f t="shared" si="3"/>
        <v>39043.684041030217</v>
      </c>
      <c r="AC44" s="2">
        <f t="shared" si="4"/>
        <v>58447.821308191116</v>
      </c>
      <c r="AD44" s="2"/>
      <c r="AE44" s="2"/>
      <c r="AF44" s="2">
        <f t="shared" si="5"/>
        <v>28951.998826798223</v>
      </c>
      <c r="AG44" s="2"/>
      <c r="AH44" s="2">
        <f t="shared" si="6"/>
        <v>50165.163067425674</v>
      </c>
      <c r="AI44" s="2">
        <f t="shared" si="17"/>
        <v>176608.66724344523</v>
      </c>
      <c r="AJ44" s="2">
        <f t="shared" si="7"/>
        <v>0</v>
      </c>
    </row>
    <row r="45" spans="1:36" x14ac:dyDescent="0.2">
      <c r="A45">
        <f t="shared" si="8"/>
        <v>1994</v>
      </c>
      <c r="B45" s="2">
        <f t="shared" si="18"/>
        <v>39504.399512714379</v>
      </c>
      <c r="C45" s="2">
        <f t="shared" si="19"/>
        <v>57416.801740314622</v>
      </c>
      <c r="D45" s="2"/>
      <c r="E45" s="2"/>
      <c r="F45" s="2">
        <f t="shared" si="20"/>
        <v>30473.426365146472</v>
      </c>
      <c r="G45" s="2"/>
      <c r="H45" s="2">
        <f t="shared" si="21"/>
        <v>48830.769729832151</v>
      </c>
      <c r="I45" s="2">
        <f t="shared" si="22"/>
        <v>176225.39734800762</v>
      </c>
      <c r="J45" s="2">
        <f t="shared" si="23"/>
        <v>-383.2698954376101</v>
      </c>
      <c r="K45" s="6">
        <f t="shared" si="24"/>
        <v>-2.1701647004067691E-3</v>
      </c>
      <c r="L45" s="7">
        <f t="shared" si="25"/>
        <v>0.99782983529959324</v>
      </c>
      <c r="O45">
        <f t="shared" si="26"/>
        <v>1994</v>
      </c>
      <c r="P45" s="6">
        <f t="shared" si="13"/>
        <v>0.22416972869524365</v>
      </c>
      <c r="Q45" s="6">
        <f t="shared" si="13"/>
        <v>0.32581456818581417</v>
      </c>
      <c r="R45" s="7"/>
      <c r="S45" s="7"/>
      <c r="T45" s="6">
        <f t="shared" si="14"/>
        <v>0.17292301123298331</v>
      </c>
      <c r="U45" s="7"/>
      <c r="V45" s="6">
        <f t="shared" si="15"/>
        <v>0.27709269188595886</v>
      </c>
      <c r="W45" s="6">
        <f t="shared" si="27"/>
        <v>1</v>
      </c>
      <c r="X45" s="7">
        <f t="shared" si="28"/>
        <v>0.72290730811404114</v>
      </c>
      <c r="Y45" s="7">
        <f t="shared" si="29"/>
        <v>0</v>
      </c>
      <c r="Z45" s="24"/>
      <c r="AA45">
        <f t="shared" si="16"/>
        <v>1994</v>
      </c>
      <c r="AB45" s="2">
        <f t="shared" si="3"/>
        <v>39504.399512714379</v>
      </c>
      <c r="AC45" s="2">
        <f t="shared" si="4"/>
        <v>57416.801740314622</v>
      </c>
      <c r="AD45" s="2"/>
      <c r="AE45" s="2"/>
      <c r="AF45" s="2">
        <f t="shared" si="5"/>
        <v>30473.426365146472</v>
      </c>
      <c r="AG45" s="2"/>
      <c r="AH45" s="2">
        <f t="shared" si="6"/>
        <v>48830.769729832151</v>
      </c>
      <c r="AI45" s="2">
        <f t="shared" si="17"/>
        <v>176225.39734800762</v>
      </c>
      <c r="AJ45" s="2">
        <f t="shared" si="7"/>
        <v>0</v>
      </c>
    </row>
    <row r="46" spans="1:36" x14ac:dyDescent="0.2">
      <c r="A46">
        <f t="shared" si="8"/>
        <v>1995</v>
      </c>
      <c r="B46" s="2">
        <f t="shared" si="18"/>
        <v>54298.797130225917</v>
      </c>
      <c r="C46" s="2">
        <f t="shared" si="19"/>
        <v>76821.958224488742</v>
      </c>
      <c r="D46" s="2"/>
      <c r="E46" s="2"/>
      <c r="F46" s="2">
        <f t="shared" si="20"/>
        <v>33412.893072328501</v>
      </c>
      <c r="G46" s="2"/>
      <c r="H46" s="2">
        <f t="shared" si="21"/>
        <v>57708.203666715635</v>
      </c>
      <c r="I46" s="2">
        <f t="shared" si="22"/>
        <v>222241.85209375882</v>
      </c>
      <c r="J46" s="2">
        <f t="shared" si="23"/>
        <v>46016.454745751194</v>
      </c>
      <c r="K46" s="6">
        <f t="shared" si="24"/>
        <v>0.2611227180545293</v>
      </c>
      <c r="L46" s="7">
        <f t="shared" si="25"/>
        <v>1.2611227180545292</v>
      </c>
      <c r="O46">
        <f t="shared" si="26"/>
        <v>1995</v>
      </c>
      <c r="P46" s="6">
        <f t="shared" si="13"/>
        <v>0.24432300495461351</v>
      </c>
      <c r="Q46" s="6">
        <f t="shared" si="13"/>
        <v>0.34566827760272306</v>
      </c>
      <c r="R46" s="7"/>
      <c r="S46" s="7"/>
      <c r="T46" s="6">
        <f t="shared" si="14"/>
        <v>0.15034473820994057</v>
      </c>
      <c r="U46" s="7"/>
      <c r="V46" s="6">
        <f t="shared" si="15"/>
        <v>0.25966397923272277</v>
      </c>
      <c r="W46" s="6">
        <f t="shared" si="27"/>
        <v>0.99999999999999989</v>
      </c>
      <c r="X46" s="7">
        <f t="shared" si="28"/>
        <v>0.74033602076727711</v>
      </c>
      <c r="Y46" s="7">
        <f t="shared" si="29"/>
        <v>0</v>
      </c>
      <c r="Z46" s="24"/>
      <c r="AA46">
        <f t="shared" si="16"/>
        <v>1995</v>
      </c>
      <c r="AB46" s="2">
        <f t="shared" si="3"/>
        <v>54298.797130225917</v>
      </c>
      <c r="AC46" s="2">
        <f t="shared" si="4"/>
        <v>76821.958224488742</v>
      </c>
      <c r="AD46" s="2"/>
      <c r="AE46" s="2"/>
      <c r="AF46" s="2">
        <f t="shared" si="5"/>
        <v>33412.893072328501</v>
      </c>
      <c r="AG46" s="2"/>
      <c r="AH46" s="2">
        <f t="shared" si="6"/>
        <v>57708.203666715635</v>
      </c>
      <c r="AI46" s="2">
        <f t="shared" si="17"/>
        <v>222241.85209375882</v>
      </c>
      <c r="AJ46" s="2">
        <f t="shared" si="7"/>
        <v>0</v>
      </c>
    </row>
    <row r="47" spans="1:36" x14ac:dyDescent="0.2">
      <c r="A47">
        <f t="shared" si="8"/>
        <v>1996</v>
      </c>
      <c r="B47" s="2">
        <f t="shared" si="18"/>
        <v>66722.361913621615</v>
      </c>
      <c r="C47" s="2">
        <f t="shared" si="19"/>
        <v>90378.729192364262</v>
      </c>
      <c r="D47" s="2"/>
      <c r="E47" s="2"/>
      <c r="F47" s="2">
        <f t="shared" si="20"/>
        <v>36827.356615389748</v>
      </c>
      <c r="G47" s="2"/>
      <c r="H47" s="2">
        <f t="shared" si="21"/>
        <v>59774.157357984055</v>
      </c>
      <c r="I47" s="2">
        <f t="shared" si="22"/>
        <v>253702.60507935967</v>
      </c>
      <c r="J47" s="2">
        <f t="shared" si="23"/>
        <v>31460.752985600848</v>
      </c>
      <c r="K47" s="6">
        <f t="shared" si="24"/>
        <v>0.14156088373637324</v>
      </c>
      <c r="L47" s="7">
        <f t="shared" si="25"/>
        <v>1.1415608837363733</v>
      </c>
      <c r="O47">
        <f t="shared" si="26"/>
        <v>1996</v>
      </c>
      <c r="P47" s="6">
        <f t="shared" si="13"/>
        <v>0.26299439019457632</v>
      </c>
      <c r="Q47" s="6">
        <f t="shared" si="13"/>
        <v>0.3562388693805224</v>
      </c>
      <c r="R47" s="7"/>
      <c r="S47" s="7"/>
      <c r="T47" s="6">
        <f t="shared" si="14"/>
        <v>0.14515955247629378</v>
      </c>
      <c r="U47" s="7"/>
      <c r="V47" s="6">
        <f t="shared" si="15"/>
        <v>0.23560718794860758</v>
      </c>
      <c r="W47" s="6">
        <f t="shared" si="27"/>
        <v>1</v>
      </c>
      <c r="X47" s="7">
        <f t="shared" si="28"/>
        <v>0.76439281205139242</v>
      </c>
      <c r="Y47" s="7">
        <f t="shared" si="29"/>
        <v>0</v>
      </c>
      <c r="Z47" s="24"/>
      <c r="AA47">
        <f t="shared" si="16"/>
        <v>1996</v>
      </c>
      <c r="AB47" s="2">
        <f t="shared" si="3"/>
        <v>66722.361913621615</v>
      </c>
      <c r="AC47" s="2">
        <f t="shared" si="4"/>
        <v>90378.729192364262</v>
      </c>
      <c r="AD47" s="2"/>
      <c r="AE47" s="2"/>
      <c r="AF47" s="2">
        <f t="shared" si="5"/>
        <v>36827.356615389748</v>
      </c>
      <c r="AG47" s="2"/>
      <c r="AH47" s="2">
        <f t="shared" si="6"/>
        <v>59774.157357984055</v>
      </c>
      <c r="AI47" s="2">
        <f t="shared" si="17"/>
        <v>253702.60507935967</v>
      </c>
      <c r="AJ47" s="2">
        <f t="shared" si="7"/>
        <v>0</v>
      </c>
    </row>
    <row r="48" spans="1:36" x14ac:dyDescent="0.2">
      <c r="A48">
        <f t="shared" si="8"/>
        <v>1997</v>
      </c>
      <c r="B48" s="2">
        <f t="shared" si="18"/>
        <v>88867.513832752637</v>
      </c>
      <c r="C48" s="2">
        <f t="shared" si="19"/>
        <v>114498.10065193051</v>
      </c>
      <c r="D48" s="2"/>
      <c r="E48" s="2"/>
      <c r="F48" s="2"/>
      <c r="G48" s="2">
        <f>AF46*(1+(G12/100))</f>
        <v>33153.943151017957</v>
      </c>
      <c r="H48" s="2">
        <f t="shared" si="21"/>
        <v>65416.837812577753</v>
      </c>
      <c r="I48" s="2">
        <f t="shared" si="22"/>
        <v>301936.39544827887</v>
      </c>
      <c r="J48" s="2">
        <f t="shared" si="23"/>
        <v>48233.790368919203</v>
      </c>
      <c r="K48" s="6">
        <f t="shared" si="24"/>
        <v>0.19011941305778626</v>
      </c>
      <c r="L48" s="7">
        <f t="shared" si="25"/>
        <v>1.1901194130577863</v>
      </c>
      <c r="O48">
        <f t="shared" si="26"/>
        <v>1997</v>
      </c>
      <c r="P48" s="6">
        <f t="shared" si="13"/>
        <v>0.2943252790072321</v>
      </c>
      <c r="Q48" s="6">
        <f t="shared" si="13"/>
        <v>0.37921265000841481</v>
      </c>
      <c r="R48" s="7"/>
      <c r="S48" s="7"/>
      <c r="T48" s="6"/>
      <c r="U48" s="6">
        <f t="shared" si="13"/>
        <v>0.1098043947361661</v>
      </c>
      <c r="V48" s="6">
        <f t="shared" si="15"/>
        <v>0.21665767624818696</v>
      </c>
      <c r="W48" s="6">
        <f t="shared" si="27"/>
        <v>1</v>
      </c>
      <c r="X48" s="7">
        <f t="shared" si="28"/>
        <v>0.78334232375181301</v>
      </c>
      <c r="Y48" s="7">
        <f t="shared" si="29"/>
        <v>0</v>
      </c>
      <c r="Z48" s="24"/>
      <c r="AA48">
        <f t="shared" si="16"/>
        <v>1997</v>
      </c>
      <c r="AB48" s="2">
        <f t="shared" si="3"/>
        <v>88867.513832752637</v>
      </c>
      <c r="AC48" s="2">
        <f t="shared" si="4"/>
        <v>114498.10065193051</v>
      </c>
      <c r="AD48" s="2"/>
      <c r="AE48" s="2"/>
      <c r="AF48" s="2"/>
      <c r="AG48" s="2">
        <f>G48</f>
        <v>33153.943151017957</v>
      </c>
      <c r="AH48" s="2">
        <f t="shared" si="6"/>
        <v>65416.837812577753</v>
      </c>
      <c r="AI48" s="2">
        <f t="shared" si="17"/>
        <v>301936.39544827887</v>
      </c>
      <c r="AJ48" s="2">
        <f t="shared" si="7"/>
        <v>0</v>
      </c>
    </row>
    <row r="49" spans="1:36" x14ac:dyDescent="0.2">
      <c r="A49">
        <f t="shared" si="8"/>
        <v>1998</v>
      </c>
      <c r="B49" s="2">
        <f t="shared" si="18"/>
        <v>114336.94329721954</v>
      </c>
      <c r="C49" s="2">
        <f t="shared" si="19"/>
        <v>124062.12699938628</v>
      </c>
      <c r="D49" s="2"/>
      <c r="E49" s="2"/>
      <c r="F49" s="2"/>
      <c r="G49" s="2">
        <f t="shared" ref="G49:G64" si="30">AG48*(1+(G13/100))</f>
        <v>38326.952900871285</v>
      </c>
      <c r="H49" s="2">
        <f t="shared" si="21"/>
        <v>71029.602496896929</v>
      </c>
      <c r="I49" s="2">
        <f t="shared" si="22"/>
        <v>347755.62569437403</v>
      </c>
      <c r="J49" s="2">
        <f t="shared" si="23"/>
        <v>45819.230246095161</v>
      </c>
      <c r="K49" s="6">
        <f t="shared" si="24"/>
        <v>0.15175126595145402</v>
      </c>
      <c r="L49" s="7">
        <f t="shared" si="25"/>
        <v>1.1517512659514539</v>
      </c>
      <c r="O49">
        <f t="shared" si="26"/>
        <v>1998</v>
      </c>
      <c r="P49" s="6">
        <f t="shared" si="13"/>
        <v>0.32878531603599381</v>
      </c>
      <c r="Q49" s="6">
        <f t="shared" si="13"/>
        <v>0.35675088433628566</v>
      </c>
      <c r="R49" s="7"/>
      <c r="S49" s="7"/>
      <c r="T49" s="6"/>
      <c r="U49" s="6">
        <f t="shared" si="13"/>
        <v>0.11021231597430729</v>
      </c>
      <c r="V49" s="6">
        <f t="shared" si="15"/>
        <v>0.20425148365341322</v>
      </c>
      <c r="W49" s="6">
        <f t="shared" si="27"/>
        <v>1</v>
      </c>
      <c r="X49" s="7">
        <f t="shared" si="28"/>
        <v>0.79574851634658672</v>
      </c>
      <c r="Y49" s="7">
        <f t="shared" si="29"/>
        <v>0</v>
      </c>
      <c r="Z49" s="24"/>
      <c r="AA49">
        <f t="shared" si="16"/>
        <v>1998</v>
      </c>
      <c r="AB49" s="2">
        <f t="shared" si="3"/>
        <v>114336.94329721954</v>
      </c>
      <c r="AC49" s="2">
        <f t="shared" si="4"/>
        <v>124062.12699938628</v>
      </c>
      <c r="AD49" s="2"/>
      <c r="AE49" s="2"/>
      <c r="AF49" s="2"/>
      <c r="AG49" s="2">
        <f>G49</f>
        <v>38326.952900871285</v>
      </c>
      <c r="AH49" s="2">
        <f t="shared" si="6"/>
        <v>71029.602496896929</v>
      </c>
      <c r="AI49" s="2">
        <f t="shared" si="17"/>
        <v>347755.62569437403</v>
      </c>
      <c r="AJ49" s="2">
        <f t="shared" si="7"/>
        <v>0</v>
      </c>
    </row>
    <row r="50" spans="1:36" x14ac:dyDescent="0.2">
      <c r="A50">
        <f t="shared" si="8"/>
        <v>1999</v>
      </c>
      <c r="B50" s="2">
        <f t="shared" si="18"/>
        <v>138427.73724994369</v>
      </c>
      <c r="C50" s="2"/>
      <c r="D50" s="2">
        <f>($AC48*0.67)*(1+(D14/100))</f>
        <v>88465.503342835829</v>
      </c>
      <c r="E50" s="2">
        <f>($AC48*0.33)*(1+(E14/100))</f>
        <v>46525.032270994729</v>
      </c>
      <c r="F50" s="2"/>
      <c r="G50" s="2">
        <f t="shared" si="30"/>
        <v>49793.993939282969</v>
      </c>
      <c r="H50" s="2">
        <f t="shared" si="21"/>
        <v>70489.777517920505</v>
      </c>
      <c r="I50" s="2">
        <f t="shared" si="22"/>
        <v>393702.04432097776</v>
      </c>
      <c r="J50" s="2">
        <f t="shared" si="23"/>
        <v>45946.418626603729</v>
      </c>
      <c r="K50" s="6">
        <f t="shared" si="24"/>
        <v>0.13212271846030138</v>
      </c>
      <c r="L50" s="7">
        <f t="shared" si="25"/>
        <v>1.1321227184603013</v>
      </c>
      <c r="O50">
        <f t="shared" si="26"/>
        <v>1999</v>
      </c>
      <c r="P50" s="6">
        <f t="shared" si="13"/>
        <v>0.35160533008837058</v>
      </c>
      <c r="Q50" s="6"/>
      <c r="R50" s="6">
        <f t="shared" ref="R50" si="31">D50/$I50</f>
        <v>0.22470166111383358</v>
      </c>
      <c r="S50" s="6">
        <f t="shared" ref="S50" si="32">E50/$I50</f>
        <v>0.11817320469147415</v>
      </c>
      <c r="T50" s="7"/>
      <c r="U50" s="6">
        <f t="shared" si="13"/>
        <v>0.1264763408205391</v>
      </c>
      <c r="V50" s="6">
        <f t="shared" si="15"/>
        <v>0.17904346328578252</v>
      </c>
      <c r="W50" s="6">
        <f t="shared" si="27"/>
        <v>1</v>
      </c>
      <c r="X50" s="7">
        <f t="shared" si="28"/>
        <v>0.82095653671421753</v>
      </c>
      <c r="Y50" s="7">
        <f t="shared" si="29"/>
        <v>0</v>
      </c>
      <c r="Z50" s="24"/>
      <c r="AA50">
        <f t="shared" si="16"/>
        <v>1999</v>
      </c>
      <c r="AB50" s="2">
        <f t="shared" si="3"/>
        <v>138427.73724994369</v>
      </c>
      <c r="AC50" s="2"/>
      <c r="AD50" s="2">
        <f t="shared" ref="AD50:AD51" si="33">D50</f>
        <v>88465.503342835829</v>
      </c>
      <c r="AE50" s="2">
        <f t="shared" ref="AE50:AE51" si="34">E50</f>
        <v>46525.032270994729</v>
      </c>
      <c r="AF50" s="2"/>
      <c r="AG50" s="2">
        <f>G50</f>
        <v>49793.993939282969</v>
      </c>
      <c r="AH50" s="2">
        <f t="shared" si="6"/>
        <v>70489.777517920505</v>
      </c>
      <c r="AI50" s="2">
        <f t="shared" si="17"/>
        <v>393702.04432097776</v>
      </c>
      <c r="AJ50" s="2">
        <f t="shared" si="7"/>
        <v>0</v>
      </c>
    </row>
    <row r="51" spans="1:36" x14ac:dyDescent="0.2">
      <c r="A51">
        <f t="shared" si="8"/>
        <v>2000</v>
      </c>
      <c r="B51" s="2">
        <f t="shared" ref="B51:B64" si="35">AB50*(1+(B15/100))</f>
        <v>125886.18425509879</v>
      </c>
      <c r="C51" s="2"/>
      <c r="D51" s="2">
        <f t="shared" ref="D51" si="36">AD50*(1+(D15/100))</f>
        <v>104475.99013782226</v>
      </c>
      <c r="E51" s="2">
        <f t="shared" ref="E51" si="37">AE50*(1+(E15/100))</f>
        <v>45285.140160972718</v>
      </c>
      <c r="F51" s="2"/>
      <c r="G51" s="2">
        <f t="shared" si="30"/>
        <v>42019.159725603327</v>
      </c>
      <c r="H51" s="2">
        <f t="shared" si="21"/>
        <v>78518.563177211661</v>
      </c>
      <c r="I51" s="2">
        <f t="shared" si="22"/>
        <v>396185.03745670873</v>
      </c>
      <c r="J51" s="2">
        <f t="shared" si="23"/>
        <v>2482.9931357309688</v>
      </c>
      <c r="K51" s="6">
        <f t="shared" si="24"/>
        <v>6.3067824298789566E-3</v>
      </c>
      <c r="L51" s="7">
        <f t="shared" si="25"/>
        <v>1.006306782429879</v>
      </c>
      <c r="O51">
        <f t="shared" si="26"/>
        <v>2000</v>
      </c>
      <c r="P51" s="6">
        <f t="shared" si="13"/>
        <v>0.31774593271674079</v>
      </c>
      <c r="Q51" s="7"/>
      <c r="R51" s="6">
        <f t="shared" si="13"/>
        <v>0.26370503744538404</v>
      </c>
      <c r="S51" s="6">
        <f t="shared" si="13"/>
        <v>0.11430300460531916</v>
      </c>
      <c r="T51" s="7"/>
      <c r="U51" s="6">
        <f t="shared" si="13"/>
        <v>0.10605943120755734</v>
      </c>
      <c r="V51" s="6">
        <f t="shared" si="15"/>
        <v>0.19818659402499877</v>
      </c>
      <c r="W51" s="6">
        <f t="shared" si="27"/>
        <v>1.0000000000000002</v>
      </c>
      <c r="X51" s="7">
        <f t="shared" si="28"/>
        <v>0.80181340597500139</v>
      </c>
      <c r="Y51" s="7">
        <f t="shared" si="29"/>
        <v>0</v>
      </c>
      <c r="Z51" s="24"/>
      <c r="AA51">
        <f t="shared" si="16"/>
        <v>2000</v>
      </c>
      <c r="AB51" s="2">
        <f>B51</f>
        <v>125886.18425509879</v>
      </c>
      <c r="AC51" s="2"/>
      <c r="AD51" s="2">
        <f t="shared" si="33"/>
        <v>104475.99013782226</v>
      </c>
      <c r="AE51" s="2">
        <f t="shared" si="34"/>
        <v>45285.140160972718</v>
      </c>
      <c r="AF51" s="2"/>
      <c r="AG51" s="2">
        <f>G51</f>
        <v>42019.159725603327</v>
      </c>
      <c r="AH51" s="2">
        <f t="shared" si="6"/>
        <v>78518.563177211661</v>
      </c>
      <c r="AI51" s="2">
        <f t="shared" si="17"/>
        <v>396185.03745670873</v>
      </c>
      <c r="AJ51" s="2">
        <f t="shared" si="7"/>
        <v>0</v>
      </c>
    </row>
    <row r="52" spans="1:36" x14ac:dyDescent="0.2">
      <c r="A52">
        <f t="shared" si="8"/>
        <v>2001</v>
      </c>
      <c r="B52" s="2">
        <f t="shared" si="35"/>
        <v>110754.66490763592</v>
      </c>
      <c r="C52" s="2"/>
      <c r="D52" s="2">
        <f t="shared" ref="D52:D64" si="38">AD51*(1+(D16/100))</f>
        <v>103954.65494703452</v>
      </c>
      <c r="E52" s="2">
        <f t="shared" ref="E52:E64" si="39">AE51*(1+(E16/100))</f>
        <v>46688.979505962867</v>
      </c>
      <c r="F52" s="2"/>
      <c r="G52" s="2">
        <f t="shared" si="30"/>
        <v>33551.038466102487</v>
      </c>
      <c r="H52" s="2">
        <f t="shared" si="21"/>
        <v>85137.678053050608</v>
      </c>
      <c r="I52" s="2">
        <f t="shared" si="22"/>
        <v>380087.0158797864</v>
      </c>
      <c r="J52" s="2">
        <f t="shared" si="23"/>
        <v>-16098.021576922329</v>
      </c>
      <c r="K52" s="6">
        <f t="shared" si="24"/>
        <v>-4.0632583401591399E-2</v>
      </c>
      <c r="L52" s="7">
        <f t="shared" si="25"/>
        <v>0.95936741659840863</v>
      </c>
      <c r="O52">
        <f t="shared" si="26"/>
        <v>2001</v>
      </c>
      <c r="P52" s="6">
        <f t="shared" si="13"/>
        <v>0.29139291867487865</v>
      </c>
      <c r="Q52" s="7"/>
      <c r="R52" s="6">
        <f t="shared" si="13"/>
        <v>0.27350225238926135</v>
      </c>
      <c r="S52" s="6">
        <f t="shared" si="13"/>
        <v>0.12283760706187768</v>
      </c>
      <c r="T52" s="7"/>
      <c r="U52" s="6">
        <f t="shared" si="13"/>
        <v>8.8271993160413509E-2</v>
      </c>
      <c r="V52" s="6">
        <f t="shared" si="15"/>
        <v>0.22399522871356878</v>
      </c>
      <c r="W52" s="6">
        <f t="shared" si="27"/>
        <v>0.99999999999999989</v>
      </c>
      <c r="X52" s="7">
        <f t="shared" si="28"/>
        <v>0.77600477128643108</v>
      </c>
      <c r="Y52" s="7">
        <f t="shared" si="29"/>
        <v>0</v>
      </c>
      <c r="Z52" s="24"/>
      <c r="AA52">
        <f t="shared" si="16"/>
        <v>2001</v>
      </c>
      <c r="AB52" s="2">
        <f>B52</f>
        <v>110754.66490763592</v>
      </c>
      <c r="AC52" s="2"/>
      <c r="AD52" s="2">
        <f t="shared" ref="AD52:AE52" si="40">D52</f>
        <v>103954.65494703452</v>
      </c>
      <c r="AE52" s="2">
        <f t="shared" si="40"/>
        <v>46688.979505962867</v>
      </c>
      <c r="AF52" s="2"/>
      <c r="AG52" s="2">
        <f>G52</f>
        <v>33551.038466102487</v>
      </c>
      <c r="AH52" s="2">
        <f t="shared" si="6"/>
        <v>85137.678053050608</v>
      </c>
      <c r="AI52" s="2">
        <f t="shared" si="17"/>
        <v>380087.0158797864</v>
      </c>
      <c r="AJ52" s="2">
        <f t="shared" si="7"/>
        <v>0</v>
      </c>
    </row>
    <row r="53" spans="1:36" x14ac:dyDescent="0.2">
      <c r="A53">
        <f t="shared" si="8"/>
        <v>2002</v>
      </c>
      <c r="B53" s="2">
        <f t="shared" si="35"/>
        <v>86222.506630594551</v>
      </c>
      <c r="C53" s="2"/>
      <c r="D53" s="2">
        <f t="shared" si="38"/>
        <v>88768.958952371715</v>
      </c>
      <c r="E53" s="2">
        <f t="shared" si="39"/>
        <v>37340.912029278981</v>
      </c>
      <c r="F53" s="2"/>
      <c r="G53" s="2">
        <f t="shared" si="30"/>
        <v>28490.53533426025</v>
      </c>
      <c r="H53" s="2">
        <f t="shared" si="21"/>
        <v>92170.050260232587</v>
      </c>
      <c r="I53" s="2">
        <f t="shared" si="22"/>
        <v>332992.96320673812</v>
      </c>
      <c r="J53" s="2">
        <f t="shared" si="23"/>
        <v>-47094.052673048282</v>
      </c>
      <c r="K53" s="6">
        <f t="shared" si="24"/>
        <v>-0.12390334503808241</v>
      </c>
      <c r="L53" s="7">
        <f t="shared" si="25"/>
        <v>0.87609665496191758</v>
      </c>
      <c r="O53">
        <f t="shared" si="26"/>
        <v>2002</v>
      </c>
      <c r="P53" s="6">
        <f t="shared" si="13"/>
        <v>0.25893191796087128</v>
      </c>
      <c r="Q53" s="7"/>
      <c r="R53" s="6">
        <f t="shared" si="13"/>
        <v>0.26657908352633763</v>
      </c>
      <c r="S53" s="6">
        <f t="shared" si="13"/>
        <v>0.11213724058816203</v>
      </c>
      <c r="T53" s="7"/>
      <c r="U53" s="6">
        <f t="shared" si="13"/>
        <v>8.5558971156312238E-2</v>
      </c>
      <c r="V53" s="6">
        <f t="shared" si="15"/>
        <v>0.2767927867683167</v>
      </c>
      <c r="W53" s="6">
        <f t="shared" si="27"/>
        <v>0.99999999999999978</v>
      </c>
      <c r="X53" s="7">
        <f t="shared" si="28"/>
        <v>0.72320721323168313</v>
      </c>
      <c r="Y53" s="7">
        <f t="shared" si="29"/>
        <v>0</v>
      </c>
      <c r="Z53" s="24"/>
      <c r="AA53">
        <f t="shared" si="16"/>
        <v>2002</v>
      </c>
      <c r="AB53" s="40">
        <v>0</v>
      </c>
      <c r="AC53" s="40"/>
      <c r="AD53" s="40">
        <v>0</v>
      </c>
      <c r="AE53" s="40">
        <v>0</v>
      </c>
      <c r="AF53" s="40"/>
      <c r="AG53" s="40">
        <v>0</v>
      </c>
      <c r="AH53" s="40">
        <f>I53</f>
        <v>332992.96320673812</v>
      </c>
      <c r="AI53" s="2">
        <f t="shared" si="17"/>
        <v>332992.96320673812</v>
      </c>
      <c r="AJ53" s="2">
        <f t="shared" si="7"/>
        <v>0</v>
      </c>
    </row>
    <row r="54" spans="1:36" x14ac:dyDescent="0.2">
      <c r="A54">
        <f t="shared" si="8"/>
        <v>2003</v>
      </c>
      <c r="B54" s="2">
        <f t="shared" si="35"/>
        <v>0</v>
      </c>
      <c r="C54" s="2"/>
      <c r="D54" s="2">
        <f t="shared" si="38"/>
        <v>0</v>
      </c>
      <c r="E54" s="2">
        <f t="shared" si="39"/>
        <v>0</v>
      </c>
      <c r="F54" s="2"/>
      <c r="G54" s="2">
        <f t="shared" si="30"/>
        <v>0</v>
      </c>
      <c r="H54" s="2">
        <f t="shared" si="21"/>
        <v>346212.78384604567</v>
      </c>
      <c r="I54" s="2">
        <f t="shared" si="22"/>
        <v>346212.78384604567</v>
      </c>
      <c r="J54" s="2">
        <f t="shared" si="23"/>
        <v>13219.820639307552</v>
      </c>
      <c r="K54" s="6">
        <f t="shared" si="24"/>
        <v>3.9700000000000145E-2</v>
      </c>
      <c r="L54" s="7">
        <f t="shared" si="25"/>
        <v>1.0397000000000001</v>
      </c>
      <c r="O54">
        <f t="shared" si="26"/>
        <v>2003</v>
      </c>
      <c r="P54" s="6">
        <f t="shared" si="13"/>
        <v>0</v>
      </c>
      <c r="Q54" s="7"/>
      <c r="R54" s="6">
        <f t="shared" si="13"/>
        <v>0</v>
      </c>
      <c r="S54" s="6">
        <f t="shared" si="13"/>
        <v>0</v>
      </c>
      <c r="T54" s="7"/>
      <c r="U54" s="6">
        <f t="shared" si="13"/>
        <v>0</v>
      </c>
      <c r="V54" s="6">
        <f t="shared" si="15"/>
        <v>1</v>
      </c>
      <c r="W54" s="6">
        <f t="shared" si="27"/>
        <v>1</v>
      </c>
      <c r="X54" s="7">
        <f t="shared" si="28"/>
        <v>0</v>
      </c>
      <c r="Y54" s="7">
        <f t="shared" si="29"/>
        <v>0</v>
      </c>
      <c r="Z54" s="24"/>
      <c r="AA54">
        <f t="shared" si="16"/>
        <v>2003</v>
      </c>
      <c r="AB54" s="40">
        <f>$I54*P$39</f>
        <v>69242.556769209143</v>
      </c>
      <c r="AC54" s="40"/>
      <c r="AD54" s="40">
        <f>$I54*R$39</f>
        <v>69242.556769209143</v>
      </c>
      <c r="AE54" s="40">
        <f>$I54*S$39</f>
        <v>34621.278384604571</v>
      </c>
      <c r="AF54" s="40"/>
      <c r="AG54" s="40">
        <f>$I54*U$39</f>
        <v>69242.556769209143</v>
      </c>
      <c r="AH54" s="40">
        <f>$I54*V$39</f>
        <v>103863.83515381369</v>
      </c>
      <c r="AI54" s="2">
        <f t="shared" si="17"/>
        <v>346212.78384604573</v>
      </c>
      <c r="AJ54" s="2">
        <f t="shared" si="7"/>
        <v>0</v>
      </c>
    </row>
    <row r="55" spans="1:36" x14ac:dyDescent="0.2">
      <c r="A55">
        <f t="shared" si="8"/>
        <v>2004</v>
      </c>
      <c r="B55" s="2">
        <f t="shared" si="35"/>
        <v>76679.207366222196</v>
      </c>
      <c r="C55" s="2"/>
      <c r="D55" s="2">
        <f t="shared" si="38"/>
        <v>83335.494348446286</v>
      </c>
      <c r="E55" s="2">
        <f t="shared" si="39"/>
        <v>41509.874144789348</v>
      </c>
      <c r="F55" s="2"/>
      <c r="G55" s="2">
        <f t="shared" si="30"/>
        <v>83670.628323209254</v>
      </c>
      <c r="H55" s="2">
        <f t="shared" si="21"/>
        <v>108267.6617643354</v>
      </c>
      <c r="I55" s="2">
        <f t="shared" si="22"/>
        <v>393462.86594700249</v>
      </c>
      <c r="J55" s="2">
        <f t="shared" si="23"/>
        <v>47250.082100956817</v>
      </c>
      <c r="K55" s="6">
        <f t="shared" si="24"/>
        <v>0.13647700000000013</v>
      </c>
      <c r="L55" s="7">
        <f t="shared" si="25"/>
        <v>1.1364770000000002</v>
      </c>
      <c r="O55">
        <f t="shared" si="26"/>
        <v>2004</v>
      </c>
      <c r="P55" s="6">
        <f t="shared" si="13"/>
        <v>0.19488295847606241</v>
      </c>
      <c r="Q55" s="7"/>
      <c r="R55" s="6">
        <f t="shared" si="13"/>
        <v>0.21180015081695452</v>
      </c>
      <c r="S55" s="6">
        <f t="shared" si="13"/>
        <v>0.1054988354361769</v>
      </c>
      <c r="T55" s="7"/>
      <c r="U55" s="6">
        <f t="shared" si="13"/>
        <v>0.21265190584587282</v>
      </c>
      <c r="V55" s="6">
        <f t="shared" si="15"/>
        <v>0.27516614942493334</v>
      </c>
      <c r="W55" s="6">
        <f t="shared" si="27"/>
        <v>1</v>
      </c>
      <c r="X55" s="7">
        <f t="shared" si="28"/>
        <v>0.72483385057506666</v>
      </c>
      <c r="Y55" s="7">
        <f t="shared" si="29"/>
        <v>0</v>
      </c>
      <c r="Z55" s="24"/>
      <c r="AA55">
        <f t="shared" si="16"/>
        <v>2004</v>
      </c>
      <c r="AB55" s="2">
        <f>B55</f>
        <v>76679.207366222196</v>
      </c>
      <c r="AC55" s="2"/>
      <c r="AD55" s="2">
        <f t="shared" ref="AD55" si="41">D55</f>
        <v>83335.494348446286</v>
      </c>
      <c r="AE55" s="2">
        <f t="shared" ref="AE55" si="42">E55</f>
        <v>41509.874144789348</v>
      </c>
      <c r="AF55" s="2"/>
      <c r="AG55" s="2">
        <f t="shared" ref="AG55" si="43">G55</f>
        <v>83670.628323209254</v>
      </c>
      <c r="AH55" s="2">
        <f t="shared" ref="AH55" si="44">H55</f>
        <v>108267.6617643354</v>
      </c>
      <c r="AI55" s="2">
        <f t="shared" si="17"/>
        <v>393462.86594700249</v>
      </c>
      <c r="AJ55" s="2">
        <f t="shared" si="7"/>
        <v>0</v>
      </c>
    </row>
    <row r="56" spans="1:36" x14ac:dyDescent="0.2">
      <c r="A56">
        <f t="shared" si="8"/>
        <v>2005</v>
      </c>
      <c r="B56" s="2">
        <f t="shared" si="35"/>
        <v>80336.805557590997</v>
      </c>
      <c r="C56" s="2"/>
      <c r="D56" s="2">
        <f t="shared" si="38"/>
        <v>94944.962066128341</v>
      </c>
      <c r="E56" s="2">
        <f t="shared" si="39"/>
        <v>44566.246178070192</v>
      </c>
      <c r="F56" s="2"/>
      <c r="G56" s="2">
        <f t="shared" si="30"/>
        <v>96698.981859416162</v>
      </c>
      <c r="H56" s="2">
        <f t="shared" si="21"/>
        <v>110866.08564667945</v>
      </c>
      <c r="I56" s="2">
        <f t="shared" si="22"/>
        <v>427413.08130788518</v>
      </c>
      <c r="J56" s="2">
        <f>I56-I55</f>
        <v>33950.215360882692</v>
      </c>
      <c r="K56" s="6">
        <f>(J56/I55)</f>
        <v>8.6285691228243172E-2</v>
      </c>
      <c r="L56" s="7">
        <f t="shared" si="25"/>
        <v>1.0862856912282433</v>
      </c>
      <c r="O56">
        <f t="shared" si="26"/>
        <v>2005</v>
      </c>
      <c r="P56" s="6">
        <f t="shared" si="13"/>
        <v>0.18796056805692554</v>
      </c>
      <c r="Q56" s="7"/>
      <c r="R56" s="6">
        <f t="shared" si="13"/>
        <v>0.22213864343037068</v>
      </c>
      <c r="S56" s="6">
        <f t="shared" si="13"/>
        <v>0.10426972904455184</v>
      </c>
      <c r="T56" s="7"/>
      <c r="U56" s="6">
        <f t="shared" si="13"/>
        <v>0.22624244808679467</v>
      </c>
      <c r="V56" s="6">
        <f t="shared" si="15"/>
        <v>0.25938861138135721</v>
      </c>
      <c r="W56" s="6">
        <f t="shared" si="27"/>
        <v>1</v>
      </c>
      <c r="X56" s="7">
        <f t="shared" si="28"/>
        <v>0.74061138861864273</v>
      </c>
      <c r="Y56" s="7">
        <f t="shared" si="29"/>
        <v>0</v>
      </c>
      <c r="Z56" s="24"/>
      <c r="AA56">
        <f t="shared" si="16"/>
        <v>2005</v>
      </c>
      <c r="AB56" s="2">
        <f>B56</f>
        <v>80336.805557590997</v>
      </c>
      <c r="AC56" s="2"/>
      <c r="AD56" s="2">
        <f t="shared" ref="AD56:AE58" si="45">D56</f>
        <v>94944.962066128341</v>
      </c>
      <c r="AE56" s="2">
        <f t="shared" si="45"/>
        <v>44566.246178070192</v>
      </c>
      <c r="AF56" s="2"/>
      <c r="AG56" s="2">
        <f t="shared" ref="AG56:AH58" si="46">G56</f>
        <v>96698.981859416162</v>
      </c>
      <c r="AH56" s="2">
        <f t="shared" si="46"/>
        <v>110866.08564667945</v>
      </c>
      <c r="AI56" s="2">
        <f t="shared" si="17"/>
        <v>427413.08130788518</v>
      </c>
      <c r="AJ56" s="2">
        <f t="shared" si="7"/>
        <v>0</v>
      </c>
    </row>
    <row r="57" spans="1:36" x14ac:dyDescent="0.2">
      <c r="A57">
        <f t="shared" si="8"/>
        <v>2006</v>
      </c>
      <c r="B57" s="2">
        <f t="shared" si="35"/>
        <v>92901.481946798231</v>
      </c>
      <c r="C57" s="2"/>
      <c r="D57" s="2">
        <f t="shared" si="38"/>
        <v>107854.62855825981</v>
      </c>
      <c r="E57" s="2">
        <f t="shared" si="39"/>
        <v>51543.537679708861</v>
      </c>
      <c r="F57" s="2"/>
      <c r="G57" s="2">
        <f t="shared" si="30"/>
        <v>122456.68965730885</v>
      </c>
      <c r="H57" s="2">
        <f t="shared" si="21"/>
        <v>115600.06750379266</v>
      </c>
      <c r="I57" s="2">
        <f t="shared" si="22"/>
        <v>490356.40534586838</v>
      </c>
      <c r="J57" s="2">
        <f t="shared" si="23"/>
        <v>62943.324037983199</v>
      </c>
      <c r="K57" s="6">
        <f t="shared" si="24"/>
        <v>0.14726578757340897</v>
      </c>
      <c r="L57" s="7">
        <f t="shared" si="25"/>
        <v>1.1472657875734089</v>
      </c>
      <c r="O57">
        <f t="shared" si="26"/>
        <v>2006</v>
      </c>
      <c r="P57" s="6">
        <f t="shared" si="13"/>
        <v>0.18945705803775731</v>
      </c>
      <c r="Q57" s="7"/>
      <c r="R57" s="6">
        <f t="shared" si="13"/>
        <v>0.21995150340125677</v>
      </c>
      <c r="S57" s="6">
        <f t="shared" si="13"/>
        <v>0.10511443741283058</v>
      </c>
      <c r="T57" s="7"/>
      <c r="U57" s="6">
        <f t="shared" si="13"/>
        <v>0.24972996849288662</v>
      </c>
      <c r="V57" s="6">
        <f t="shared" si="15"/>
        <v>0.23574703265526881</v>
      </c>
      <c r="W57" s="6">
        <f t="shared" si="27"/>
        <v>1</v>
      </c>
      <c r="X57" s="7">
        <f t="shared" si="28"/>
        <v>0.76425296734473125</v>
      </c>
      <c r="Y57" s="7">
        <f t="shared" si="29"/>
        <v>0</v>
      </c>
      <c r="Z57" s="24"/>
      <c r="AA57">
        <f t="shared" si="16"/>
        <v>2006</v>
      </c>
      <c r="AB57" s="2">
        <f>B57</f>
        <v>92901.481946798231</v>
      </c>
      <c r="AC57" s="2"/>
      <c r="AD57" s="2">
        <f t="shared" si="45"/>
        <v>107854.62855825981</v>
      </c>
      <c r="AE57" s="2">
        <f t="shared" si="45"/>
        <v>51543.537679708861</v>
      </c>
      <c r="AF57" s="2"/>
      <c r="AG57" s="2">
        <f t="shared" si="46"/>
        <v>122456.68965730885</v>
      </c>
      <c r="AH57" s="2">
        <f t="shared" si="46"/>
        <v>115600.06750379266</v>
      </c>
      <c r="AI57" s="2">
        <f t="shared" si="17"/>
        <v>490356.40534586838</v>
      </c>
      <c r="AJ57" s="2">
        <f t="shared" si="7"/>
        <v>0</v>
      </c>
    </row>
    <row r="58" spans="1:36" x14ac:dyDescent="0.2">
      <c r="A58">
        <f t="shared" si="8"/>
        <v>2007</v>
      </c>
      <c r="B58" s="2">
        <f t="shared" si="35"/>
        <v>97908.87182373066</v>
      </c>
      <c r="C58" s="2"/>
      <c r="D58" s="2">
        <f t="shared" si="38"/>
        <v>114348.55574375264</v>
      </c>
      <c r="E58" s="2">
        <f t="shared" si="39"/>
        <v>52139.380975286294</v>
      </c>
      <c r="F58" s="2"/>
      <c r="G58" s="2">
        <f t="shared" si="30"/>
        <v>141464.41702591631</v>
      </c>
      <c r="H58" s="2">
        <f t="shared" si="21"/>
        <v>123599.59217505511</v>
      </c>
      <c r="I58" s="2">
        <f t="shared" si="22"/>
        <v>529460.81774374098</v>
      </c>
      <c r="J58" s="2">
        <f t="shared" si="23"/>
        <v>39104.412397872598</v>
      </c>
      <c r="K58" s="6">
        <f t="shared" si="24"/>
        <v>7.9746918713727535E-2</v>
      </c>
      <c r="L58" s="7">
        <f t="shared" si="25"/>
        <v>1.0797469187137276</v>
      </c>
      <c r="O58">
        <f t="shared" si="26"/>
        <v>2007</v>
      </c>
      <c r="P58" s="6">
        <f t="shared" si="13"/>
        <v>0.18492184604134115</v>
      </c>
      <c r="Q58" s="7"/>
      <c r="R58" s="6">
        <f t="shared" si="13"/>
        <v>0.21597170538707802</v>
      </c>
      <c r="S58" s="6">
        <f t="shared" si="13"/>
        <v>9.8476372996729955E-2</v>
      </c>
      <c r="T58" s="7"/>
      <c r="U58" s="6">
        <f t="shared" si="13"/>
        <v>0.267185809195016</v>
      </c>
      <c r="V58" s="6">
        <f t="shared" si="15"/>
        <v>0.23344426637983495</v>
      </c>
      <c r="W58" s="6">
        <f t="shared" si="27"/>
        <v>1</v>
      </c>
      <c r="X58" s="7">
        <f t="shared" si="28"/>
        <v>0.76655573362016516</v>
      </c>
      <c r="Y58" s="7">
        <f t="shared" si="29"/>
        <v>0</v>
      </c>
      <c r="Z58" s="24"/>
      <c r="AA58">
        <f t="shared" si="16"/>
        <v>2007</v>
      </c>
      <c r="AB58" s="2">
        <f>B58</f>
        <v>97908.87182373066</v>
      </c>
      <c r="AC58" s="2"/>
      <c r="AD58" s="2">
        <f t="shared" si="45"/>
        <v>114348.55574375264</v>
      </c>
      <c r="AE58" s="2">
        <f t="shared" si="45"/>
        <v>52139.380975286294</v>
      </c>
      <c r="AF58" s="2"/>
      <c r="AG58" s="2">
        <f t="shared" si="46"/>
        <v>141464.41702591631</v>
      </c>
      <c r="AH58" s="2">
        <f t="shared" si="46"/>
        <v>123599.59217505511</v>
      </c>
      <c r="AI58" s="2">
        <f t="shared" si="17"/>
        <v>529460.81774374098</v>
      </c>
      <c r="AJ58" s="2">
        <f t="shared" si="7"/>
        <v>0</v>
      </c>
    </row>
    <row r="59" spans="1:36" x14ac:dyDescent="0.2">
      <c r="A59">
        <f t="shared" si="8"/>
        <v>2008</v>
      </c>
      <c r="B59" s="2">
        <f t="shared" si="35"/>
        <v>61663.00747458556</v>
      </c>
      <c r="C59" s="2"/>
      <c r="D59" s="2">
        <f t="shared" si="38"/>
        <v>66523.415789485545</v>
      </c>
      <c r="E59" s="2">
        <f t="shared" si="39"/>
        <v>33332.706257500526</v>
      </c>
      <c r="F59" s="2"/>
      <c r="G59" s="2">
        <f t="shared" si="30"/>
        <v>79077.194473316951</v>
      </c>
      <c r="H59" s="2">
        <f t="shared" si="21"/>
        <v>129841.37157989539</v>
      </c>
      <c r="I59" s="2">
        <f t="shared" si="22"/>
        <v>370437.69557478395</v>
      </c>
      <c r="J59" s="2">
        <f t="shared" si="23"/>
        <v>-159023.12216895702</v>
      </c>
      <c r="K59" s="6">
        <f t="shared" si="24"/>
        <v>-0.30034917946642881</v>
      </c>
      <c r="L59" s="7">
        <f t="shared" si="25"/>
        <v>0.69965082053357119</v>
      </c>
      <c r="O59">
        <f t="shared" si="26"/>
        <v>2008</v>
      </c>
      <c r="P59" s="6">
        <f t="shared" si="13"/>
        <v>0.16645986143204758</v>
      </c>
      <c r="Q59" s="7"/>
      <c r="R59" s="6">
        <f t="shared" si="13"/>
        <v>0.1795805788238303</v>
      </c>
      <c r="S59" s="6">
        <f t="shared" si="13"/>
        <v>8.9981950151645188E-2</v>
      </c>
      <c r="T59" s="7"/>
      <c r="U59" s="6">
        <f t="shared" si="13"/>
        <v>0.21346962098610953</v>
      </c>
      <c r="V59" s="6">
        <f t="shared" si="15"/>
        <v>0.35050798860636745</v>
      </c>
      <c r="W59" s="6">
        <f t="shared" si="27"/>
        <v>1</v>
      </c>
      <c r="X59" s="7">
        <f t="shared" si="28"/>
        <v>0.64949201139363255</v>
      </c>
      <c r="Y59" s="7">
        <f t="shared" si="29"/>
        <v>0</v>
      </c>
      <c r="Z59" s="24"/>
      <c r="AA59">
        <f t="shared" si="16"/>
        <v>2008</v>
      </c>
      <c r="AB59" s="40">
        <v>0</v>
      </c>
      <c r="AC59" s="40"/>
      <c r="AD59" s="40">
        <v>0</v>
      </c>
      <c r="AE59" s="40">
        <v>0</v>
      </c>
      <c r="AF59" s="40"/>
      <c r="AG59" s="40">
        <v>0</v>
      </c>
      <c r="AH59" s="40">
        <f>I59</f>
        <v>370437.69557478395</v>
      </c>
      <c r="AI59" s="2">
        <f t="shared" si="17"/>
        <v>370437.69557478395</v>
      </c>
      <c r="AJ59" s="2">
        <f t="shared" si="7"/>
        <v>0</v>
      </c>
    </row>
    <row r="60" spans="1:36" x14ac:dyDescent="0.2">
      <c r="A60">
        <f t="shared" si="8"/>
        <v>2009</v>
      </c>
      <c r="B60" s="2">
        <f t="shared" si="35"/>
        <v>0</v>
      </c>
      <c r="C60" s="2"/>
      <c r="D60" s="2">
        <f t="shared" si="38"/>
        <v>0</v>
      </c>
      <c r="E60" s="2">
        <f t="shared" si="39"/>
        <v>0</v>
      </c>
      <c r="F60" s="2"/>
      <c r="G60" s="2">
        <f t="shared" si="30"/>
        <v>0</v>
      </c>
      <c r="H60" s="2">
        <f t="shared" si="21"/>
        <v>392404.65092236863</v>
      </c>
      <c r="I60" s="2">
        <f t="shared" si="22"/>
        <v>392404.65092236863</v>
      </c>
      <c r="J60" s="2">
        <f t="shared" si="23"/>
        <v>21966.955347584677</v>
      </c>
      <c r="K60" s="6">
        <f t="shared" si="24"/>
        <v>5.9299999999999971E-2</v>
      </c>
      <c r="L60" s="7">
        <f t="shared" si="25"/>
        <v>1.0592999999999999</v>
      </c>
      <c r="O60">
        <f t="shared" si="26"/>
        <v>2009</v>
      </c>
      <c r="P60" s="6">
        <f t="shared" si="13"/>
        <v>0</v>
      </c>
      <c r="Q60" s="7"/>
      <c r="R60" s="6">
        <f t="shared" si="13"/>
        <v>0</v>
      </c>
      <c r="S60" s="6">
        <f t="shared" si="13"/>
        <v>0</v>
      </c>
      <c r="T60" s="7"/>
      <c r="U60" s="6">
        <f t="shared" si="13"/>
        <v>0</v>
      </c>
      <c r="V60" s="6">
        <f t="shared" si="15"/>
        <v>1</v>
      </c>
      <c r="W60" s="6">
        <f t="shared" si="27"/>
        <v>1</v>
      </c>
      <c r="X60" s="7">
        <f t="shared" si="28"/>
        <v>0</v>
      </c>
      <c r="Y60" s="7">
        <f t="shared" si="29"/>
        <v>0</v>
      </c>
      <c r="Z60" s="24"/>
      <c r="AA60">
        <f t="shared" si="16"/>
        <v>2009</v>
      </c>
      <c r="AB60" s="40">
        <f>$I60*P$39</f>
        <v>78480.930184473735</v>
      </c>
      <c r="AC60" s="40"/>
      <c r="AD60" s="40">
        <f>$I60*R$39</f>
        <v>78480.930184473735</v>
      </c>
      <c r="AE60" s="40">
        <f>$I60*S$39</f>
        <v>39240.465092236867</v>
      </c>
      <c r="AF60" s="40"/>
      <c r="AG60" s="40">
        <f>$I60*U$39</f>
        <v>78480.930184473735</v>
      </c>
      <c r="AH60" s="40">
        <f>$I60*V$39</f>
        <v>117721.39527671058</v>
      </c>
      <c r="AI60" s="2">
        <f t="shared" si="17"/>
        <v>392404.65092236863</v>
      </c>
      <c r="AJ60" s="2">
        <f t="shared" si="7"/>
        <v>0</v>
      </c>
    </row>
    <row r="61" spans="1:36" x14ac:dyDescent="0.2">
      <c r="A61">
        <f t="shared" si="8"/>
        <v>2010</v>
      </c>
      <c r="B61" s="2">
        <f t="shared" si="35"/>
        <v>90182.436874978768</v>
      </c>
      <c r="C61" s="2"/>
      <c r="D61" s="2">
        <f t="shared" si="38"/>
        <v>98462.175009440747</v>
      </c>
      <c r="E61" s="2">
        <f t="shared" si="39"/>
        <v>50117.922015804928</v>
      </c>
      <c r="F61" s="2"/>
      <c r="G61" s="2">
        <f t="shared" si="30"/>
        <v>87208.009620987214</v>
      </c>
      <c r="H61" s="2">
        <f t="shared" si="21"/>
        <v>125279.10885347541</v>
      </c>
      <c r="I61" s="2">
        <f t="shared" si="22"/>
        <v>451249.65237468708</v>
      </c>
      <c r="J61" s="2">
        <f t="shared" si="23"/>
        <v>58845.001452318451</v>
      </c>
      <c r="K61" s="6">
        <f t="shared" si="24"/>
        <v>0.14996000000000012</v>
      </c>
      <c r="L61" s="7">
        <f t="shared" si="25"/>
        <v>1.1499600000000001</v>
      </c>
      <c r="O61">
        <f t="shared" si="26"/>
        <v>2010</v>
      </c>
      <c r="P61" s="6">
        <f t="shared" si="13"/>
        <v>0.19985042958015931</v>
      </c>
      <c r="Q61" s="7"/>
      <c r="R61" s="6">
        <f t="shared" si="13"/>
        <v>0.21819889387456956</v>
      </c>
      <c r="S61" s="6">
        <f t="shared" si="13"/>
        <v>0.11106473268635431</v>
      </c>
      <c r="T61" s="7"/>
      <c r="U61" s="6">
        <f t="shared" si="13"/>
        <v>0.19325889596159868</v>
      </c>
      <c r="V61" s="6">
        <f t="shared" si="15"/>
        <v>0.27762704789731812</v>
      </c>
      <c r="W61" s="6">
        <f t="shared" si="27"/>
        <v>1</v>
      </c>
      <c r="X61" s="7">
        <f t="shared" si="28"/>
        <v>0.72237295210268182</v>
      </c>
      <c r="Y61" s="7">
        <f t="shared" si="29"/>
        <v>0</v>
      </c>
      <c r="Z61" s="24"/>
      <c r="AA61">
        <f t="shared" si="16"/>
        <v>2010</v>
      </c>
      <c r="AB61" s="2">
        <f>B61</f>
        <v>90182.436874978768</v>
      </c>
      <c r="AC61" s="2"/>
      <c r="AD61" s="2">
        <f t="shared" ref="AD61" si="47">D61</f>
        <v>98462.175009440747</v>
      </c>
      <c r="AE61" s="2">
        <f t="shared" ref="AE61" si="48">E61</f>
        <v>50117.922015804928</v>
      </c>
      <c r="AF61" s="2"/>
      <c r="AG61" s="2">
        <f t="shared" ref="AG61" si="49">G61</f>
        <v>87208.009620987214</v>
      </c>
      <c r="AH61" s="2">
        <f t="shared" ref="AH61" si="50">H61</f>
        <v>125279.10885347541</v>
      </c>
      <c r="AI61" s="2">
        <f t="shared" si="17"/>
        <v>451249.65237468708</v>
      </c>
      <c r="AJ61" s="2">
        <f t="shared" si="7"/>
        <v>0</v>
      </c>
    </row>
    <row r="62" spans="1:36" x14ac:dyDescent="0.2">
      <c r="A62">
        <f t="shared" si="8"/>
        <v>2011</v>
      </c>
      <c r="B62" s="2">
        <f t="shared" si="35"/>
        <v>91959.030881415849</v>
      </c>
      <c r="C62" s="2"/>
      <c r="D62" s="2">
        <f t="shared" si="38"/>
        <v>96384.623116741554</v>
      </c>
      <c r="E62" s="2">
        <f t="shared" si="39"/>
        <v>48714.620199362391</v>
      </c>
      <c r="F62" s="2"/>
      <c r="G62" s="2">
        <f t="shared" si="30"/>
        <v>74510.523420171477</v>
      </c>
      <c r="H62" s="2">
        <f t="shared" si="21"/>
        <v>134750.20948279818</v>
      </c>
      <c r="I62" s="2">
        <f t="shared" si="22"/>
        <v>446319.00710048946</v>
      </c>
      <c r="J62" s="2">
        <f t="shared" si="23"/>
        <v>-4930.6452741976245</v>
      </c>
      <c r="K62" s="6">
        <f t="shared" si="24"/>
        <v>-1.092664614421365E-2</v>
      </c>
      <c r="L62" s="7">
        <f t="shared" si="25"/>
        <v>0.98907335385578632</v>
      </c>
      <c r="O62">
        <f t="shared" si="26"/>
        <v>2011</v>
      </c>
      <c r="P62" s="6">
        <f t="shared" si="13"/>
        <v>0.20603879605940942</v>
      </c>
      <c r="Q62" s="7"/>
      <c r="R62" s="6">
        <f t="shared" si="13"/>
        <v>0.21595455623300489</v>
      </c>
      <c r="S62" s="6">
        <f t="shared" si="13"/>
        <v>0.10914753668197288</v>
      </c>
      <c r="T62" s="7"/>
      <c r="U62" s="6">
        <f t="shared" si="13"/>
        <v>0.16694454467496006</v>
      </c>
      <c r="V62" s="6">
        <f t="shared" si="15"/>
        <v>0.30191456635065272</v>
      </c>
      <c r="W62" s="6">
        <f t="shared" si="27"/>
        <v>0.99999999999999989</v>
      </c>
      <c r="X62" s="7">
        <f t="shared" si="28"/>
        <v>0.69808543364934716</v>
      </c>
      <c r="Y62" s="7">
        <f t="shared" si="29"/>
        <v>0</v>
      </c>
      <c r="Z62" s="24"/>
      <c r="AA62">
        <f t="shared" si="16"/>
        <v>2011</v>
      </c>
      <c r="AB62" s="2">
        <f>B62</f>
        <v>91959.030881415849</v>
      </c>
      <c r="AC62" s="2"/>
      <c r="AD62" s="2">
        <f t="shared" ref="AD62:AE64" si="51">D62</f>
        <v>96384.623116741554</v>
      </c>
      <c r="AE62" s="2">
        <f t="shared" si="51"/>
        <v>48714.620199362391</v>
      </c>
      <c r="AF62" s="2"/>
      <c r="AG62" s="2">
        <f t="shared" ref="AG62:AH64" si="52">G62</f>
        <v>74510.523420171477</v>
      </c>
      <c r="AH62" s="2">
        <f t="shared" si="52"/>
        <v>134750.20948279818</v>
      </c>
      <c r="AI62" s="2">
        <f t="shared" si="17"/>
        <v>446319.00710048946</v>
      </c>
      <c r="AJ62" s="2">
        <f t="shared" si="7"/>
        <v>0</v>
      </c>
    </row>
    <row r="63" spans="1:36" x14ac:dyDescent="0.2">
      <c r="A63">
        <f t="shared" si="8"/>
        <v>2012</v>
      </c>
      <c r="B63" s="2">
        <f t="shared" si="35"/>
        <v>106506.94956685582</v>
      </c>
      <c r="C63" s="2"/>
      <c r="D63" s="2">
        <f t="shared" si="38"/>
        <v>111613.39356918671</v>
      </c>
      <c r="E63" s="2">
        <f t="shared" si="39"/>
        <v>57502.737683327374</v>
      </c>
      <c r="F63" s="2"/>
      <c r="G63" s="2">
        <f t="shared" si="30"/>
        <v>88026.732368590587</v>
      </c>
      <c r="H63" s="2">
        <f t="shared" si="21"/>
        <v>140207.59296685149</v>
      </c>
      <c r="I63" s="2">
        <f t="shared" si="22"/>
        <v>503857.40615481196</v>
      </c>
      <c r="J63" s="2">
        <f t="shared" si="23"/>
        <v>57538.399054322508</v>
      </c>
      <c r="K63" s="6">
        <f t="shared" si="24"/>
        <v>0.12891765338008032</v>
      </c>
      <c r="L63" s="7">
        <f t="shared" si="25"/>
        <v>1.1289176533800802</v>
      </c>
      <c r="O63">
        <f t="shared" si="26"/>
        <v>2012</v>
      </c>
      <c r="P63" s="6">
        <f t="shared" si="13"/>
        <v>0.21138311805251342</v>
      </c>
      <c r="Q63" s="7"/>
      <c r="R63" s="6">
        <f t="shared" si="13"/>
        <v>0.2215178187435298</v>
      </c>
      <c r="S63" s="6">
        <f t="shared" si="13"/>
        <v>0.11412502224023964</v>
      </c>
      <c r="T63" s="7"/>
      <c r="U63" s="6">
        <f t="shared" si="13"/>
        <v>0.17470564348823736</v>
      </c>
      <c r="V63" s="6">
        <f t="shared" si="15"/>
        <v>0.27826839747547982</v>
      </c>
      <c r="W63" s="6">
        <f t="shared" si="27"/>
        <v>1</v>
      </c>
      <c r="X63" s="7">
        <f t="shared" si="28"/>
        <v>0.72173160252452029</v>
      </c>
      <c r="Y63" s="7">
        <f t="shared" si="29"/>
        <v>0</v>
      </c>
      <c r="Z63" s="24"/>
      <c r="AA63">
        <f t="shared" si="16"/>
        <v>2012</v>
      </c>
      <c r="AB63" s="2">
        <f>B63</f>
        <v>106506.94956685582</v>
      </c>
      <c r="AC63" s="2"/>
      <c r="AD63" s="2">
        <f t="shared" si="51"/>
        <v>111613.39356918671</v>
      </c>
      <c r="AE63" s="2">
        <f t="shared" si="51"/>
        <v>57502.737683327374</v>
      </c>
      <c r="AF63" s="2"/>
      <c r="AG63" s="2">
        <f t="shared" si="52"/>
        <v>88026.732368590587</v>
      </c>
      <c r="AH63" s="2">
        <f t="shared" si="52"/>
        <v>140207.59296685149</v>
      </c>
      <c r="AI63" s="2">
        <f t="shared" si="17"/>
        <v>503857.40615481196</v>
      </c>
      <c r="AJ63" s="2">
        <f t="shared" si="7"/>
        <v>0</v>
      </c>
    </row>
    <row r="64" spans="1:36" x14ac:dyDescent="0.2">
      <c r="A64">
        <f t="shared" si="8"/>
        <v>2013</v>
      </c>
      <c r="B64" s="2">
        <f t="shared" si="35"/>
        <v>140780.88593747004</v>
      </c>
      <c r="C64" s="2"/>
      <c r="D64" s="2">
        <f t="shared" si="38"/>
        <v>150678.08131840205</v>
      </c>
      <c r="E64" s="2">
        <f t="shared" si="39"/>
        <v>79135.26759979513</v>
      </c>
      <c r="F64" s="2"/>
      <c r="G64" s="2">
        <f t="shared" si="30"/>
        <v>101265.9529168266</v>
      </c>
      <c r="H64" s="2">
        <f t="shared" si="21"/>
        <v>137038.90136580064</v>
      </c>
      <c r="I64" s="2">
        <f t="shared" si="22"/>
        <v>608899.08913829445</v>
      </c>
      <c r="J64" s="2">
        <f t="shared" si="23"/>
        <v>105041.68298348249</v>
      </c>
      <c r="K64" s="6">
        <f t="shared" si="24"/>
        <v>0.20847502031399745</v>
      </c>
      <c r="L64" s="7">
        <f t="shared" si="25"/>
        <v>1.2084750203139976</v>
      </c>
      <c r="O64">
        <f t="shared" si="26"/>
        <v>2013</v>
      </c>
      <c r="P64" s="6">
        <f t="shared" si="13"/>
        <v>0.23120561099327838</v>
      </c>
      <c r="Q64" s="7"/>
      <c r="R64" s="6">
        <f t="shared" si="13"/>
        <v>0.24745985665972925</v>
      </c>
      <c r="S64" s="6">
        <f t="shared" si="13"/>
        <v>0.12996450316880301</v>
      </c>
      <c r="T64" s="7"/>
      <c r="U64" s="6">
        <f t="shared" si="13"/>
        <v>0.16630991033364292</v>
      </c>
      <c r="V64" s="6">
        <f t="shared" si="15"/>
        <v>0.22506011884454646</v>
      </c>
      <c r="W64" s="6">
        <f t="shared" si="27"/>
        <v>1</v>
      </c>
      <c r="X64" s="7">
        <f t="shared" si="28"/>
        <v>0.77493988115545365</v>
      </c>
      <c r="Y64" s="7">
        <f t="shared" si="29"/>
        <v>0</v>
      </c>
      <c r="Z64" s="24"/>
      <c r="AA64">
        <f t="shared" si="16"/>
        <v>2013</v>
      </c>
      <c r="AB64" s="2">
        <f>B64</f>
        <v>140780.88593747004</v>
      </c>
      <c r="AC64" s="2"/>
      <c r="AD64" s="2">
        <f t="shared" si="51"/>
        <v>150678.08131840205</v>
      </c>
      <c r="AE64" s="2">
        <f t="shared" si="51"/>
        <v>79135.26759979513</v>
      </c>
      <c r="AF64" s="2"/>
      <c r="AG64" s="2">
        <f t="shared" si="52"/>
        <v>101265.9529168266</v>
      </c>
      <c r="AH64" s="2">
        <f t="shared" si="52"/>
        <v>137038.90136580064</v>
      </c>
      <c r="AI64" s="2">
        <f t="shared" si="17"/>
        <v>608899.08913829445</v>
      </c>
      <c r="AJ64" s="2">
        <f t="shared" si="7"/>
        <v>0</v>
      </c>
    </row>
    <row r="65" spans="1:19" x14ac:dyDescent="0.2">
      <c r="A65" s="9" t="s">
        <v>78</v>
      </c>
      <c r="B65" s="10">
        <f>B64</f>
        <v>140780.88593747004</v>
      </c>
      <c r="C65" s="10"/>
      <c r="D65" s="10">
        <f>D64</f>
        <v>150678.08131840205</v>
      </c>
      <c r="E65" s="10">
        <f>E64</f>
        <v>79135.26759979513</v>
      </c>
      <c r="F65" s="10"/>
      <c r="G65" s="10">
        <f>G64</f>
        <v>101265.9529168266</v>
      </c>
      <c r="H65" s="10">
        <f>H64</f>
        <v>137038.90136580064</v>
      </c>
      <c r="I65" s="10">
        <f>SUM(B65:H65)</f>
        <v>608899.08913829445</v>
      </c>
      <c r="J65" s="10"/>
      <c r="K65" s="10"/>
      <c r="S65" s="7"/>
    </row>
    <row r="66" spans="1:19" x14ac:dyDescent="0.2">
      <c r="A66" s="11" t="s">
        <v>79</v>
      </c>
      <c r="I66" s="6">
        <f>(I65-I39)/I39</f>
        <v>5.0889908913829442</v>
      </c>
      <c r="K66" s="6"/>
    </row>
    <row r="67" spans="1:19" x14ac:dyDescent="0.2">
      <c r="A67" s="1" t="s">
        <v>80</v>
      </c>
      <c r="I67" s="12">
        <f>STDEV(L40:L64)</f>
        <v>0.12628788726762216</v>
      </c>
    </row>
    <row r="68" spans="1:19" x14ac:dyDescent="0.2">
      <c r="A68" s="1" t="s">
        <v>81</v>
      </c>
      <c r="I68" s="13">
        <f>((1+I66)^(1/I73))-1</f>
        <v>7.4934032680635143E-2</v>
      </c>
    </row>
    <row r="69" spans="1:19" x14ac:dyDescent="0.2">
      <c r="A69" s="1" t="s">
        <v>82</v>
      </c>
      <c r="I69" s="31">
        <f>J60</f>
        <v>21966.955347584677</v>
      </c>
    </row>
    <row r="70" spans="1:19" x14ac:dyDescent="0.2">
      <c r="A70" s="1" t="s">
        <v>83</v>
      </c>
      <c r="I70" s="32">
        <f>K60</f>
        <v>5.9299999999999971E-2</v>
      </c>
    </row>
    <row r="71" spans="1:19" x14ac:dyDescent="0.2">
      <c r="A71" s="3" t="s">
        <v>84</v>
      </c>
      <c r="I71" s="33">
        <f>I64-I65</f>
        <v>0</v>
      </c>
    </row>
    <row r="72" spans="1:19" x14ac:dyDescent="0.2">
      <c r="A72" s="3" t="s">
        <v>148</v>
      </c>
      <c r="I72" s="33">
        <f>((SUM(J40:J64))-(I65-I39))</f>
        <v>0</v>
      </c>
    </row>
    <row r="73" spans="1:19" x14ac:dyDescent="0.2">
      <c r="A73" s="3" t="s">
        <v>159</v>
      </c>
      <c r="I73" s="3">
        <f>COUNTA(I40:I64)</f>
        <v>25</v>
      </c>
    </row>
    <row r="74" spans="1:19" x14ac:dyDescent="0.2">
      <c r="A74" s="1" t="s">
        <v>105</v>
      </c>
      <c r="B74" s="63"/>
      <c r="C74" s="63"/>
      <c r="D74" s="63"/>
      <c r="E74" s="63"/>
      <c r="G74" s="63"/>
      <c r="H74" s="63"/>
      <c r="I74" s="83">
        <f>(SUM(B62:G62)/I62)</f>
        <v>0.69808543364934728</v>
      </c>
    </row>
    <row r="75" spans="1:19" x14ac:dyDescent="0.2">
      <c r="A75" s="1" t="s">
        <v>106</v>
      </c>
      <c r="B75" s="63"/>
      <c r="C75" s="63"/>
      <c r="D75" s="63"/>
      <c r="E75" s="63"/>
      <c r="G75" s="63"/>
      <c r="H75" s="63"/>
      <c r="I75" s="83">
        <f>(H62/I62)</f>
        <v>0.30191456635065272</v>
      </c>
    </row>
    <row r="76" spans="1:19" x14ac:dyDescent="0.2">
      <c r="A76" s="3" t="s">
        <v>107</v>
      </c>
      <c r="I76" s="3">
        <f>100%-(I74+I75)</f>
        <v>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75F6-73E5-4728-ACAC-970906A88720}">
  <dimension ref="A1:AU76"/>
  <sheetViews>
    <sheetView tabSelected="1" topLeftCell="B57" zoomScaleNormal="100" workbookViewId="0">
      <selection activeCell="A74" sqref="A74:I76"/>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0.6640625" customWidth="1"/>
    <col min="10" max="10" width="10" bestFit="1" customWidth="1"/>
    <col min="39" max="40" width="10.83203125" bestFit="1" customWidth="1"/>
    <col min="41" max="41" width="9.33203125" bestFit="1" customWidth="1"/>
    <col min="42" max="42" width="9.5" bestFit="1" customWidth="1"/>
    <col min="43" max="43" width="10.83203125" bestFit="1" customWidth="1"/>
    <col min="44" max="44" width="9.83203125" bestFit="1" customWidth="1"/>
    <col min="45" max="45" width="10.83203125" bestFit="1" customWidth="1"/>
    <col min="46" max="46" width="11.5" customWidth="1"/>
  </cols>
  <sheetData>
    <row r="1" spans="1:8" x14ac:dyDescent="0.2">
      <c r="A1" s="20" t="s">
        <v>49</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
      <c r="A4" s="17">
        <f>'Non-Rebalanced Portfolio'!A4</f>
        <v>1989</v>
      </c>
      <c r="B4" s="17">
        <f>'Non-Rebalanced Portfolio'!B4</f>
        <v>31.36</v>
      </c>
      <c r="C4" s="17">
        <f>'Non-Rebalanced Portfolio'!C4</f>
        <v>24.096</v>
      </c>
      <c r="D4" s="17"/>
      <c r="E4" s="17"/>
      <c r="F4" s="17">
        <f>'Non-Rebalanced Portfolio'!F4</f>
        <v>25.971</v>
      </c>
      <c r="G4" s="17"/>
      <c r="H4" s="17">
        <f>'Non-Rebalanced Portfolio'!H4</f>
        <v>13.64</v>
      </c>
    </row>
    <row r="5" spans="1:8" x14ac:dyDescent="0.2">
      <c r="A5" s="17">
        <f>'Non-Rebalanced Portfolio'!A5</f>
        <v>1990</v>
      </c>
      <c r="B5" s="17">
        <f>'Non-Rebalanced Portfolio'!B5</f>
        <v>-3.32</v>
      </c>
      <c r="C5" s="17">
        <f>'Non-Rebalanced Portfolio'!C5</f>
        <v>-14.045</v>
      </c>
      <c r="D5" s="17"/>
      <c r="E5" s="17"/>
      <c r="F5" s="17">
        <f>'Non-Rebalanced Portfolio'!F5</f>
        <v>-12.26</v>
      </c>
      <c r="G5" s="17"/>
      <c r="H5" s="17">
        <f>'Non-Rebalanced Portfolio'!H5</f>
        <v>8.65</v>
      </c>
    </row>
    <row r="6" spans="1:8" x14ac:dyDescent="0.2">
      <c r="A6" s="17">
        <f>'Non-Rebalanced Portfolio'!A6</f>
        <v>1991</v>
      </c>
      <c r="B6" s="17">
        <f>'Non-Rebalanced Portfolio'!B6</f>
        <v>30.22</v>
      </c>
      <c r="C6" s="17">
        <f>'Non-Rebalanced Portfolio'!C6</f>
        <v>41.85</v>
      </c>
      <c r="D6" s="17"/>
      <c r="E6" s="17"/>
      <c r="F6" s="17">
        <f>'Non-Rebalanced Portfolio'!F6</f>
        <v>9.9559999999999995</v>
      </c>
      <c r="G6" s="17"/>
      <c r="H6" s="17">
        <f>'Non-Rebalanced Portfolio'!H6</f>
        <v>15.25</v>
      </c>
    </row>
    <row r="7" spans="1:8" x14ac:dyDescent="0.2">
      <c r="A7" s="17">
        <f>'Non-Rebalanced Portfolio'!A7</f>
        <v>1992</v>
      </c>
      <c r="B7" s="17">
        <f>'Non-Rebalanced Portfolio'!B7</f>
        <v>7.42</v>
      </c>
      <c r="C7" s="17">
        <f>'Non-Rebalanced Portfolio'!C7</f>
        <v>12.465999999999999</v>
      </c>
      <c r="D7" s="17"/>
      <c r="E7" s="17"/>
      <c r="F7" s="17">
        <f>'Non-Rebalanced Portfolio'!F7</f>
        <v>-8.7210000000000001</v>
      </c>
      <c r="G7" s="17"/>
      <c r="H7" s="17">
        <f>'Non-Rebalanced Portfolio'!H7</f>
        <v>7.14</v>
      </c>
    </row>
    <row r="8" spans="1:8" x14ac:dyDescent="0.2">
      <c r="A8" s="17">
        <f>'Non-Rebalanced Portfolio'!A8</f>
        <v>1993</v>
      </c>
      <c r="B8" s="17">
        <f>'Non-Rebalanced Portfolio'!B8</f>
        <v>9.89</v>
      </c>
      <c r="C8" s="17">
        <f>'Non-Rebalanced Portfolio'!C8</f>
        <v>14.49</v>
      </c>
      <c r="D8" s="17"/>
      <c r="E8" s="17"/>
      <c r="F8" s="17">
        <f>'Non-Rebalanced Portfolio'!F8</f>
        <v>30.494</v>
      </c>
      <c r="G8" s="17"/>
      <c r="H8" s="17">
        <f>'Non-Rebalanced Portfolio'!H8</f>
        <v>9.68</v>
      </c>
    </row>
    <row r="9" spans="1:8" x14ac:dyDescent="0.2">
      <c r="A9" s="17">
        <f>'Non-Rebalanced Portfolio'!A9</f>
        <v>1994</v>
      </c>
      <c r="B9" s="17">
        <f>'Non-Rebalanced Portfolio'!B9</f>
        <v>1.18</v>
      </c>
      <c r="C9" s="17">
        <f>'Non-Rebalanced Portfolio'!C9</f>
        <v>-1.764</v>
      </c>
      <c r="D9" s="17"/>
      <c r="E9" s="17"/>
      <c r="F9" s="17">
        <f>'Non-Rebalanced Portfolio'!F9</f>
        <v>5.2549999999999999</v>
      </c>
      <c r="G9" s="17"/>
      <c r="H9" s="17">
        <f>'Non-Rebalanced Portfolio'!H9</f>
        <v>-2.66</v>
      </c>
    </row>
    <row r="10" spans="1:8" x14ac:dyDescent="0.2">
      <c r="A10" s="17">
        <f>'Non-Rebalanced Portfolio'!A10</f>
        <v>1995</v>
      </c>
      <c r="B10" s="17">
        <f>'Non-Rebalanced Portfolio'!B10</f>
        <v>37.450000000000003</v>
      </c>
      <c r="C10" s="17">
        <f>'Non-Rebalanced Portfolio'!C10</f>
        <v>33.796999999999997</v>
      </c>
      <c r="D10" s="17"/>
      <c r="E10" s="17"/>
      <c r="F10" s="17">
        <f>'Non-Rebalanced Portfolio'!F10</f>
        <v>9.6460000000000008</v>
      </c>
      <c r="G10" s="17"/>
      <c r="H10" s="17">
        <f>'Non-Rebalanced Portfolio'!H10</f>
        <v>18.18</v>
      </c>
    </row>
    <row r="11" spans="1:8" x14ac:dyDescent="0.2">
      <c r="A11" s="17">
        <f>'Non-Rebalanced Portfolio'!A11</f>
        <v>1996</v>
      </c>
      <c r="B11" s="17">
        <f>'Non-Rebalanced Portfolio'!B11</f>
        <v>22.88</v>
      </c>
      <c r="C11" s="17">
        <f>'Non-Rebalanced Portfolio'!C11</f>
        <v>17.646999999999998</v>
      </c>
      <c r="D11" s="17"/>
      <c r="E11" s="17"/>
      <c r="F11" s="17">
        <f>'Non-Rebalanced Portfolio'!F11</f>
        <v>10.218999999999999</v>
      </c>
      <c r="G11" s="17"/>
      <c r="H11" s="17">
        <f>'Non-Rebalanced Portfolio'!H11</f>
        <v>3.58</v>
      </c>
    </row>
    <row r="12" spans="1:8" x14ac:dyDescent="0.2">
      <c r="A12" s="17">
        <f>'Non-Rebalanced Portfolio'!A12</f>
        <v>1997</v>
      </c>
      <c r="B12" s="17">
        <f>'Non-Rebalanced Portfolio'!B12</f>
        <v>33.19</v>
      </c>
      <c r="C12" s="17">
        <f>'Non-Rebalanced Portfolio'!C12</f>
        <v>26.687000000000001</v>
      </c>
      <c r="D12" s="17"/>
      <c r="E12" s="17"/>
      <c r="F12" s="17">
        <f>'Non-Rebalanced Portfolio'!F12</f>
        <v>0</v>
      </c>
      <c r="G12" s="18">
        <f>'Non-Rebalanced Portfolio'!G12</f>
        <v>-0.77500000000000002</v>
      </c>
      <c r="H12" s="17">
        <f>'Non-Rebalanced Portfolio'!H12</f>
        <v>9.44</v>
      </c>
    </row>
    <row r="13" spans="1:8" x14ac:dyDescent="0.2">
      <c r="A13" s="17">
        <f>'Non-Rebalanced Portfolio'!A13</f>
        <v>1998</v>
      </c>
      <c r="B13" s="17">
        <f>'Non-Rebalanced Portfolio'!B13</f>
        <v>28.66</v>
      </c>
      <c r="C13" s="17">
        <f>'Non-Rebalanced Portfolio'!C13</f>
        <v>8.3529999999999998</v>
      </c>
      <c r="D13" s="17"/>
      <c r="E13" s="17"/>
      <c r="F13" s="17"/>
      <c r="G13" s="18">
        <f>'Non-Rebalanced Portfolio'!G13</f>
        <v>15.603</v>
      </c>
      <c r="H13" s="17">
        <f>'Non-Rebalanced Portfolio'!H13</f>
        <v>8.58</v>
      </c>
    </row>
    <row r="14" spans="1:8" x14ac:dyDescent="0.2">
      <c r="A14" s="17">
        <f>'Non-Rebalanced Portfolio'!A14</f>
        <v>1999</v>
      </c>
      <c r="B14" s="17">
        <f>'Non-Rebalanced Portfolio'!B14</f>
        <v>21.07</v>
      </c>
      <c r="C14" s="17">
        <f>'Non-Rebalanced Portfolio'!C14</f>
        <v>0</v>
      </c>
      <c r="D14" s="18">
        <f>'Non-Rebalanced Portfolio'!D14</f>
        <v>15.319000000000001</v>
      </c>
      <c r="E14" s="18">
        <f>'Non-Rebalanced Portfolio'!E14</f>
        <v>23.132999999999999</v>
      </c>
      <c r="F14" s="17"/>
      <c r="G14" s="17">
        <f>'Non-Rebalanced Portfolio'!G14</f>
        <v>29.919</v>
      </c>
      <c r="H14" s="17">
        <f>'Non-Rebalanced Portfolio'!H14</f>
        <v>-0.76</v>
      </c>
    </row>
    <row r="15" spans="1:8" x14ac:dyDescent="0.2">
      <c r="A15" s="17">
        <f>'Non-Rebalanced Portfolio'!A15</f>
        <v>2000</v>
      </c>
      <c r="B15" s="17">
        <f>'Non-Rebalanced Portfolio'!B15</f>
        <v>-9.06</v>
      </c>
      <c r="C15" s="17"/>
      <c r="D15" s="18">
        <f>'Non-Rebalanced Portfolio'!D15</f>
        <v>18.097999999999999</v>
      </c>
      <c r="E15" s="18">
        <f>'Non-Rebalanced Portfolio'!E15</f>
        <v>-2.665</v>
      </c>
      <c r="F15" s="17"/>
      <c r="G15" s="17">
        <f>'Non-Rebalanced Portfolio'!G15</f>
        <v>-15.614000000000001</v>
      </c>
      <c r="H15" s="17">
        <f>'Non-Rebalanced Portfolio'!H15</f>
        <v>11.39</v>
      </c>
    </row>
    <row r="16" spans="1:8"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row>
    <row r="17" spans="1:8"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row>
    <row r="18" spans="1:8"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row>
    <row r="19" spans="1:8"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row>
    <row r="20" spans="1:8"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row>
    <row r="21" spans="1:8"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row>
    <row r="22" spans="1:8"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row>
    <row r="23" spans="1:8"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row>
    <row r="24" spans="1:8"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row>
    <row r="25" spans="1:8"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row>
    <row r="26" spans="1:8"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row>
    <row r="27" spans="1:8"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row>
    <row r="28" spans="1:8" x14ac:dyDescent="0.2">
      <c r="A28" s="17">
        <f>'Non-Rebalanced Portfolio'!A28</f>
        <v>2013</v>
      </c>
      <c r="B28" s="17">
        <f>'Non-Rebalanced Portfolio'!B28</f>
        <v>32.18</v>
      </c>
      <c r="C28" s="19"/>
      <c r="D28" s="17">
        <f>'Non-Rebalanced Portfolio'!D28</f>
        <v>35</v>
      </c>
      <c r="E28" s="17">
        <f>'Non-Rebalanced Portfolio'!E28</f>
        <v>37.619999999999997</v>
      </c>
      <c r="F28" s="19"/>
      <c r="G28" s="17">
        <f>'Non-Rebalanced Portfolio'!G28</f>
        <v>15.04</v>
      </c>
      <c r="H28" s="17">
        <f>'Non-Rebalanced Portfolio'!H28</f>
        <v>-2.2599999999999998</v>
      </c>
    </row>
    <row r="29" spans="1:8"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
      <c r="A36" s="20" t="s">
        <v>116</v>
      </c>
      <c r="O36" s="20" t="s">
        <v>126</v>
      </c>
      <c r="AB36" s="20" t="s">
        <v>18</v>
      </c>
      <c r="AL36" s="20" t="s">
        <v>21</v>
      </c>
    </row>
    <row r="37" spans="1:47"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88</v>
      </c>
    </row>
    <row r="38" spans="1:47"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72</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87</v>
      </c>
    </row>
    <row r="39" spans="1:47" x14ac:dyDescent="0.2">
      <c r="A39" t="s">
        <v>71</v>
      </c>
      <c r="B39" s="2">
        <v>60000</v>
      </c>
      <c r="C39" s="2">
        <v>0</v>
      </c>
      <c r="F39" s="2">
        <v>0</v>
      </c>
      <c r="H39" s="2">
        <v>40000</v>
      </c>
      <c r="I39" s="2">
        <f>SUM(B39:H39)</f>
        <v>100000</v>
      </c>
      <c r="O39" s="21" t="s">
        <v>86</v>
      </c>
      <c r="P39" s="22">
        <f>B39/$I39</f>
        <v>0.6</v>
      </c>
      <c r="Q39" s="22">
        <f>C39/$I39</f>
        <v>0</v>
      </c>
      <c r="R39" s="56">
        <v>0</v>
      </c>
      <c r="S39" s="56">
        <v>0</v>
      </c>
      <c r="T39" s="22">
        <f>F39/$I39</f>
        <v>0</v>
      </c>
      <c r="U39" s="56">
        <v>0</v>
      </c>
      <c r="V39" s="22">
        <f>H39/$I39</f>
        <v>0.4</v>
      </c>
      <c r="W39" s="22">
        <f>I39/$I39</f>
        <v>1</v>
      </c>
      <c r="X39" s="24"/>
      <c r="Z39" s="22"/>
      <c r="AB39" s="21" t="str">
        <f>O39</f>
        <v>Target Allocation</v>
      </c>
      <c r="AC39" s="24">
        <f t="shared" si="2"/>
        <v>0.6</v>
      </c>
      <c r="AD39" s="24">
        <f t="shared" si="2"/>
        <v>0</v>
      </c>
      <c r="AE39" s="25">
        <f t="shared" si="2"/>
        <v>0</v>
      </c>
      <c r="AF39" s="25">
        <f t="shared" si="2"/>
        <v>0</v>
      </c>
      <c r="AG39" s="24">
        <f t="shared" si="2"/>
        <v>0</v>
      </c>
      <c r="AH39" s="25">
        <f t="shared" si="2"/>
        <v>0</v>
      </c>
      <c r="AI39" s="24">
        <f t="shared" si="2"/>
        <v>0.4</v>
      </c>
      <c r="AJ39" s="24">
        <f>W39</f>
        <v>1</v>
      </c>
      <c r="AL39" s="21" t="str">
        <f>AB39</f>
        <v>Target Allocation</v>
      </c>
      <c r="AM39" s="24">
        <f>AC39</f>
        <v>0.6</v>
      </c>
      <c r="AN39" s="24">
        <f t="shared" si="3"/>
        <v>0</v>
      </c>
      <c r="AO39" s="25">
        <f t="shared" si="3"/>
        <v>0</v>
      </c>
      <c r="AP39" s="25">
        <f t="shared" si="3"/>
        <v>0</v>
      </c>
      <c r="AQ39" s="24">
        <f t="shared" si="3"/>
        <v>0</v>
      </c>
      <c r="AR39" s="25">
        <f t="shared" si="3"/>
        <v>0</v>
      </c>
      <c r="AS39" s="24">
        <f t="shared" si="3"/>
        <v>0.4</v>
      </c>
      <c r="AT39" s="24">
        <f t="shared" si="3"/>
        <v>1</v>
      </c>
      <c r="AU39" s="2"/>
    </row>
    <row r="40" spans="1:47" x14ac:dyDescent="0.2">
      <c r="A40">
        <f t="shared" ref="A40:A64" si="4">A4</f>
        <v>1989</v>
      </c>
      <c r="B40" s="2">
        <f>B39*(1+(B4/100))</f>
        <v>78816</v>
      </c>
      <c r="C40" s="2">
        <f>C39*(1+(C4/100))</f>
        <v>0</v>
      </c>
      <c r="D40" s="2"/>
      <c r="E40" s="2"/>
      <c r="F40" s="2">
        <f>F39*(1+(F4/100))</f>
        <v>0</v>
      </c>
      <c r="G40" s="2"/>
      <c r="H40" s="2">
        <f>H39*(1+(H4/100))</f>
        <v>45456</v>
      </c>
      <c r="I40" s="2">
        <f>SUM(B40:H40)</f>
        <v>124272</v>
      </c>
      <c r="J40" s="2">
        <f>I40-I39</f>
        <v>24272</v>
      </c>
      <c r="K40" s="6">
        <f>(J40/I39)</f>
        <v>0.24271999999999999</v>
      </c>
      <c r="L40" s="7">
        <f>K40+1</f>
        <v>1.24272</v>
      </c>
      <c r="O40">
        <f>A40</f>
        <v>1989</v>
      </c>
      <c r="P40" s="6">
        <f t="shared" ref="P40:U64" si="5">B40/$I40</f>
        <v>0.63422170722286597</v>
      </c>
      <c r="Q40" s="6">
        <f t="shared" si="5"/>
        <v>0</v>
      </c>
      <c r="R40" s="7"/>
      <c r="S40" s="7"/>
      <c r="T40" s="6">
        <f t="shared" ref="T40:T48" si="6">F40/$I40</f>
        <v>0</v>
      </c>
      <c r="U40" s="7"/>
      <c r="V40" s="6">
        <f t="shared" ref="V40:V64" si="7">H40/$I40</f>
        <v>0.36577829277713403</v>
      </c>
      <c r="W40" s="6">
        <f>SUM(P40:V40)</f>
        <v>1</v>
      </c>
      <c r="X40" s="7">
        <f>SUM(P40:U40)</f>
        <v>0.63422170722286597</v>
      </c>
      <c r="Y40" s="7">
        <f>W40-(X40+V40)</f>
        <v>0</v>
      </c>
      <c r="Z40" s="6"/>
      <c r="AB40">
        <f>O40</f>
        <v>1989</v>
      </c>
      <c r="AC40" s="1" t="b">
        <f>AND((B40/$I40)&gt;0.15,(B40/$I40)&lt;0.25)</f>
        <v>0</v>
      </c>
      <c r="AD40" s="1" t="b">
        <f>AND((C40/$I40)&gt;0.25,(C40/$I40)&lt;0.35)</f>
        <v>0</v>
      </c>
      <c r="AG40" s="1" t="b">
        <f t="shared" ref="AG40:AG48" si="8">AND((F40/$I40)&gt;0.15,(F40/$I40)&lt;0.25)</f>
        <v>0</v>
      </c>
      <c r="AI40" s="1" t="b">
        <f>AND((H40/$I40)&gt;0.25,(H40/$I40)&lt;0.35)</f>
        <v>0</v>
      </c>
      <c r="AJ40" s="1" t="b">
        <f>AND((I40/$I40)&gt;0.999,(I40/$I40)&lt;1.01)</f>
        <v>1</v>
      </c>
      <c r="AL40">
        <f>A40</f>
        <v>1989</v>
      </c>
      <c r="AM40" s="2">
        <f t="shared" ref="AM40:AN50" si="9">$I40*AM$39</f>
        <v>74563.199999999997</v>
      </c>
      <c r="AN40" s="2">
        <f t="shared" si="9"/>
        <v>0</v>
      </c>
      <c r="AO40" s="2"/>
      <c r="AP40" s="2"/>
      <c r="AQ40" s="2">
        <f t="shared" ref="AQ40:AQ49" si="10">$I40*AQ$39</f>
        <v>0</v>
      </c>
      <c r="AR40" s="2"/>
      <c r="AS40" s="2">
        <f t="shared" ref="AS40:AS51" si="11">$I40*AS$39</f>
        <v>49708.800000000003</v>
      </c>
      <c r="AT40" s="2">
        <f>SUM(AM40:AS40)</f>
        <v>124272</v>
      </c>
      <c r="AU40" s="2">
        <f>AT40-I40</f>
        <v>0</v>
      </c>
    </row>
    <row r="41" spans="1:47" x14ac:dyDescent="0.2">
      <c r="A41">
        <f t="shared" si="4"/>
        <v>1990</v>
      </c>
      <c r="B41" s="2">
        <f t="shared" ref="B41:C56" si="12">AM40*(1+(B5/100))</f>
        <v>72087.701759999996</v>
      </c>
      <c r="C41" s="2">
        <f t="shared" si="12"/>
        <v>0</v>
      </c>
      <c r="D41" s="2"/>
      <c r="E41" s="2"/>
      <c r="F41" s="2">
        <f t="shared" ref="F41:F48" si="13">AQ40*(1+(F5/100))</f>
        <v>0</v>
      </c>
      <c r="G41" s="2"/>
      <c r="H41" s="2">
        <f t="shared" ref="H41:H64" si="14">AS40*(1+(H5/100))</f>
        <v>54008.611200000007</v>
      </c>
      <c r="I41" s="2">
        <f t="shared" ref="I41:I64" si="15">SUM(B41:H41)</f>
        <v>126096.31296000001</v>
      </c>
      <c r="J41" s="2">
        <f t="shared" ref="J41:J64" si="16">I41-I40</f>
        <v>1824.3129600000102</v>
      </c>
      <c r="K41" s="6">
        <f t="shared" ref="K41:K64" si="17">(J41/I40)</f>
        <v>1.4680000000000082E-2</v>
      </c>
      <c r="L41" s="7">
        <f t="shared" ref="L41:L64" si="18">K41+1</f>
        <v>1.01468</v>
      </c>
      <c r="O41">
        <f t="shared" ref="O41:O64" si="19">A41</f>
        <v>1990</v>
      </c>
      <c r="P41" s="6">
        <f t="shared" si="5"/>
        <v>0.57168762565537901</v>
      </c>
      <c r="Q41" s="6">
        <f t="shared" si="5"/>
        <v>0</v>
      </c>
      <c r="R41" s="7"/>
      <c r="S41" s="7"/>
      <c r="T41" s="6">
        <f t="shared" si="6"/>
        <v>0</v>
      </c>
      <c r="U41" s="7"/>
      <c r="V41" s="6">
        <f t="shared" si="7"/>
        <v>0.42831237434462099</v>
      </c>
      <c r="W41" s="6">
        <f t="shared" ref="W41:W64" si="20">SUM(P41:V41)</f>
        <v>1</v>
      </c>
      <c r="X41" s="7">
        <f t="shared" ref="X41:X64" si="21">SUM(P41:U41)</f>
        <v>0.57168762565537901</v>
      </c>
      <c r="Y41" s="7">
        <f t="shared" ref="Y41:Y64" si="22">W41-(X41+V41)</f>
        <v>0</v>
      </c>
      <c r="Z41" s="6"/>
      <c r="AB41">
        <f t="shared" ref="AB41:AB64" si="23">O41</f>
        <v>1990</v>
      </c>
      <c r="AC41" s="1" t="b">
        <f t="shared" ref="AC41:AC64" si="24">AND((B41/$I41)&gt;0.15,(B41/$I41)&lt;0.25)</f>
        <v>0</v>
      </c>
      <c r="AD41" s="1" t="b">
        <f t="shared" ref="AD41:AD50" si="25">AND((C41/$I41)&gt;0.25,(C41/$I41)&lt;0.35)</f>
        <v>0</v>
      </c>
      <c r="AG41" s="1" t="b">
        <f t="shared" si="8"/>
        <v>0</v>
      </c>
      <c r="AI41" s="1" t="b">
        <f t="shared" ref="AI41:AI64" si="26">AND((H41/$I41)&gt;0.25,(H41/$I41)&lt;0.35)</f>
        <v>0</v>
      </c>
      <c r="AJ41" s="1" t="b">
        <f t="shared" ref="AJ41:AJ64" si="27">AND((I41/$I41)&gt;0.999,(I41/$I41)&lt;1.01)</f>
        <v>1</v>
      </c>
      <c r="AL41">
        <f t="shared" ref="AL41:AL64" si="28">A41</f>
        <v>1990</v>
      </c>
      <c r="AM41" s="2">
        <f t="shared" si="9"/>
        <v>75657.787775999997</v>
      </c>
      <c r="AN41" s="2">
        <f t="shared" si="9"/>
        <v>0</v>
      </c>
      <c r="AO41" s="2"/>
      <c r="AP41" s="2"/>
      <c r="AQ41" s="2">
        <f t="shared" si="10"/>
        <v>0</v>
      </c>
      <c r="AR41" s="2"/>
      <c r="AS41" s="2">
        <f t="shared" si="11"/>
        <v>50438.525184000006</v>
      </c>
      <c r="AT41" s="2">
        <f t="shared" ref="AT41:AT64" si="29">I41</f>
        <v>126096.31296000001</v>
      </c>
      <c r="AU41" s="2">
        <f t="shared" ref="AU41:AU64" si="30">AT41-I41</f>
        <v>0</v>
      </c>
    </row>
    <row r="42" spans="1:47" x14ac:dyDescent="0.2">
      <c r="A42">
        <f t="shared" si="4"/>
        <v>1991</v>
      </c>
      <c r="B42" s="2">
        <f t="shared" si="12"/>
        <v>98521.571241907193</v>
      </c>
      <c r="C42" s="2">
        <f t="shared" si="12"/>
        <v>0</v>
      </c>
      <c r="D42" s="2"/>
      <c r="E42" s="2"/>
      <c r="F42" s="2">
        <f t="shared" si="13"/>
        <v>0</v>
      </c>
      <c r="G42" s="2"/>
      <c r="H42" s="2">
        <f t="shared" si="14"/>
        <v>58130.400274560008</v>
      </c>
      <c r="I42" s="2">
        <f t="shared" si="15"/>
        <v>156651.97151646719</v>
      </c>
      <c r="J42" s="2">
        <f t="shared" si="16"/>
        <v>30555.658556467184</v>
      </c>
      <c r="K42" s="6">
        <f t="shared" si="17"/>
        <v>0.24231999999999984</v>
      </c>
      <c r="L42" s="7">
        <f t="shared" si="18"/>
        <v>1.2423199999999999</v>
      </c>
      <c r="O42">
        <f t="shared" si="19"/>
        <v>1991</v>
      </c>
      <c r="P42" s="6">
        <f t="shared" si="5"/>
        <v>0.62892008500225383</v>
      </c>
      <c r="Q42" s="6">
        <f t="shared" si="5"/>
        <v>0</v>
      </c>
      <c r="R42" s="7"/>
      <c r="S42" s="7"/>
      <c r="T42" s="6">
        <f t="shared" si="6"/>
        <v>0</v>
      </c>
      <c r="U42" s="7"/>
      <c r="V42" s="6">
        <f t="shared" si="7"/>
        <v>0.37107991499774623</v>
      </c>
      <c r="W42" s="6">
        <f t="shared" si="20"/>
        <v>1</v>
      </c>
      <c r="X42" s="7">
        <f t="shared" si="21"/>
        <v>0.62892008500225383</v>
      </c>
      <c r="Y42" s="7">
        <f t="shared" si="22"/>
        <v>0</v>
      </c>
      <c r="Z42" s="6"/>
      <c r="AB42">
        <f t="shared" si="23"/>
        <v>1991</v>
      </c>
      <c r="AC42" s="1" t="b">
        <f t="shared" si="24"/>
        <v>0</v>
      </c>
      <c r="AD42" s="1" t="b">
        <f t="shared" si="25"/>
        <v>0</v>
      </c>
      <c r="AG42" s="1" t="b">
        <f t="shared" si="8"/>
        <v>0</v>
      </c>
      <c r="AI42" s="1" t="b">
        <f t="shared" si="26"/>
        <v>0</v>
      </c>
      <c r="AJ42" s="1" t="b">
        <f t="shared" si="27"/>
        <v>1</v>
      </c>
      <c r="AL42">
        <f t="shared" si="28"/>
        <v>1991</v>
      </c>
      <c r="AM42" s="2">
        <f t="shared" si="9"/>
        <v>93991.182909880314</v>
      </c>
      <c r="AN42" s="2">
        <f t="shared" si="9"/>
        <v>0</v>
      </c>
      <c r="AO42" s="2"/>
      <c r="AP42" s="2"/>
      <c r="AQ42" s="2">
        <f t="shared" si="10"/>
        <v>0</v>
      </c>
      <c r="AR42" s="2"/>
      <c r="AS42" s="2">
        <f t="shared" si="11"/>
        <v>62660.788606586881</v>
      </c>
      <c r="AT42" s="2">
        <f t="shared" si="29"/>
        <v>156651.97151646719</v>
      </c>
      <c r="AU42" s="2">
        <f t="shared" si="30"/>
        <v>0</v>
      </c>
    </row>
    <row r="43" spans="1:47" x14ac:dyDescent="0.2">
      <c r="A43">
        <f t="shared" si="4"/>
        <v>1992</v>
      </c>
      <c r="B43" s="2">
        <f t="shared" si="12"/>
        <v>100965.32868179344</v>
      </c>
      <c r="C43" s="2">
        <f t="shared" si="12"/>
        <v>0</v>
      </c>
      <c r="D43" s="2"/>
      <c r="E43" s="2"/>
      <c r="F43" s="2">
        <f t="shared" si="13"/>
        <v>0</v>
      </c>
      <c r="G43" s="2"/>
      <c r="H43" s="2">
        <f t="shared" si="14"/>
        <v>67134.768913097185</v>
      </c>
      <c r="I43" s="2">
        <f t="shared" si="15"/>
        <v>168100.09759489063</v>
      </c>
      <c r="J43" s="2">
        <f t="shared" si="16"/>
        <v>11448.126078423433</v>
      </c>
      <c r="K43" s="6">
        <f t="shared" si="17"/>
        <v>7.3080000000000062E-2</v>
      </c>
      <c r="L43" s="7">
        <f t="shared" si="18"/>
        <v>1.07308</v>
      </c>
      <c r="O43">
        <f t="shared" si="19"/>
        <v>1992</v>
      </c>
      <c r="P43" s="6">
        <f t="shared" si="5"/>
        <v>0.60062623476348453</v>
      </c>
      <c r="Q43" s="6">
        <f t="shared" si="5"/>
        <v>0</v>
      </c>
      <c r="R43" s="7"/>
      <c r="S43" s="7"/>
      <c r="T43" s="6">
        <f t="shared" si="6"/>
        <v>0</v>
      </c>
      <c r="U43" s="7"/>
      <c r="V43" s="6">
        <f t="shared" si="7"/>
        <v>0.39937376523651547</v>
      </c>
      <c r="W43" s="6">
        <f t="shared" si="20"/>
        <v>1</v>
      </c>
      <c r="X43" s="7">
        <f t="shared" si="21"/>
        <v>0.60062623476348453</v>
      </c>
      <c r="Y43" s="7">
        <f t="shared" si="22"/>
        <v>0</v>
      </c>
      <c r="Z43" s="6"/>
      <c r="AB43">
        <f t="shared" si="23"/>
        <v>1992</v>
      </c>
      <c r="AC43" s="1" t="b">
        <f t="shared" si="24"/>
        <v>0</v>
      </c>
      <c r="AD43" s="1" t="b">
        <f t="shared" si="25"/>
        <v>0</v>
      </c>
      <c r="AG43" s="1" t="b">
        <f t="shared" si="8"/>
        <v>0</v>
      </c>
      <c r="AI43" s="1" t="b">
        <f t="shared" si="26"/>
        <v>0</v>
      </c>
      <c r="AJ43" s="1" t="b">
        <f t="shared" si="27"/>
        <v>1</v>
      </c>
      <c r="AL43">
        <f t="shared" si="28"/>
        <v>1992</v>
      </c>
      <c r="AM43" s="2">
        <f t="shared" si="9"/>
        <v>100860.05855693437</v>
      </c>
      <c r="AN43" s="2">
        <f t="shared" si="9"/>
        <v>0</v>
      </c>
      <c r="AO43" s="2"/>
      <c r="AP43" s="2"/>
      <c r="AQ43" s="2">
        <f t="shared" si="10"/>
        <v>0</v>
      </c>
      <c r="AR43" s="2"/>
      <c r="AS43" s="2">
        <f t="shared" si="11"/>
        <v>67240.03903795626</v>
      </c>
      <c r="AT43" s="2">
        <f t="shared" si="29"/>
        <v>168100.09759489063</v>
      </c>
      <c r="AU43" s="2">
        <f t="shared" si="30"/>
        <v>0</v>
      </c>
    </row>
    <row r="44" spans="1:47" x14ac:dyDescent="0.2">
      <c r="A44">
        <f t="shared" si="4"/>
        <v>1993</v>
      </c>
      <c r="B44" s="2">
        <f t="shared" si="12"/>
        <v>110835.11834821517</v>
      </c>
      <c r="C44" s="2">
        <f t="shared" si="12"/>
        <v>0</v>
      </c>
      <c r="D44" s="2"/>
      <c r="E44" s="2"/>
      <c r="F44" s="2">
        <f t="shared" si="13"/>
        <v>0</v>
      </c>
      <c r="G44" s="2"/>
      <c r="H44" s="2">
        <f t="shared" si="14"/>
        <v>73748.87481683043</v>
      </c>
      <c r="I44" s="2">
        <f t="shared" si="15"/>
        <v>184583.9931650456</v>
      </c>
      <c r="J44" s="2">
        <f t="shared" si="16"/>
        <v>16483.895570154971</v>
      </c>
      <c r="K44" s="6">
        <f t="shared" si="17"/>
        <v>9.8059999999999981E-2</v>
      </c>
      <c r="L44" s="7">
        <f t="shared" si="18"/>
        <v>1.09806</v>
      </c>
      <c r="O44">
        <f t="shared" si="19"/>
        <v>1993</v>
      </c>
      <c r="P44" s="6">
        <f t="shared" si="5"/>
        <v>0.60045899131195013</v>
      </c>
      <c r="Q44" s="6">
        <f t="shared" si="5"/>
        <v>0</v>
      </c>
      <c r="R44" s="7"/>
      <c r="S44" s="7"/>
      <c r="T44" s="38">
        <f t="shared" si="6"/>
        <v>0</v>
      </c>
      <c r="U44" s="7"/>
      <c r="V44" s="6">
        <f t="shared" si="7"/>
        <v>0.39954100868804993</v>
      </c>
      <c r="W44" s="6">
        <f t="shared" si="20"/>
        <v>1</v>
      </c>
      <c r="X44" s="7">
        <f t="shared" si="21"/>
        <v>0.60045899131195013</v>
      </c>
      <c r="Y44" s="7">
        <f t="shared" si="22"/>
        <v>0</v>
      </c>
      <c r="Z44" s="6"/>
      <c r="AB44">
        <f t="shared" si="23"/>
        <v>1993</v>
      </c>
      <c r="AC44" s="1" t="b">
        <f t="shared" si="24"/>
        <v>0</v>
      </c>
      <c r="AD44" s="1" t="b">
        <f t="shared" si="25"/>
        <v>0</v>
      </c>
      <c r="AG44" s="39" t="b">
        <f t="shared" si="8"/>
        <v>0</v>
      </c>
      <c r="AI44" s="1" t="b">
        <f t="shared" si="26"/>
        <v>0</v>
      </c>
      <c r="AJ44" s="1" t="b">
        <f t="shared" si="27"/>
        <v>1</v>
      </c>
      <c r="AL44">
        <f t="shared" si="28"/>
        <v>1993</v>
      </c>
      <c r="AM44" s="2">
        <f t="shared" si="9"/>
        <v>110750.39589902735</v>
      </c>
      <c r="AN44" s="2">
        <f t="shared" si="9"/>
        <v>0</v>
      </c>
      <c r="AO44" s="2"/>
      <c r="AP44" s="2"/>
      <c r="AQ44" s="2">
        <f t="shared" si="10"/>
        <v>0</v>
      </c>
      <c r="AR44" s="2"/>
      <c r="AS44" s="2">
        <f t="shared" si="11"/>
        <v>73833.597266018245</v>
      </c>
      <c r="AT44" s="2">
        <f t="shared" si="29"/>
        <v>184583.9931650456</v>
      </c>
      <c r="AU44" s="2">
        <f t="shared" si="30"/>
        <v>0</v>
      </c>
    </row>
    <row r="45" spans="1:47" x14ac:dyDescent="0.2">
      <c r="A45">
        <f t="shared" si="4"/>
        <v>1994</v>
      </c>
      <c r="B45" s="2">
        <f t="shared" si="12"/>
        <v>112057.25057063588</v>
      </c>
      <c r="C45" s="2">
        <f t="shared" si="12"/>
        <v>0</v>
      </c>
      <c r="D45" s="2"/>
      <c r="E45" s="2"/>
      <c r="F45" s="2">
        <f t="shared" si="13"/>
        <v>0</v>
      </c>
      <c r="G45" s="2"/>
      <c r="H45" s="2">
        <f t="shared" si="14"/>
        <v>71869.623578742161</v>
      </c>
      <c r="I45" s="2">
        <f t="shared" si="15"/>
        <v>183926.87414937804</v>
      </c>
      <c r="J45" s="2">
        <f t="shared" si="16"/>
        <v>-657.11901566755841</v>
      </c>
      <c r="K45" s="6">
        <f t="shared" si="17"/>
        <v>-3.559999999999979E-3</v>
      </c>
      <c r="L45" s="7">
        <f t="shared" si="18"/>
        <v>0.99643999999999999</v>
      </c>
      <c r="O45">
        <f t="shared" si="19"/>
        <v>1994</v>
      </c>
      <c r="P45" s="6">
        <f t="shared" si="5"/>
        <v>0.60924892617719073</v>
      </c>
      <c r="Q45" s="6">
        <f t="shared" si="5"/>
        <v>0</v>
      </c>
      <c r="R45" s="7"/>
      <c r="S45" s="7"/>
      <c r="T45" s="6">
        <f t="shared" si="6"/>
        <v>0</v>
      </c>
      <c r="U45" s="7"/>
      <c r="V45" s="6">
        <f t="shared" si="7"/>
        <v>0.39075107382280921</v>
      </c>
      <c r="W45" s="6">
        <f t="shared" si="20"/>
        <v>1</v>
      </c>
      <c r="X45" s="7">
        <f t="shared" si="21"/>
        <v>0.60924892617719073</v>
      </c>
      <c r="Y45" s="7">
        <f t="shared" si="22"/>
        <v>0</v>
      </c>
      <c r="Z45" s="6"/>
      <c r="AB45">
        <f t="shared" si="23"/>
        <v>1994</v>
      </c>
      <c r="AC45" s="1" t="b">
        <f t="shared" si="24"/>
        <v>0</v>
      </c>
      <c r="AD45" s="1" t="b">
        <f t="shared" si="25"/>
        <v>0</v>
      </c>
      <c r="AG45" s="1" t="b">
        <f t="shared" si="8"/>
        <v>0</v>
      </c>
      <c r="AI45" s="1" t="b">
        <f t="shared" si="26"/>
        <v>0</v>
      </c>
      <c r="AJ45" s="1" t="b">
        <f t="shared" si="27"/>
        <v>1</v>
      </c>
      <c r="AL45">
        <f t="shared" si="28"/>
        <v>1994</v>
      </c>
      <c r="AM45" s="2">
        <f t="shared" si="9"/>
        <v>110356.12448962682</v>
      </c>
      <c r="AN45" s="2">
        <f t="shared" si="9"/>
        <v>0</v>
      </c>
      <c r="AO45" s="2"/>
      <c r="AP45" s="2"/>
      <c r="AQ45" s="2">
        <f t="shared" si="10"/>
        <v>0</v>
      </c>
      <c r="AR45" s="2"/>
      <c r="AS45" s="2">
        <f t="shared" si="11"/>
        <v>73570.749659751222</v>
      </c>
      <c r="AT45" s="2">
        <f t="shared" si="29"/>
        <v>183926.87414937804</v>
      </c>
      <c r="AU45" s="2">
        <f t="shared" si="30"/>
        <v>0</v>
      </c>
    </row>
    <row r="46" spans="1:47" x14ac:dyDescent="0.2">
      <c r="A46">
        <f t="shared" si="4"/>
        <v>1995</v>
      </c>
      <c r="B46" s="2">
        <f t="shared" si="12"/>
        <v>151684.49311099207</v>
      </c>
      <c r="C46" s="2">
        <f t="shared" si="12"/>
        <v>0</v>
      </c>
      <c r="D46" s="2"/>
      <c r="E46" s="2"/>
      <c r="F46" s="2">
        <f t="shared" si="13"/>
        <v>0</v>
      </c>
      <c r="G46" s="2"/>
      <c r="H46" s="2">
        <f t="shared" si="14"/>
        <v>86945.911947893997</v>
      </c>
      <c r="I46" s="2">
        <f t="shared" si="15"/>
        <v>238630.40505888607</v>
      </c>
      <c r="J46" s="2">
        <f t="shared" si="16"/>
        <v>54703.53090950803</v>
      </c>
      <c r="K46" s="6">
        <f t="shared" si="17"/>
        <v>0.29742000000000007</v>
      </c>
      <c r="L46" s="7">
        <f t="shared" si="18"/>
        <v>1.29742</v>
      </c>
      <c r="O46">
        <f t="shared" si="19"/>
        <v>1995</v>
      </c>
      <c r="P46" s="6">
        <f t="shared" si="5"/>
        <v>0.63564612847034885</v>
      </c>
      <c r="Q46" s="6">
        <f t="shared" si="5"/>
        <v>0</v>
      </c>
      <c r="R46" s="7"/>
      <c r="S46" s="7"/>
      <c r="T46" s="6">
        <f t="shared" si="6"/>
        <v>0</v>
      </c>
      <c r="U46" s="7"/>
      <c r="V46" s="6">
        <f t="shared" si="7"/>
        <v>0.36435387152965115</v>
      </c>
      <c r="W46" s="6">
        <f t="shared" si="20"/>
        <v>1</v>
      </c>
      <c r="X46" s="7">
        <f t="shared" si="21"/>
        <v>0.63564612847034885</v>
      </c>
      <c r="Y46" s="7">
        <f t="shared" si="22"/>
        <v>0</v>
      </c>
      <c r="Z46" s="6"/>
      <c r="AB46">
        <f t="shared" si="23"/>
        <v>1995</v>
      </c>
      <c r="AC46" s="1" t="b">
        <f t="shared" si="24"/>
        <v>0</v>
      </c>
      <c r="AD46" s="1" t="b">
        <f t="shared" si="25"/>
        <v>0</v>
      </c>
      <c r="AG46" s="1" t="b">
        <f t="shared" si="8"/>
        <v>0</v>
      </c>
      <c r="AI46" s="1" t="b">
        <f t="shared" si="26"/>
        <v>0</v>
      </c>
      <c r="AJ46" s="1" t="b">
        <f t="shared" si="27"/>
        <v>1</v>
      </c>
      <c r="AL46">
        <f t="shared" si="28"/>
        <v>1995</v>
      </c>
      <c r="AM46" s="2">
        <f t="shared" si="9"/>
        <v>143178.24303533163</v>
      </c>
      <c r="AN46" s="2">
        <f t="shared" si="9"/>
        <v>0</v>
      </c>
      <c r="AO46" s="2"/>
      <c r="AP46" s="2"/>
      <c r="AQ46" s="2">
        <f t="shared" si="10"/>
        <v>0</v>
      </c>
      <c r="AR46" s="2"/>
      <c r="AS46" s="2">
        <f t="shared" si="11"/>
        <v>95452.16202355444</v>
      </c>
      <c r="AT46" s="2">
        <f t="shared" si="29"/>
        <v>238630.40505888607</v>
      </c>
      <c r="AU46" s="2">
        <f t="shared" si="30"/>
        <v>0</v>
      </c>
    </row>
    <row r="47" spans="1:47" x14ac:dyDescent="0.2">
      <c r="A47">
        <f t="shared" si="4"/>
        <v>1996</v>
      </c>
      <c r="B47" s="2">
        <f t="shared" si="12"/>
        <v>175937.42504181553</v>
      </c>
      <c r="C47" s="2">
        <f t="shared" si="12"/>
        <v>0</v>
      </c>
      <c r="D47" s="2"/>
      <c r="E47" s="2"/>
      <c r="F47" s="2">
        <f t="shared" si="13"/>
        <v>0</v>
      </c>
      <c r="G47" s="2"/>
      <c r="H47" s="2">
        <f t="shared" si="14"/>
        <v>98869.349423997701</v>
      </c>
      <c r="I47" s="2">
        <f t="shared" si="15"/>
        <v>274806.77446581324</v>
      </c>
      <c r="J47" s="2">
        <f t="shared" si="16"/>
        <v>36176.369406927173</v>
      </c>
      <c r="K47" s="6">
        <f t="shared" si="17"/>
        <v>0.15160000000000018</v>
      </c>
      <c r="L47" s="7">
        <f t="shared" si="18"/>
        <v>1.1516000000000002</v>
      </c>
      <c r="O47">
        <f t="shared" si="19"/>
        <v>1996</v>
      </c>
      <c r="P47" s="6">
        <f t="shared" si="5"/>
        <v>0.64022229940951714</v>
      </c>
      <c r="Q47" s="6">
        <f t="shared" si="5"/>
        <v>0</v>
      </c>
      <c r="R47" s="7"/>
      <c r="S47" s="7"/>
      <c r="T47" s="6">
        <f t="shared" si="6"/>
        <v>0</v>
      </c>
      <c r="U47" s="7"/>
      <c r="V47" s="6">
        <f t="shared" si="7"/>
        <v>0.35977770059048286</v>
      </c>
      <c r="W47" s="6">
        <f t="shared" si="20"/>
        <v>1</v>
      </c>
      <c r="X47" s="7">
        <f t="shared" si="21"/>
        <v>0.64022229940951714</v>
      </c>
      <c r="Y47" s="7">
        <f t="shared" si="22"/>
        <v>0</v>
      </c>
      <c r="Z47" s="6"/>
      <c r="AB47">
        <f t="shared" si="23"/>
        <v>1996</v>
      </c>
      <c r="AC47" s="1" t="b">
        <f t="shared" si="24"/>
        <v>0</v>
      </c>
      <c r="AD47" s="1" t="b">
        <f t="shared" si="25"/>
        <v>0</v>
      </c>
      <c r="AG47" s="1" t="b">
        <f t="shared" si="8"/>
        <v>0</v>
      </c>
      <c r="AI47" s="1" t="b">
        <f t="shared" si="26"/>
        <v>0</v>
      </c>
      <c r="AJ47" s="1" t="b">
        <f t="shared" si="27"/>
        <v>1</v>
      </c>
      <c r="AL47">
        <f t="shared" si="28"/>
        <v>1996</v>
      </c>
      <c r="AM47" s="2">
        <f t="shared" si="9"/>
        <v>164884.06467948793</v>
      </c>
      <c r="AN47" s="2">
        <f t="shared" si="9"/>
        <v>0</v>
      </c>
      <c r="AO47" s="2"/>
      <c r="AP47" s="2"/>
      <c r="AQ47" s="2">
        <f t="shared" si="10"/>
        <v>0</v>
      </c>
      <c r="AR47" s="2"/>
      <c r="AS47" s="2">
        <f t="shared" si="11"/>
        <v>109922.7097863253</v>
      </c>
      <c r="AT47" s="2">
        <f t="shared" si="29"/>
        <v>274806.77446581324</v>
      </c>
      <c r="AU47" s="2">
        <f t="shared" si="30"/>
        <v>0</v>
      </c>
    </row>
    <row r="48" spans="1:47" x14ac:dyDescent="0.2">
      <c r="A48">
        <f t="shared" si="4"/>
        <v>1997</v>
      </c>
      <c r="B48" s="2">
        <f t="shared" si="12"/>
        <v>219609.08574660998</v>
      </c>
      <c r="C48" s="2">
        <f t="shared" si="12"/>
        <v>0</v>
      </c>
      <c r="D48" s="2"/>
      <c r="E48" s="2"/>
      <c r="F48" s="2">
        <f t="shared" si="13"/>
        <v>0</v>
      </c>
      <c r="G48" s="2"/>
      <c r="H48" s="2">
        <f t="shared" si="14"/>
        <v>120299.41359015441</v>
      </c>
      <c r="I48" s="2">
        <f t="shared" si="15"/>
        <v>339908.49933676439</v>
      </c>
      <c r="J48" s="2">
        <f t="shared" si="16"/>
        <v>65101.724870951148</v>
      </c>
      <c r="K48" s="6">
        <f t="shared" si="17"/>
        <v>0.23689999999999997</v>
      </c>
      <c r="L48" s="7">
        <f t="shared" si="18"/>
        <v>1.2368999999999999</v>
      </c>
      <c r="O48">
        <f t="shared" si="19"/>
        <v>1997</v>
      </c>
      <c r="P48" s="6">
        <f t="shared" si="5"/>
        <v>0.64608294930875576</v>
      </c>
      <c r="Q48" s="6">
        <f t="shared" si="5"/>
        <v>0</v>
      </c>
      <c r="R48" s="7"/>
      <c r="S48" s="7"/>
      <c r="T48" s="6">
        <f t="shared" si="6"/>
        <v>0</v>
      </c>
      <c r="U48" s="6"/>
      <c r="V48" s="38">
        <f t="shared" si="7"/>
        <v>0.35391705069124424</v>
      </c>
      <c r="W48" s="6">
        <f t="shared" si="20"/>
        <v>1</v>
      </c>
      <c r="X48" s="7">
        <f t="shared" si="21"/>
        <v>0.64608294930875576</v>
      </c>
      <c r="Y48" s="7">
        <f t="shared" si="22"/>
        <v>0</v>
      </c>
      <c r="Z48" s="6"/>
      <c r="AB48">
        <f t="shared" si="23"/>
        <v>1997</v>
      </c>
      <c r="AC48" s="1" t="b">
        <f t="shared" si="24"/>
        <v>0</v>
      </c>
      <c r="AD48" s="1" t="b">
        <f t="shared" si="25"/>
        <v>0</v>
      </c>
      <c r="AG48" s="1" t="b">
        <f t="shared" si="8"/>
        <v>0</v>
      </c>
      <c r="AI48" s="39" t="b">
        <f t="shared" si="26"/>
        <v>0</v>
      </c>
      <c r="AJ48" s="1" t="b">
        <f t="shared" si="27"/>
        <v>1</v>
      </c>
      <c r="AL48">
        <f t="shared" si="28"/>
        <v>1997</v>
      </c>
      <c r="AM48" s="2">
        <f t="shared" si="9"/>
        <v>203945.09960205862</v>
      </c>
      <c r="AN48" s="2">
        <f t="shared" si="9"/>
        <v>0</v>
      </c>
      <c r="AO48" s="2"/>
      <c r="AP48" s="2"/>
      <c r="AQ48" s="2">
        <f t="shared" si="10"/>
        <v>0</v>
      </c>
      <c r="AR48" s="2"/>
      <c r="AS48" s="2">
        <f t="shared" si="11"/>
        <v>135963.39973470577</v>
      </c>
      <c r="AT48" s="2">
        <f t="shared" si="29"/>
        <v>339908.49933676439</v>
      </c>
      <c r="AU48" s="2">
        <f t="shared" si="30"/>
        <v>0</v>
      </c>
    </row>
    <row r="49" spans="1:47" x14ac:dyDescent="0.2">
      <c r="A49">
        <f t="shared" si="4"/>
        <v>1998</v>
      </c>
      <c r="B49" s="2">
        <f t="shared" si="12"/>
        <v>262395.76514800859</v>
      </c>
      <c r="C49" s="2">
        <f t="shared" si="12"/>
        <v>0</v>
      </c>
      <c r="D49" s="2"/>
      <c r="E49" s="2"/>
      <c r="F49" s="2"/>
      <c r="G49" s="2">
        <f>AQ48*(1+(G13/100))</f>
        <v>0</v>
      </c>
      <c r="H49" s="2">
        <f t="shared" si="14"/>
        <v>147629.05943194355</v>
      </c>
      <c r="I49" s="2">
        <f t="shared" si="15"/>
        <v>410024.82457995217</v>
      </c>
      <c r="J49" s="2">
        <f t="shared" si="16"/>
        <v>70116.325243187777</v>
      </c>
      <c r="K49" s="6">
        <f t="shared" si="17"/>
        <v>0.20628000000000005</v>
      </c>
      <c r="L49" s="7">
        <f t="shared" si="18"/>
        <v>1.20628</v>
      </c>
      <c r="O49">
        <f t="shared" si="19"/>
        <v>1998</v>
      </c>
      <c r="P49" s="6">
        <f t="shared" si="5"/>
        <v>0.63995092350034799</v>
      </c>
      <c r="Q49" s="6">
        <f t="shared" si="5"/>
        <v>0</v>
      </c>
      <c r="R49" s="7"/>
      <c r="S49" s="7"/>
      <c r="T49" s="6"/>
      <c r="U49" s="6">
        <f t="shared" si="5"/>
        <v>0</v>
      </c>
      <c r="V49" s="6">
        <f t="shared" si="7"/>
        <v>0.3600490764996519</v>
      </c>
      <c r="W49" s="6">
        <f t="shared" si="20"/>
        <v>0.99999999999999989</v>
      </c>
      <c r="X49" s="7">
        <f t="shared" si="21"/>
        <v>0.63995092350034799</v>
      </c>
      <c r="Y49" s="7">
        <f t="shared" si="22"/>
        <v>0</v>
      </c>
      <c r="Z49" s="6"/>
      <c r="AB49">
        <f t="shared" si="23"/>
        <v>1998</v>
      </c>
      <c r="AC49" s="1" t="b">
        <f t="shared" si="24"/>
        <v>0</v>
      </c>
      <c r="AD49" s="1" t="b">
        <f t="shared" si="25"/>
        <v>0</v>
      </c>
      <c r="AG49" s="1"/>
      <c r="AH49" s="1" t="b">
        <f t="shared" ref="AH49:AH64" si="31">AND((G49/$I49)&gt;0.15,(G49/$I49)&lt;0.25)</f>
        <v>0</v>
      </c>
      <c r="AI49" s="1" t="b">
        <f t="shared" si="26"/>
        <v>0</v>
      </c>
      <c r="AJ49" s="1" t="b">
        <f t="shared" si="27"/>
        <v>1</v>
      </c>
      <c r="AL49">
        <f t="shared" si="28"/>
        <v>1998</v>
      </c>
      <c r="AM49" s="2">
        <f t="shared" si="9"/>
        <v>246014.8947479713</v>
      </c>
      <c r="AN49" s="2">
        <f t="shared" si="9"/>
        <v>0</v>
      </c>
      <c r="AO49" s="2"/>
      <c r="AP49" s="2"/>
      <c r="AQ49" s="2">
        <f t="shared" si="10"/>
        <v>0</v>
      </c>
      <c r="AR49" s="2"/>
      <c r="AS49" s="2">
        <f t="shared" si="11"/>
        <v>164009.92983198087</v>
      </c>
      <c r="AT49" s="2">
        <f t="shared" si="29"/>
        <v>410024.82457995217</v>
      </c>
      <c r="AU49" s="2">
        <f t="shared" si="30"/>
        <v>0</v>
      </c>
    </row>
    <row r="50" spans="1:47" x14ac:dyDescent="0.2">
      <c r="A50">
        <f t="shared" si="4"/>
        <v>1999</v>
      </c>
      <c r="B50" s="2">
        <f t="shared" si="12"/>
        <v>297850.23307136889</v>
      </c>
      <c r="C50" s="2">
        <f t="shared" si="12"/>
        <v>0</v>
      </c>
      <c r="D50" s="2"/>
      <c r="E50" s="2"/>
      <c r="F50" s="2"/>
      <c r="G50" s="2">
        <f t="shared" ref="G50:G64" si="32">AR49*(1+(G14/100))</f>
        <v>0</v>
      </c>
      <c r="H50" s="2">
        <f t="shared" si="14"/>
        <v>162763.45436525781</v>
      </c>
      <c r="I50" s="2">
        <f t="shared" si="15"/>
        <v>460613.6874366267</v>
      </c>
      <c r="J50" s="2">
        <f t="shared" si="16"/>
        <v>50588.862856674532</v>
      </c>
      <c r="K50" s="6">
        <f t="shared" si="17"/>
        <v>0.12338000000000009</v>
      </c>
      <c r="L50" s="7">
        <f t="shared" si="18"/>
        <v>1.12338</v>
      </c>
      <c r="O50">
        <f t="shared" si="19"/>
        <v>1999</v>
      </c>
      <c r="P50" s="38">
        <f t="shared" si="5"/>
        <v>0.6466378251348609</v>
      </c>
      <c r="Q50" s="6">
        <f t="shared" si="5"/>
        <v>0</v>
      </c>
      <c r="R50" s="7"/>
      <c r="S50" s="7"/>
      <c r="T50" s="7"/>
      <c r="U50" s="6">
        <f t="shared" si="5"/>
        <v>0</v>
      </c>
      <c r="V50" s="6">
        <f t="shared" si="7"/>
        <v>0.3533621748651391</v>
      </c>
      <c r="W50" s="6">
        <f t="shared" si="20"/>
        <v>1</v>
      </c>
      <c r="X50" s="7">
        <f t="shared" si="21"/>
        <v>0.6466378251348609</v>
      </c>
      <c r="Y50" s="7">
        <f t="shared" si="22"/>
        <v>0</v>
      </c>
      <c r="Z50" s="6"/>
      <c r="AB50">
        <f t="shared" si="23"/>
        <v>1999</v>
      </c>
      <c r="AC50" s="39" t="b">
        <f t="shared" si="24"/>
        <v>0</v>
      </c>
      <c r="AD50" s="1" t="b">
        <f t="shared" si="25"/>
        <v>0</v>
      </c>
      <c r="AH50" s="1" t="b">
        <f t="shared" si="31"/>
        <v>0</v>
      </c>
      <c r="AI50" s="1" t="b">
        <f t="shared" si="26"/>
        <v>0</v>
      </c>
      <c r="AJ50" s="1" t="b">
        <f t="shared" si="27"/>
        <v>1</v>
      </c>
      <c r="AL50">
        <f t="shared" si="28"/>
        <v>1999</v>
      </c>
      <c r="AM50" s="2">
        <f t="shared" si="9"/>
        <v>276368.21246197599</v>
      </c>
      <c r="AN50" s="2">
        <f t="shared" si="9"/>
        <v>0</v>
      </c>
      <c r="AO50" s="2"/>
      <c r="AP50" s="2"/>
      <c r="AQ50" s="2"/>
      <c r="AR50" s="2">
        <f>$I50*AR$39</f>
        <v>0</v>
      </c>
      <c r="AS50" s="2">
        <f t="shared" si="11"/>
        <v>184245.47497465069</v>
      </c>
      <c r="AT50" s="2">
        <f t="shared" si="29"/>
        <v>460613.6874366267</v>
      </c>
      <c r="AU50" s="2">
        <f t="shared" si="30"/>
        <v>0</v>
      </c>
    </row>
    <row r="51" spans="1:47" x14ac:dyDescent="0.2">
      <c r="A51">
        <f t="shared" si="4"/>
        <v>2000</v>
      </c>
      <c r="B51" s="2">
        <f t="shared" si="12"/>
        <v>251329.25241292096</v>
      </c>
      <c r="C51" s="2"/>
      <c r="D51" s="2">
        <f>(AN50*0.67)*(1+(D15/100))</f>
        <v>0</v>
      </c>
      <c r="E51" s="2">
        <f>(AN50*0.33)*(1+(E15/100))</f>
        <v>0</v>
      </c>
      <c r="F51" s="2"/>
      <c r="G51" s="2">
        <f t="shared" si="32"/>
        <v>0</v>
      </c>
      <c r="H51" s="2">
        <f t="shared" si="14"/>
        <v>205231.03457426341</v>
      </c>
      <c r="I51" s="2">
        <f t="shared" si="15"/>
        <v>456560.28698718437</v>
      </c>
      <c r="J51" s="2">
        <f t="shared" si="16"/>
        <v>-4053.400449442328</v>
      </c>
      <c r="K51" s="6">
        <f t="shared" si="17"/>
        <v>-8.8000000000000283E-3</v>
      </c>
      <c r="L51" s="7">
        <f t="shared" si="18"/>
        <v>0.99119999999999997</v>
      </c>
      <c r="O51">
        <f t="shared" si="19"/>
        <v>2000</v>
      </c>
      <c r="P51" s="6">
        <f t="shared" si="5"/>
        <v>0.55048426150121066</v>
      </c>
      <c r="Q51" s="7"/>
      <c r="R51" s="6">
        <f t="shared" si="5"/>
        <v>0</v>
      </c>
      <c r="S51" s="6">
        <f t="shared" si="5"/>
        <v>0</v>
      </c>
      <c r="T51" s="7"/>
      <c r="U51" s="6">
        <f t="shared" si="5"/>
        <v>0</v>
      </c>
      <c r="V51" s="6">
        <f t="shared" si="7"/>
        <v>0.4495157384987894</v>
      </c>
      <c r="W51" s="6">
        <f t="shared" si="20"/>
        <v>1</v>
      </c>
      <c r="X51" s="7">
        <f t="shared" si="21"/>
        <v>0.55048426150121066</v>
      </c>
      <c r="Y51" s="7">
        <f t="shared" si="22"/>
        <v>0</v>
      </c>
      <c r="Z51" s="6"/>
      <c r="AB51">
        <f t="shared" si="23"/>
        <v>2000</v>
      </c>
      <c r="AC51" s="1" t="b">
        <f t="shared" si="24"/>
        <v>0</v>
      </c>
      <c r="AE51" s="1" t="b">
        <f>AND((D51/$I51)&gt;0.15,(D51/$I51)&lt;0.25)</f>
        <v>0</v>
      </c>
      <c r="AF51" s="1" t="b">
        <f>AND((E51/$I51)&gt;0.05,(E51/$I51)&lt;0.15)</f>
        <v>0</v>
      </c>
      <c r="AH51" s="1" t="b">
        <f t="shared" si="31"/>
        <v>0</v>
      </c>
      <c r="AI51" s="1" t="b">
        <f t="shared" si="26"/>
        <v>0</v>
      </c>
      <c r="AJ51" s="1" t="b">
        <f t="shared" si="27"/>
        <v>1</v>
      </c>
      <c r="AL51">
        <f t="shared" si="28"/>
        <v>2000</v>
      </c>
      <c r="AM51" s="2">
        <f>$I51*AM$39</f>
        <v>273936.17219231062</v>
      </c>
      <c r="AN51" s="2"/>
      <c r="AO51" s="2">
        <f t="shared" ref="AO51:AP64" si="33">$I51*AO$39</f>
        <v>0</v>
      </c>
      <c r="AP51" s="2">
        <f t="shared" si="33"/>
        <v>0</v>
      </c>
      <c r="AQ51" s="2"/>
      <c r="AR51" s="2">
        <f>$I51*AR$39</f>
        <v>0</v>
      </c>
      <c r="AS51" s="2">
        <f t="shared" si="11"/>
        <v>182624.11479487375</v>
      </c>
      <c r="AT51" s="2">
        <f t="shared" si="29"/>
        <v>456560.28698718437</v>
      </c>
      <c r="AU51" s="2">
        <f t="shared" si="30"/>
        <v>0</v>
      </c>
    </row>
    <row r="52" spans="1:47" x14ac:dyDescent="0.2">
      <c r="A52">
        <f t="shared" si="4"/>
        <v>2001</v>
      </c>
      <c r="B52" s="2">
        <f t="shared" si="12"/>
        <v>241009.0442947949</v>
      </c>
      <c r="C52" s="2"/>
      <c r="D52" s="2">
        <f t="shared" ref="D52:E64" si="34">AO51*(1+(D16/100))</f>
        <v>0</v>
      </c>
      <c r="E52" s="2">
        <f t="shared" si="34"/>
        <v>0</v>
      </c>
      <c r="F52" s="2"/>
      <c r="G52" s="2">
        <f t="shared" si="32"/>
        <v>0</v>
      </c>
      <c r="H52" s="2">
        <f t="shared" si="14"/>
        <v>198019.32767208162</v>
      </c>
      <c r="I52" s="2">
        <f t="shared" si="15"/>
        <v>439028.37196687656</v>
      </c>
      <c r="J52" s="2">
        <f t="shared" si="16"/>
        <v>-17531.915020307817</v>
      </c>
      <c r="K52" s="6">
        <f t="shared" si="17"/>
        <v>-3.8399999999999865E-2</v>
      </c>
      <c r="L52" s="7">
        <f t="shared" si="18"/>
        <v>0.96160000000000012</v>
      </c>
      <c r="O52">
        <f t="shared" si="19"/>
        <v>2001</v>
      </c>
      <c r="P52" s="6">
        <f t="shared" si="5"/>
        <v>0.54896006655574037</v>
      </c>
      <c r="Q52" s="7"/>
      <c r="R52" s="6">
        <f t="shared" si="5"/>
        <v>0</v>
      </c>
      <c r="S52" s="6">
        <f t="shared" si="5"/>
        <v>0</v>
      </c>
      <c r="T52" s="7"/>
      <c r="U52" s="6">
        <f t="shared" si="5"/>
        <v>0</v>
      </c>
      <c r="V52" s="6">
        <f t="shared" si="7"/>
        <v>0.45103993344425952</v>
      </c>
      <c r="W52" s="6">
        <f t="shared" si="20"/>
        <v>0.99999999999999989</v>
      </c>
      <c r="X52" s="7">
        <f t="shared" si="21"/>
        <v>0.54896006655574037</v>
      </c>
      <c r="Y52" s="7">
        <f t="shared" si="22"/>
        <v>0</v>
      </c>
      <c r="Z52" s="6"/>
      <c r="AB52">
        <f t="shared" si="23"/>
        <v>2001</v>
      </c>
      <c r="AC52" s="1" t="b">
        <f t="shared" si="24"/>
        <v>0</v>
      </c>
      <c r="AE52" s="1" t="b">
        <f t="shared" ref="AE52:AE64" si="35">AND((D52/$I52)&gt;0.15,(D52/$I52)&lt;0.25)</f>
        <v>0</v>
      </c>
      <c r="AF52" s="1" t="b">
        <f t="shared" ref="AF52:AF64" si="36">AND((E52/$I52)&gt;0.05,(E52/$I52)&lt;0.15)</f>
        <v>0</v>
      </c>
      <c r="AH52" s="1" t="b">
        <f t="shared" si="31"/>
        <v>0</v>
      </c>
      <c r="AI52" s="1" t="b">
        <f t="shared" si="26"/>
        <v>0</v>
      </c>
      <c r="AJ52" s="1" t="b">
        <f t="shared" si="27"/>
        <v>1</v>
      </c>
      <c r="AL52">
        <f t="shared" si="28"/>
        <v>2001</v>
      </c>
      <c r="AM52" s="2">
        <f t="shared" ref="AM52:AM64" si="37">$I52*AM$39</f>
        <v>263417.02318012592</v>
      </c>
      <c r="AN52" s="2"/>
      <c r="AO52" s="2">
        <f t="shared" si="33"/>
        <v>0</v>
      </c>
      <c r="AP52" s="2">
        <f t="shared" si="33"/>
        <v>0</v>
      </c>
      <c r="AQ52" s="2"/>
      <c r="AR52" s="2">
        <f t="shared" ref="AR52:AS64" si="38">$I52*AR$39</f>
        <v>0</v>
      </c>
      <c r="AS52" s="2">
        <f t="shared" si="38"/>
        <v>175611.34878675063</v>
      </c>
      <c r="AT52" s="2">
        <f t="shared" si="29"/>
        <v>439028.37196687656</v>
      </c>
      <c r="AU52" s="2">
        <f t="shared" si="30"/>
        <v>0</v>
      </c>
    </row>
    <row r="53" spans="1:47" x14ac:dyDescent="0.2">
      <c r="A53">
        <f t="shared" si="4"/>
        <v>2002</v>
      </c>
      <c r="B53" s="2">
        <f t="shared" si="12"/>
        <v>205070.15254572802</v>
      </c>
      <c r="C53" s="2"/>
      <c r="D53" s="2">
        <f t="shared" si="34"/>
        <v>0</v>
      </c>
      <c r="E53" s="2">
        <f t="shared" si="34"/>
        <v>0</v>
      </c>
      <c r="F53" s="2"/>
      <c r="G53" s="2">
        <f t="shared" si="32"/>
        <v>0</v>
      </c>
      <c r="H53" s="2">
        <f t="shared" si="14"/>
        <v>190116.84619653624</v>
      </c>
      <c r="I53" s="2">
        <f t="shared" si="15"/>
        <v>395186.99874226423</v>
      </c>
      <c r="J53" s="2">
        <f t="shared" si="16"/>
        <v>-43841.373224612325</v>
      </c>
      <c r="K53" s="6">
        <f t="shared" si="17"/>
        <v>-9.9860000000000074E-2</v>
      </c>
      <c r="L53" s="7">
        <f t="shared" si="18"/>
        <v>0.90013999999999994</v>
      </c>
      <c r="O53">
        <f t="shared" si="19"/>
        <v>2002</v>
      </c>
      <c r="P53" s="6">
        <f t="shared" si="5"/>
        <v>0.51891927922323189</v>
      </c>
      <c r="Q53" s="7"/>
      <c r="R53" s="6">
        <f t="shared" si="5"/>
        <v>0</v>
      </c>
      <c r="S53" s="6">
        <f t="shared" si="5"/>
        <v>0</v>
      </c>
      <c r="T53" s="7"/>
      <c r="U53" s="6">
        <f t="shared" si="5"/>
        <v>0</v>
      </c>
      <c r="V53" s="6">
        <f t="shared" si="7"/>
        <v>0.48108072077676811</v>
      </c>
      <c r="W53" s="6">
        <f t="shared" si="20"/>
        <v>1</v>
      </c>
      <c r="X53" s="7">
        <f t="shared" si="21"/>
        <v>0.51891927922323189</v>
      </c>
      <c r="Y53" s="7">
        <f t="shared" si="22"/>
        <v>0</v>
      </c>
      <c r="Z53" s="6"/>
      <c r="AB53">
        <f t="shared" si="23"/>
        <v>2002</v>
      </c>
      <c r="AC53" s="1" t="b">
        <f t="shared" si="24"/>
        <v>0</v>
      </c>
      <c r="AE53" s="1" t="b">
        <f t="shared" si="35"/>
        <v>0</v>
      </c>
      <c r="AF53" s="1" t="b">
        <f t="shared" si="36"/>
        <v>0</v>
      </c>
      <c r="AH53" s="1" t="b">
        <f t="shared" si="31"/>
        <v>0</v>
      </c>
      <c r="AI53" s="1" t="b">
        <f t="shared" si="26"/>
        <v>0</v>
      </c>
      <c r="AJ53" s="1" t="b">
        <f t="shared" si="27"/>
        <v>1</v>
      </c>
      <c r="AL53">
        <f t="shared" si="28"/>
        <v>2002</v>
      </c>
      <c r="AM53" s="2">
        <f t="shared" si="37"/>
        <v>237112.19924535853</v>
      </c>
      <c r="AN53" s="2"/>
      <c r="AO53" s="2">
        <f t="shared" si="33"/>
        <v>0</v>
      </c>
      <c r="AP53" s="2">
        <f t="shared" si="33"/>
        <v>0</v>
      </c>
      <c r="AQ53" s="2"/>
      <c r="AR53" s="2">
        <f t="shared" si="38"/>
        <v>0</v>
      </c>
      <c r="AS53" s="2">
        <f t="shared" si="38"/>
        <v>158074.7994969057</v>
      </c>
      <c r="AT53" s="2">
        <f t="shared" si="29"/>
        <v>395186.99874226423</v>
      </c>
      <c r="AU53" s="2">
        <f t="shared" si="30"/>
        <v>0</v>
      </c>
    </row>
    <row r="54" spans="1:47" x14ac:dyDescent="0.2">
      <c r="A54">
        <f t="shared" si="4"/>
        <v>2003</v>
      </c>
      <c r="B54" s="2">
        <f t="shared" si="12"/>
        <v>304689.17603028571</v>
      </c>
      <c r="C54" s="2"/>
      <c r="D54" s="2">
        <f t="shared" si="34"/>
        <v>0</v>
      </c>
      <c r="E54" s="2">
        <f t="shared" si="34"/>
        <v>0</v>
      </c>
      <c r="F54" s="2"/>
      <c r="G54" s="2">
        <f t="shared" si="32"/>
        <v>0</v>
      </c>
      <c r="H54" s="2">
        <f t="shared" si="14"/>
        <v>164350.36903693288</v>
      </c>
      <c r="I54" s="2">
        <f t="shared" si="15"/>
        <v>469039.5450672186</v>
      </c>
      <c r="J54" s="2">
        <f t="shared" si="16"/>
        <v>73852.546324954368</v>
      </c>
      <c r="K54" s="6">
        <f t="shared" si="17"/>
        <v>0.18688000000000007</v>
      </c>
      <c r="L54" s="7">
        <f t="shared" si="18"/>
        <v>1.1868800000000002</v>
      </c>
      <c r="O54">
        <f t="shared" si="19"/>
        <v>2003</v>
      </c>
      <c r="P54" s="38">
        <f t="shared" si="5"/>
        <v>0.64960231868428142</v>
      </c>
      <c r="Q54" s="7"/>
      <c r="R54" s="6">
        <f t="shared" si="5"/>
        <v>0</v>
      </c>
      <c r="S54" s="6">
        <f t="shared" si="5"/>
        <v>0</v>
      </c>
      <c r="T54" s="7"/>
      <c r="U54" s="38">
        <f t="shared" si="5"/>
        <v>0</v>
      </c>
      <c r="V54" s="38">
        <f t="shared" si="7"/>
        <v>0.35039768131571858</v>
      </c>
      <c r="W54" s="6">
        <f t="shared" si="20"/>
        <v>1</v>
      </c>
      <c r="X54" s="7">
        <f t="shared" si="21"/>
        <v>0.64960231868428142</v>
      </c>
      <c r="Y54" s="7">
        <f t="shared" si="22"/>
        <v>0</v>
      </c>
      <c r="Z54" s="6"/>
      <c r="AB54">
        <f t="shared" si="23"/>
        <v>2003</v>
      </c>
      <c r="AC54" s="39" t="b">
        <f t="shared" si="24"/>
        <v>0</v>
      </c>
      <c r="AE54" s="1" t="b">
        <f t="shared" si="35"/>
        <v>0</v>
      </c>
      <c r="AF54" s="1" t="b">
        <f t="shared" si="36"/>
        <v>0</v>
      </c>
      <c r="AH54" s="39" t="b">
        <f t="shared" si="31"/>
        <v>0</v>
      </c>
      <c r="AI54" s="39" t="b">
        <f t="shared" si="26"/>
        <v>0</v>
      </c>
      <c r="AJ54" s="1" t="b">
        <f t="shared" si="27"/>
        <v>1</v>
      </c>
      <c r="AL54">
        <f t="shared" si="28"/>
        <v>2003</v>
      </c>
      <c r="AM54" s="2">
        <f t="shared" si="37"/>
        <v>281423.72704033117</v>
      </c>
      <c r="AN54" s="2"/>
      <c r="AO54" s="2">
        <f t="shared" si="33"/>
        <v>0</v>
      </c>
      <c r="AP54" s="2">
        <f t="shared" si="33"/>
        <v>0</v>
      </c>
      <c r="AQ54" s="2"/>
      <c r="AR54" s="2">
        <f t="shared" si="38"/>
        <v>0</v>
      </c>
      <c r="AS54" s="2">
        <f t="shared" si="38"/>
        <v>187615.81802688746</v>
      </c>
      <c r="AT54" s="2">
        <f t="shared" si="29"/>
        <v>469039.5450672186</v>
      </c>
      <c r="AU54" s="2">
        <f t="shared" si="30"/>
        <v>0</v>
      </c>
    </row>
    <row r="55" spans="1:47" x14ac:dyDescent="0.2">
      <c r="A55">
        <f t="shared" si="4"/>
        <v>2004</v>
      </c>
      <c r="B55" s="2">
        <f t="shared" si="12"/>
        <v>311648.63532446272</v>
      </c>
      <c r="C55" s="2"/>
      <c r="D55" s="2">
        <f t="shared" si="34"/>
        <v>0</v>
      </c>
      <c r="E55" s="2">
        <f t="shared" si="34"/>
        <v>0</v>
      </c>
      <c r="F55" s="2"/>
      <c r="G55" s="2">
        <f t="shared" si="32"/>
        <v>0</v>
      </c>
      <c r="H55" s="2">
        <f t="shared" si="14"/>
        <v>195570.72871122748</v>
      </c>
      <c r="I55" s="2">
        <f t="shared" si="15"/>
        <v>507219.3640356902</v>
      </c>
      <c r="J55" s="2">
        <f t="shared" si="16"/>
        <v>38179.818968471605</v>
      </c>
      <c r="K55" s="6">
        <f t="shared" si="17"/>
        <v>8.1400000000000028E-2</v>
      </c>
      <c r="L55" s="7">
        <f t="shared" si="18"/>
        <v>1.0813999999999999</v>
      </c>
      <c r="O55">
        <f t="shared" si="19"/>
        <v>2004</v>
      </c>
      <c r="P55" s="6">
        <f t="shared" si="5"/>
        <v>0.61442574440540043</v>
      </c>
      <c r="Q55" s="7"/>
      <c r="R55" s="6">
        <f t="shared" si="5"/>
        <v>0</v>
      </c>
      <c r="S55" s="6">
        <f t="shared" si="5"/>
        <v>0</v>
      </c>
      <c r="T55" s="7"/>
      <c r="U55" s="6">
        <f t="shared" si="5"/>
        <v>0</v>
      </c>
      <c r="V55" s="38">
        <f t="shared" si="7"/>
        <v>0.38557425559459962</v>
      </c>
      <c r="W55" s="6">
        <f t="shared" si="20"/>
        <v>1</v>
      </c>
      <c r="X55" s="7">
        <f t="shared" si="21"/>
        <v>0.61442574440540043</v>
      </c>
      <c r="Y55" s="7">
        <f t="shared" si="22"/>
        <v>0</v>
      </c>
      <c r="Z55" s="6"/>
      <c r="AB55">
        <f t="shared" si="23"/>
        <v>2004</v>
      </c>
      <c r="AC55" s="1" t="b">
        <f t="shared" si="24"/>
        <v>0</v>
      </c>
      <c r="AE55" s="1" t="b">
        <f t="shared" si="35"/>
        <v>0</v>
      </c>
      <c r="AF55" s="1" t="b">
        <f t="shared" si="36"/>
        <v>0</v>
      </c>
      <c r="AH55" s="1" t="b">
        <f t="shared" si="31"/>
        <v>0</v>
      </c>
      <c r="AI55" s="39" t="b">
        <f t="shared" si="26"/>
        <v>0</v>
      </c>
      <c r="AJ55" s="1" t="b">
        <f t="shared" si="27"/>
        <v>1</v>
      </c>
      <c r="AL55">
        <f t="shared" si="28"/>
        <v>2004</v>
      </c>
      <c r="AM55" s="2">
        <f t="shared" si="37"/>
        <v>304331.61842141411</v>
      </c>
      <c r="AN55" s="2"/>
      <c r="AO55" s="2">
        <f t="shared" si="33"/>
        <v>0</v>
      </c>
      <c r="AP55" s="2">
        <f t="shared" si="33"/>
        <v>0</v>
      </c>
      <c r="AQ55" s="2"/>
      <c r="AR55" s="2">
        <f t="shared" si="38"/>
        <v>0</v>
      </c>
      <c r="AS55" s="2">
        <f t="shared" si="38"/>
        <v>202887.74561427609</v>
      </c>
      <c r="AT55" s="2">
        <f t="shared" si="29"/>
        <v>507219.3640356902</v>
      </c>
      <c r="AU55" s="2">
        <f t="shared" si="30"/>
        <v>0</v>
      </c>
    </row>
    <row r="56" spans="1:47" x14ac:dyDescent="0.2">
      <c r="A56">
        <f t="shared" si="4"/>
        <v>2005</v>
      </c>
      <c r="B56" s="2">
        <f t="shared" si="12"/>
        <v>318848.23662011558</v>
      </c>
      <c r="C56" s="2"/>
      <c r="D56" s="2">
        <f t="shared" si="34"/>
        <v>0</v>
      </c>
      <c r="E56" s="2">
        <f t="shared" si="34"/>
        <v>0</v>
      </c>
      <c r="F56" s="2"/>
      <c r="G56" s="2">
        <f t="shared" si="32"/>
        <v>0</v>
      </c>
      <c r="H56" s="2">
        <f t="shared" si="14"/>
        <v>207757.05150901873</v>
      </c>
      <c r="I56" s="2">
        <f t="shared" si="15"/>
        <v>526605.28812913434</v>
      </c>
      <c r="J56" s="2">
        <f>I56-I55</f>
        <v>19385.924093444133</v>
      </c>
      <c r="K56" s="6">
        <f>(J56/I55)</f>
        <v>3.8220000000000108E-2</v>
      </c>
      <c r="L56" s="7">
        <f t="shared" si="18"/>
        <v>1.0382200000000001</v>
      </c>
      <c r="O56">
        <f t="shared" si="19"/>
        <v>2005</v>
      </c>
      <c r="P56" s="6">
        <f t="shared" si="5"/>
        <v>0.60547860761688266</v>
      </c>
      <c r="Q56" s="7"/>
      <c r="R56" s="6">
        <f t="shared" si="5"/>
        <v>0</v>
      </c>
      <c r="S56" s="6">
        <f t="shared" si="5"/>
        <v>0</v>
      </c>
      <c r="T56" s="7"/>
      <c r="U56" s="6">
        <f t="shared" si="5"/>
        <v>0</v>
      </c>
      <c r="V56" s="6">
        <f t="shared" si="7"/>
        <v>0.39452139238311723</v>
      </c>
      <c r="W56" s="6">
        <f t="shared" si="20"/>
        <v>0.99999999999999989</v>
      </c>
      <c r="X56" s="7">
        <f t="shared" si="21"/>
        <v>0.60547860761688266</v>
      </c>
      <c r="Y56" s="7">
        <f t="shared" si="22"/>
        <v>0</v>
      </c>
      <c r="Z56" s="6"/>
      <c r="AB56">
        <f t="shared" si="23"/>
        <v>2005</v>
      </c>
      <c r="AC56" s="1" t="b">
        <f t="shared" si="24"/>
        <v>0</v>
      </c>
      <c r="AE56" s="1" t="b">
        <f t="shared" si="35"/>
        <v>0</v>
      </c>
      <c r="AF56" s="1" t="b">
        <f t="shared" si="36"/>
        <v>0</v>
      </c>
      <c r="AH56" s="1" t="b">
        <f t="shared" si="31"/>
        <v>0</v>
      </c>
      <c r="AI56" s="1" t="b">
        <f t="shared" si="26"/>
        <v>0</v>
      </c>
      <c r="AJ56" s="1" t="b">
        <f t="shared" si="27"/>
        <v>1</v>
      </c>
      <c r="AL56">
        <f t="shared" si="28"/>
        <v>2005</v>
      </c>
      <c r="AM56" s="2">
        <f t="shared" si="37"/>
        <v>315963.17287748057</v>
      </c>
      <c r="AN56" s="2"/>
      <c r="AO56" s="2">
        <f t="shared" si="33"/>
        <v>0</v>
      </c>
      <c r="AP56" s="2">
        <f t="shared" si="33"/>
        <v>0</v>
      </c>
      <c r="AQ56" s="2"/>
      <c r="AR56" s="2">
        <f t="shared" si="38"/>
        <v>0</v>
      </c>
      <c r="AS56" s="2">
        <f t="shared" si="38"/>
        <v>210642.11525165374</v>
      </c>
      <c r="AT56" s="2">
        <f t="shared" si="29"/>
        <v>526605.28812913434</v>
      </c>
      <c r="AU56" s="2">
        <f t="shared" si="30"/>
        <v>0</v>
      </c>
    </row>
    <row r="57" spans="1:47" x14ac:dyDescent="0.2">
      <c r="A57">
        <f t="shared" si="4"/>
        <v>2006</v>
      </c>
      <c r="B57" s="2">
        <f t="shared" ref="B57:B64" si="39">AM56*(1+(B21/100))</f>
        <v>365379.81311551854</v>
      </c>
      <c r="C57" s="2"/>
      <c r="D57" s="2">
        <f t="shared" si="34"/>
        <v>0</v>
      </c>
      <c r="E57" s="2">
        <f t="shared" si="34"/>
        <v>0</v>
      </c>
      <c r="F57" s="2"/>
      <c r="G57" s="2">
        <f t="shared" si="32"/>
        <v>0</v>
      </c>
      <c r="H57" s="2">
        <f t="shared" si="14"/>
        <v>219636.53357289935</v>
      </c>
      <c r="I57" s="2">
        <f t="shared" si="15"/>
        <v>585016.34668841795</v>
      </c>
      <c r="J57" s="2">
        <f t="shared" si="16"/>
        <v>58411.058559283614</v>
      </c>
      <c r="K57" s="6">
        <f t="shared" si="17"/>
        <v>0.11092000000000006</v>
      </c>
      <c r="L57" s="7">
        <f t="shared" si="18"/>
        <v>1.1109200000000001</v>
      </c>
      <c r="O57">
        <f t="shared" si="19"/>
        <v>2006</v>
      </c>
      <c r="P57" s="6">
        <f t="shared" si="5"/>
        <v>0.62456342490908423</v>
      </c>
      <c r="Q57" s="7"/>
      <c r="R57" s="6">
        <f t="shared" si="5"/>
        <v>0</v>
      </c>
      <c r="S57" s="6">
        <f t="shared" si="5"/>
        <v>0</v>
      </c>
      <c r="T57" s="7"/>
      <c r="U57" s="6">
        <f t="shared" si="5"/>
        <v>0</v>
      </c>
      <c r="V57" s="6">
        <f t="shared" si="7"/>
        <v>0.3754365750909156</v>
      </c>
      <c r="W57" s="6">
        <f t="shared" si="20"/>
        <v>0.99999999999999978</v>
      </c>
      <c r="X57" s="7">
        <f t="shared" si="21"/>
        <v>0.62456342490908423</v>
      </c>
      <c r="Y57" s="7">
        <f t="shared" si="22"/>
        <v>0</v>
      </c>
      <c r="Z57" s="6"/>
      <c r="AB57">
        <f t="shared" si="23"/>
        <v>2006</v>
      </c>
      <c r="AC57" s="1" t="b">
        <f t="shared" si="24"/>
        <v>0</v>
      </c>
      <c r="AE57" s="1" t="b">
        <f t="shared" si="35"/>
        <v>0</v>
      </c>
      <c r="AF57" s="1" t="b">
        <f t="shared" si="36"/>
        <v>0</v>
      </c>
      <c r="AH57" s="1" t="b">
        <f t="shared" si="31"/>
        <v>0</v>
      </c>
      <c r="AI57" s="1" t="b">
        <f t="shared" si="26"/>
        <v>0</v>
      </c>
      <c r="AJ57" s="1" t="b">
        <f t="shared" si="27"/>
        <v>1</v>
      </c>
      <c r="AL57">
        <f t="shared" si="28"/>
        <v>2006</v>
      </c>
      <c r="AM57" s="2">
        <f t="shared" si="37"/>
        <v>351009.80801305076</v>
      </c>
      <c r="AN57" s="2"/>
      <c r="AO57" s="2">
        <f t="shared" si="33"/>
        <v>0</v>
      </c>
      <c r="AP57" s="2">
        <f t="shared" si="33"/>
        <v>0</v>
      </c>
      <c r="AQ57" s="2"/>
      <c r="AR57" s="2">
        <f t="shared" si="38"/>
        <v>0</v>
      </c>
      <c r="AS57" s="2">
        <f t="shared" si="38"/>
        <v>234006.53867536719</v>
      </c>
      <c r="AT57" s="2">
        <f t="shared" si="29"/>
        <v>585016.34668841795</v>
      </c>
      <c r="AU57" s="2">
        <f t="shared" si="30"/>
        <v>0</v>
      </c>
    </row>
    <row r="58" spans="1:47" x14ac:dyDescent="0.2">
      <c r="A58">
        <f t="shared" si="4"/>
        <v>2007</v>
      </c>
      <c r="B58" s="2">
        <f t="shared" si="39"/>
        <v>369929.23666495422</v>
      </c>
      <c r="C58" s="2"/>
      <c r="D58" s="2">
        <f t="shared" si="34"/>
        <v>0</v>
      </c>
      <c r="E58" s="2">
        <f t="shared" si="34"/>
        <v>0</v>
      </c>
      <c r="F58" s="2"/>
      <c r="G58" s="2">
        <f t="shared" si="32"/>
        <v>0</v>
      </c>
      <c r="H58" s="2">
        <f t="shared" si="14"/>
        <v>250199.79115170258</v>
      </c>
      <c r="I58" s="2">
        <f t="shared" si="15"/>
        <v>620129.02781665674</v>
      </c>
      <c r="J58" s="2">
        <f t="shared" si="16"/>
        <v>35112.681128238793</v>
      </c>
      <c r="K58" s="6">
        <f t="shared" si="17"/>
        <v>6.0019999999999914E-2</v>
      </c>
      <c r="L58" s="7">
        <f t="shared" si="18"/>
        <v>1.06002</v>
      </c>
      <c r="O58">
        <f t="shared" si="19"/>
        <v>2007</v>
      </c>
      <c r="P58" s="6">
        <f t="shared" si="5"/>
        <v>0.59653591441670917</v>
      </c>
      <c r="Q58" s="7"/>
      <c r="R58" s="6">
        <f t="shared" si="5"/>
        <v>0</v>
      </c>
      <c r="S58" s="6">
        <f t="shared" si="5"/>
        <v>0</v>
      </c>
      <c r="T58" s="7"/>
      <c r="U58" s="6">
        <f t="shared" si="5"/>
        <v>0</v>
      </c>
      <c r="V58" s="38">
        <f t="shared" si="7"/>
        <v>0.40346408558329089</v>
      </c>
      <c r="W58" s="6">
        <f t="shared" si="20"/>
        <v>1</v>
      </c>
      <c r="X58" s="7">
        <f t="shared" si="21"/>
        <v>0.59653591441670917</v>
      </c>
      <c r="Y58" s="7">
        <f t="shared" si="22"/>
        <v>0</v>
      </c>
      <c r="Z58" s="6"/>
      <c r="AB58">
        <f t="shared" si="23"/>
        <v>2007</v>
      </c>
      <c r="AC58" s="1" t="b">
        <f t="shared" si="24"/>
        <v>0</v>
      </c>
      <c r="AE58" s="1" t="b">
        <f t="shared" si="35"/>
        <v>0</v>
      </c>
      <c r="AF58" s="1" t="b">
        <f t="shared" si="36"/>
        <v>0</v>
      </c>
      <c r="AH58" s="1" t="b">
        <f t="shared" si="31"/>
        <v>0</v>
      </c>
      <c r="AI58" s="39" t="b">
        <f t="shared" si="26"/>
        <v>0</v>
      </c>
      <c r="AJ58" s="1" t="b">
        <f t="shared" si="27"/>
        <v>1</v>
      </c>
      <c r="AL58">
        <f t="shared" si="28"/>
        <v>2007</v>
      </c>
      <c r="AM58" s="2">
        <f t="shared" si="37"/>
        <v>372077.41668999405</v>
      </c>
      <c r="AN58" s="2"/>
      <c r="AO58" s="2">
        <f t="shared" si="33"/>
        <v>0</v>
      </c>
      <c r="AP58" s="2">
        <f t="shared" si="33"/>
        <v>0</v>
      </c>
      <c r="AQ58" s="2"/>
      <c r="AR58" s="2">
        <f t="shared" si="38"/>
        <v>0</v>
      </c>
      <c r="AS58" s="2">
        <f t="shared" si="38"/>
        <v>248051.6111266627</v>
      </c>
      <c r="AT58" s="2">
        <f t="shared" si="29"/>
        <v>620129.02781665674</v>
      </c>
      <c r="AU58" s="2">
        <f t="shared" si="30"/>
        <v>0</v>
      </c>
    </row>
    <row r="59" spans="1:47" x14ac:dyDescent="0.2">
      <c r="A59">
        <f t="shared" si="4"/>
        <v>2008</v>
      </c>
      <c r="B59" s="2">
        <f t="shared" si="39"/>
        <v>234334.35703135823</v>
      </c>
      <c r="C59" s="2"/>
      <c r="D59" s="2">
        <f t="shared" si="34"/>
        <v>0</v>
      </c>
      <c r="E59" s="2">
        <f t="shared" si="34"/>
        <v>0</v>
      </c>
      <c r="F59" s="2"/>
      <c r="G59" s="2">
        <f t="shared" si="32"/>
        <v>0</v>
      </c>
      <c r="H59" s="2">
        <f t="shared" si="14"/>
        <v>260578.21748855917</v>
      </c>
      <c r="I59" s="2">
        <f t="shared" si="15"/>
        <v>494912.57451991737</v>
      </c>
      <c r="J59" s="2">
        <f t="shared" si="16"/>
        <v>-125216.45329673938</v>
      </c>
      <c r="K59" s="6">
        <f t="shared" si="17"/>
        <v>-0.20192000000000007</v>
      </c>
      <c r="L59" s="7">
        <f t="shared" si="18"/>
        <v>0.7980799999999999</v>
      </c>
      <c r="O59">
        <f t="shared" si="19"/>
        <v>2008</v>
      </c>
      <c r="P59" s="6">
        <f t="shared" si="5"/>
        <v>0.47348636728147553</v>
      </c>
      <c r="Q59" s="7"/>
      <c r="R59" s="6">
        <f t="shared" si="5"/>
        <v>0</v>
      </c>
      <c r="S59" s="6">
        <f t="shared" si="5"/>
        <v>0</v>
      </c>
      <c r="T59" s="7"/>
      <c r="U59" s="6">
        <f t="shared" si="5"/>
        <v>0</v>
      </c>
      <c r="V59" s="6">
        <f t="shared" si="7"/>
        <v>0.52651363271852447</v>
      </c>
      <c r="W59" s="6">
        <f t="shared" si="20"/>
        <v>1</v>
      </c>
      <c r="X59" s="7">
        <f t="shared" si="21"/>
        <v>0.47348636728147553</v>
      </c>
      <c r="Y59" s="7">
        <f t="shared" si="22"/>
        <v>0</v>
      </c>
      <c r="Z59" s="6"/>
      <c r="AA59" s="7">
        <f>SUM(P59:U59)</f>
        <v>0.47348636728147553</v>
      </c>
      <c r="AB59">
        <f t="shared" si="23"/>
        <v>2008</v>
      </c>
      <c r="AC59" s="1" t="b">
        <f t="shared" si="24"/>
        <v>0</v>
      </c>
      <c r="AE59" s="1" t="b">
        <f t="shared" si="35"/>
        <v>0</v>
      </c>
      <c r="AF59" s="1" t="b">
        <f t="shared" si="36"/>
        <v>0</v>
      </c>
      <c r="AH59" s="1" t="b">
        <f t="shared" si="31"/>
        <v>0</v>
      </c>
      <c r="AI59" s="1" t="b">
        <f t="shared" si="26"/>
        <v>0</v>
      </c>
      <c r="AJ59" s="1" t="b">
        <f t="shared" si="27"/>
        <v>1</v>
      </c>
      <c r="AL59">
        <f t="shared" si="28"/>
        <v>2008</v>
      </c>
      <c r="AM59" s="2">
        <f t="shared" si="37"/>
        <v>296947.54471195041</v>
      </c>
      <c r="AN59" s="2"/>
      <c r="AO59" s="2">
        <f t="shared" si="33"/>
        <v>0</v>
      </c>
      <c r="AP59" s="2">
        <f t="shared" si="33"/>
        <v>0</v>
      </c>
      <c r="AQ59" s="2"/>
      <c r="AR59" s="2">
        <f t="shared" si="38"/>
        <v>0</v>
      </c>
      <c r="AS59" s="2">
        <f t="shared" si="38"/>
        <v>197965.02980796696</v>
      </c>
      <c r="AT59" s="2">
        <f t="shared" si="29"/>
        <v>494912.57451991737</v>
      </c>
      <c r="AU59" s="2">
        <f t="shared" si="30"/>
        <v>0</v>
      </c>
    </row>
    <row r="60" spans="1:47" x14ac:dyDescent="0.2">
      <c r="A60">
        <f t="shared" si="4"/>
        <v>2009</v>
      </c>
      <c r="B60" s="2">
        <f t="shared" si="39"/>
        <v>375608.94930614607</v>
      </c>
      <c r="C60" s="2"/>
      <c r="D60" s="2">
        <f t="shared" si="34"/>
        <v>0</v>
      </c>
      <c r="E60" s="2">
        <f t="shared" si="34"/>
        <v>0</v>
      </c>
      <c r="F60" s="2"/>
      <c r="G60" s="2">
        <f t="shared" si="32"/>
        <v>0</v>
      </c>
      <c r="H60" s="2">
        <f t="shared" si="14"/>
        <v>209704.35607557939</v>
      </c>
      <c r="I60" s="2">
        <f t="shared" si="15"/>
        <v>585313.30538172543</v>
      </c>
      <c r="J60" s="2">
        <f t="shared" si="16"/>
        <v>90400.730861808057</v>
      </c>
      <c r="K60" s="6">
        <f t="shared" si="17"/>
        <v>0.18265999999999991</v>
      </c>
      <c r="L60" s="7">
        <f t="shared" si="18"/>
        <v>1.1826599999999998</v>
      </c>
      <c r="O60">
        <f t="shared" si="19"/>
        <v>2009</v>
      </c>
      <c r="P60" s="6">
        <f t="shared" si="5"/>
        <v>0.64172289584495967</v>
      </c>
      <c r="Q60" s="7"/>
      <c r="R60" s="6">
        <f t="shared" si="5"/>
        <v>0</v>
      </c>
      <c r="S60" s="6">
        <f t="shared" si="5"/>
        <v>0</v>
      </c>
      <c r="T60" s="7"/>
      <c r="U60" s="6">
        <f t="shared" si="5"/>
        <v>0</v>
      </c>
      <c r="V60" s="38">
        <f t="shared" si="7"/>
        <v>0.35827710415504038</v>
      </c>
      <c r="W60" s="6">
        <f t="shared" si="20"/>
        <v>1</v>
      </c>
      <c r="X60" s="7">
        <f t="shared" si="21"/>
        <v>0.64172289584495967</v>
      </c>
      <c r="Y60" s="7">
        <f t="shared" si="22"/>
        <v>0</v>
      </c>
      <c r="Z60" s="6"/>
      <c r="AB60">
        <f t="shared" si="23"/>
        <v>2009</v>
      </c>
      <c r="AC60" s="1" t="b">
        <f t="shared" si="24"/>
        <v>0</v>
      </c>
      <c r="AE60" s="1" t="b">
        <f t="shared" si="35"/>
        <v>0</v>
      </c>
      <c r="AF60" s="1" t="b">
        <f t="shared" si="36"/>
        <v>0</v>
      </c>
      <c r="AH60" s="1" t="b">
        <f t="shared" si="31"/>
        <v>0</v>
      </c>
      <c r="AI60" s="39" t="b">
        <f t="shared" si="26"/>
        <v>0</v>
      </c>
      <c r="AJ60" s="1" t="b">
        <f t="shared" si="27"/>
        <v>1</v>
      </c>
      <c r="AL60">
        <f t="shared" si="28"/>
        <v>2009</v>
      </c>
      <c r="AM60" s="2">
        <f t="shared" si="37"/>
        <v>351187.98322903522</v>
      </c>
      <c r="AN60" s="2"/>
      <c r="AO60" s="2">
        <f t="shared" si="33"/>
        <v>0</v>
      </c>
      <c r="AP60" s="2">
        <f t="shared" si="33"/>
        <v>0</v>
      </c>
      <c r="AQ60" s="2"/>
      <c r="AR60" s="2">
        <f t="shared" si="38"/>
        <v>0</v>
      </c>
      <c r="AS60" s="2">
        <f t="shared" si="38"/>
        <v>234125.32215269018</v>
      </c>
      <c r="AT60" s="2">
        <f t="shared" si="29"/>
        <v>585313.30538172543</v>
      </c>
      <c r="AU60" s="2">
        <f t="shared" si="30"/>
        <v>0</v>
      </c>
    </row>
    <row r="61" spans="1:47" x14ac:dyDescent="0.2">
      <c r="A61">
        <f t="shared" si="4"/>
        <v>2010</v>
      </c>
      <c r="B61" s="2">
        <f t="shared" si="39"/>
        <v>403550.11152848438</v>
      </c>
      <c r="C61" s="2"/>
      <c r="D61" s="2">
        <f t="shared" si="34"/>
        <v>0</v>
      </c>
      <c r="E61" s="2">
        <f t="shared" si="34"/>
        <v>0</v>
      </c>
      <c r="F61" s="2"/>
      <c r="G61" s="2">
        <f t="shared" si="32"/>
        <v>0</v>
      </c>
      <c r="H61" s="2">
        <f t="shared" si="14"/>
        <v>249156.1678348929</v>
      </c>
      <c r="I61" s="2">
        <f t="shared" si="15"/>
        <v>652706.27936337725</v>
      </c>
      <c r="J61" s="2">
        <f t="shared" si="16"/>
        <v>67392.973981651827</v>
      </c>
      <c r="K61" s="6">
        <f t="shared" si="17"/>
        <v>0.11513999999999994</v>
      </c>
      <c r="L61" s="7">
        <f t="shared" si="18"/>
        <v>1.11514</v>
      </c>
      <c r="O61">
        <f t="shared" si="19"/>
        <v>2010</v>
      </c>
      <c r="P61" s="6">
        <f t="shared" si="5"/>
        <v>0.61827214520149931</v>
      </c>
      <c r="Q61" s="7"/>
      <c r="R61" s="6">
        <f t="shared" si="5"/>
        <v>0</v>
      </c>
      <c r="S61" s="6">
        <f t="shared" si="5"/>
        <v>0</v>
      </c>
      <c r="T61" s="7"/>
      <c r="U61" s="6">
        <f t="shared" si="5"/>
        <v>0</v>
      </c>
      <c r="V61" s="6">
        <f t="shared" si="7"/>
        <v>0.38172785479850069</v>
      </c>
      <c r="W61" s="6">
        <f t="shared" si="20"/>
        <v>1</v>
      </c>
      <c r="X61" s="7">
        <f t="shared" si="21"/>
        <v>0.61827214520149931</v>
      </c>
      <c r="Y61" s="7">
        <f t="shared" si="22"/>
        <v>0</v>
      </c>
      <c r="Z61" s="6"/>
      <c r="AB61">
        <f t="shared" si="23"/>
        <v>2010</v>
      </c>
      <c r="AC61" s="1" t="b">
        <f t="shared" si="24"/>
        <v>0</v>
      </c>
      <c r="AE61" s="1" t="b">
        <f t="shared" si="35"/>
        <v>0</v>
      </c>
      <c r="AF61" s="1" t="b">
        <f t="shared" si="36"/>
        <v>0</v>
      </c>
      <c r="AH61" s="1" t="b">
        <f t="shared" si="31"/>
        <v>0</v>
      </c>
      <c r="AI61" s="1" t="b">
        <f t="shared" si="26"/>
        <v>0</v>
      </c>
      <c r="AJ61" s="1" t="b">
        <f t="shared" si="27"/>
        <v>1</v>
      </c>
      <c r="AL61">
        <f t="shared" si="28"/>
        <v>2010</v>
      </c>
      <c r="AM61" s="2">
        <f t="shared" si="37"/>
        <v>391623.76761802635</v>
      </c>
      <c r="AN61" s="2"/>
      <c r="AO61" s="2">
        <f t="shared" si="33"/>
        <v>0</v>
      </c>
      <c r="AP61" s="2">
        <f t="shared" si="33"/>
        <v>0</v>
      </c>
      <c r="AQ61" s="2"/>
      <c r="AR61" s="2">
        <f t="shared" si="38"/>
        <v>0</v>
      </c>
      <c r="AS61" s="2">
        <f t="shared" si="38"/>
        <v>261082.5117453509</v>
      </c>
      <c r="AT61" s="2">
        <f t="shared" si="29"/>
        <v>652706.27936337725</v>
      </c>
      <c r="AU61" s="2">
        <f t="shared" si="30"/>
        <v>0</v>
      </c>
    </row>
    <row r="62" spans="1:47" x14ac:dyDescent="0.2">
      <c r="A62">
        <f t="shared" si="4"/>
        <v>2011</v>
      </c>
      <c r="B62" s="2">
        <f t="shared" si="39"/>
        <v>399338.75584010151</v>
      </c>
      <c r="C62" s="2"/>
      <c r="D62" s="2">
        <f t="shared" si="34"/>
        <v>0</v>
      </c>
      <c r="E62" s="2">
        <f t="shared" si="34"/>
        <v>0</v>
      </c>
      <c r="F62" s="2"/>
      <c r="G62" s="2">
        <f t="shared" si="32"/>
        <v>0</v>
      </c>
      <c r="H62" s="2">
        <f t="shared" si="14"/>
        <v>280820.34963329945</v>
      </c>
      <c r="I62" s="2">
        <f t="shared" si="15"/>
        <v>680159.10547340102</v>
      </c>
      <c r="J62" s="2">
        <f t="shared" si="16"/>
        <v>27452.826110023772</v>
      </c>
      <c r="K62" s="6">
        <f t="shared" si="17"/>
        <v>4.2060000000000194E-2</v>
      </c>
      <c r="L62" s="7">
        <f t="shared" si="18"/>
        <v>1.0420600000000002</v>
      </c>
      <c r="O62">
        <f t="shared" si="19"/>
        <v>2011</v>
      </c>
      <c r="P62" s="6">
        <f t="shared" si="5"/>
        <v>0.58712550141066733</v>
      </c>
      <c r="Q62" s="7"/>
      <c r="R62" s="6">
        <f t="shared" si="5"/>
        <v>0</v>
      </c>
      <c r="S62" s="6">
        <f t="shared" si="5"/>
        <v>0</v>
      </c>
      <c r="T62" s="7"/>
      <c r="U62" s="6">
        <f t="shared" si="5"/>
        <v>0</v>
      </c>
      <c r="V62" s="38">
        <f t="shared" si="7"/>
        <v>0.41287449858933262</v>
      </c>
      <c r="W62" s="6">
        <f t="shared" si="20"/>
        <v>1</v>
      </c>
      <c r="X62" s="7">
        <f t="shared" si="21"/>
        <v>0.58712550141066733</v>
      </c>
      <c r="Y62" s="7">
        <f t="shared" si="22"/>
        <v>0</v>
      </c>
      <c r="Z62" s="6"/>
      <c r="AB62">
        <f t="shared" si="23"/>
        <v>2011</v>
      </c>
      <c r="AC62" s="1" t="b">
        <f t="shared" si="24"/>
        <v>0</v>
      </c>
      <c r="AE62" s="1" t="b">
        <f t="shared" si="35"/>
        <v>0</v>
      </c>
      <c r="AF62" s="1" t="b">
        <f t="shared" si="36"/>
        <v>0</v>
      </c>
      <c r="AH62" s="1" t="b">
        <f t="shared" si="31"/>
        <v>0</v>
      </c>
      <c r="AI62" s="39" t="b">
        <f t="shared" si="26"/>
        <v>0</v>
      </c>
      <c r="AJ62" s="1" t="b">
        <f t="shared" si="27"/>
        <v>1</v>
      </c>
      <c r="AL62">
        <f t="shared" si="28"/>
        <v>2011</v>
      </c>
      <c r="AM62" s="2">
        <f t="shared" si="37"/>
        <v>408095.46328404063</v>
      </c>
      <c r="AN62" s="2"/>
      <c r="AO62" s="2">
        <f t="shared" si="33"/>
        <v>0</v>
      </c>
      <c r="AP62" s="2">
        <f t="shared" si="33"/>
        <v>0</v>
      </c>
      <c r="AQ62" s="2"/>
      <c r="AR62" s="2">
        <f t="shared" si="38"/>
        <v>0</v>
      </c>
      <c r="AS62" s="2">
        <f t="shared" si="38"/>
        <v>272063.6421893604</v>
      </c>
      <c r="AT62" s="2">
        <f t="shared" si="29"/>
        <v>680159.10547340102</v>
      </c>
      <c r="AU62" s="2">
        <f t="shared" si="30"/>
        <v>0</v>
      </c>
    </row>
    <row r="63" spans="1:47" x14ac:dyDescent="0.2">
      <c r="A63">
        <f t="shared" si="4"/>
        <v>2012</v>
      </c>
      <c r="B63" s="2">
        <f t="shared" si="39"/>
        <v>472656.16557557584</v>
      </c>
      <c r="C63" s="2"/>
      <c r="D63" s="2">
        <f t="shared" si="34"/>
        <v>0</v>
      </c>
      <c r="E63" s="2">
        <f t="shared" si="34"/>
        <v>0</v>
      </c>
      <c r="F63" s="2"/>
      <c r="G63" s="2">
        <f t="shared" si="32"/>
        <v>0</v>
      </c>
      <c r="H63" s="2">
        <f t="shared" si="14"/>
        <v>283082.21969802951</v>
      </c>
      <c r="I63" s="2">
        <f t="shared" si="15"/>
        <v>755738.38527360535</v>
      </c>
      <c r="J63" s="2">
        <f t="shared" si="16"/>
        <v>75579.279800204327</v>
      </c>
      <c r="K63" s="6">
        <f t="shared" si="17"/>
        <v>0.11112000000000001</v>
      </c>
      <c r="L63" s="7">
        <f t="shared" si="18"/>
        <v>1.1111200000000001</v>
      </c>
      <c r="O63">
        <f t="shared" si="19"/>
        <v>2012</v>
      </c>
      <c r="P63" s="6">
        <f t="shared" si="5"/>
        <v>0.62542299661602707</v>
      </c>
      <c r="Q63" s="7"/>
      <c r="R63" s="6">
        <f t="shared" si="5"/>
        <v>0</v>
      </c>
      <c r="S63" s="6">
        <f t="shared" si="5"/>
        <v>0</v>
      </c>
      <c r="T63" s="7"/>
      <c r="U63" s="6">
        <f t="shared" si="5"/>
        <v>0</v>
      </c>
      <c r="V63" s="6">
        <f t="shared" si="7"/>
        <v>0.37457700338397293</v>
      </c>
      <c r="W63" s="6">
        <f t="shared" si="20"/>
        <v>1</v>
      </c>
      <c r="X63" s="7">
        <f t="shared" si="21"/>
        <v>0.62542299661602707</v>
      </c>
      <c r="Y63" s="7">
        <f t="shared" si="22"/>
        <v>0</v>
      </c>
      <c r="Z63" s="6"/>
      <c r="AB63">
        <f t="shared" si="23"/>
        <v>2012</v>
      </c>
      <c r="AC63" s="1" t="b">
        <f t="shared" si="24"/>
        <v>0</v>
      </c>
      <c r="AE63" s="1" t="b">
        <f t="shared" si="35"/>
        <v>0</v>
      </c>
      <c r="AF63" s="1" t="b">
        <f t="shared" si="36"/>
        <v>0</v>
      </c>
      <c r="AH63" s="1" t="b">
        <f t="shared" si="31"/>
        <v>0</v>
      </c>
      <c r="AI63" s="1" t="b">
        <f t="shared" si="26"/>
        <v>0</v>
      </c>
      <c r="AJ63" s="1" t="b">
        <f t="shared" si="27"/>
        <v>1</v>
      </c>
      <c r="AL63">
        <f t="shared" si="28"/>
        <v>2012</v>
      </c>
      <c r="AM63" s="2">
        <f t="shared" si="37"/>
        <v>453443.0311641632</v>
      </c>
      <c r="AN63" s="2"/>
      <c r="AO63" s="2">
        <f t="shared" si="33"/>
        <v>0</v>
      </c>
      <c r="AP63" s="2">
        <f t="shared" si="33"/>
        <v>0</v>
      </c>
      <c r="AQ63" s="2"/>
      <c r="AR63" s="2">
        <f t="shared" si="38"/>
        <v>0</v>
      </c>
      <c r="AS63" s="2">
        <f t="shared" si="38"/>
        <v>302295.35410944215</v>
      </c>
      <c r="AT63" s="2">
        <f t="shared" si="29"/>
        <v>755738.38527360535</v>
      </c>
      <c r="AU63" s="2">
        <f t="shared" si="30"/>
        <v>0</v>
      </c>
    </row>
    <row r="64" spans="1:47" x14ac:dyDescent="0.2">
      <c r="A64">
        <f t="shared" si="4"/>
        <v>2013</v>
      </c>
      <c r="B64" s="2">
        <f t="shared" si="39"/>
        <v>599360.99859279091</v>
      </c>
      <c r="C64" s="2"/>
      <c r="D64" s="2">
        <f t="shared" si="34"/>
        <v>0</v>
      </c>
      <c r="E64" s="2">
        <f t="shared" si="34"/>
        <v>0</v>
      </c>
      <c r="F64" s="2"/>
      <c r="G64" s="2">
        <f t="shared" si="32"/>
        <v>0</v>
      </c>
      <c r="H64" s="2">
        <f t="shared" si="14"/>
        <v>295463.47910656879</v>
      </c>
      <c r="I64" s="2">
        <f t="shared" si="15"/>
        <v>894824.47769935965</v>
      </c>
      <c r="J64" s="2">
        <f t="shared" si="16"/>
        <v>139086.09242575429</v>
      </c>
      <c r="K64" s="6">
        <f t="shared" si="17"/>
        <v>0.18403999999999995</v>
      </c>
      <c r="L64" s="7">
        <f t="shared" si="18"/>
        <v>1.18404</v>
      </c>
      <c r="O64">
        <f t="shared" si="19"/>
        <v>2013</v>
      </c>
      <c r="P64" s="6">
        <f t="shared" si="5"/>
        <v>0.66980845241714804</v>
      </c>
      <c r="Q64" s="7"/>
      <c r="R64" s="6">
        <f t="shared" si="5"/>
        <v>0</v>
      </c>
      <c r="S64" s="6">
        <f t="shared" si="5"/>
        <v>0</v>
      </c>
      <c r="T64" s="7"/>
      <c r="U64" s="6">
        <f t="shared" si="5"/>
        <v>0</v>
      </c>
      <c r="V64" s="6">
        <f t="shared" si="7"/>
        <v>0.33019154758285196</v>
      </c>
      <c r="W64" s="6">
        <f t="shared" si="20"/>
        <v>1</v>
      </c>
      <c r="X64" s="7">
        <f t="shared" si="21"/>
        <v>0.66980845241714804</v>
      </c>
      <c r="Y64" s="7">
        <f t="shared" si="22"/>
        <v>0</v>
      </c>
      <c r="Z64" s="6"/>
      <c r="AB64">
        <f t="shared" si="23"/>
        <v>2013</v>
      </c>
      <c r="AC64" s="1" t="b">
        <f t="shared" si="24"/>
        <v>0</v>
      </c>
      <c r="AE64" s="1" t="b">
        <f t="shared" si="35"/>
        <v>0</v>
      </c>
      <c r="AF64" s="1" t="b">
        <f t="shared" si="36"/>
        <v>0</v>
      </c>
      <c r="AH64" s="1" t="b">
        <f t="shared" si="31"/>
        <v>0</v>
      </c>
      <c r="AI64" s="1" t="b">
        <f t="shared" si="26"/>
        <v>1</v>
      </c>
      <c r="AJ64" s="1" t="b">
        <f t="shared" si="27"/>
        <v>1</v>
      </c>
      <c r="AL64">
        <f t="shared" si="28"/>
        <v>2013</v>
      </c>
      <c r="AM64" s="2">
        <f t="shared" si="37"/>
        <v>536894.68661961576</v>
      </c>
      <c r="AN64" s="2"/>
      <c r="AO64" s="2">
        <f t="shared" si="33"/>
        <v>0</v>
      </c>
      <c r="AP64" s="2">
        <f t="shared" si="33"/>
        <v>0</v>
      </c>
      <c r="AQ64" s="2"/>
      <c r="AR64" s="2">
        <f t="shared" si="38"/>
        <v>0</v>
      </c>
      <c r="AS64" s="2">
        <f t="shared" si="38"/>
        <v>357929.79107974388</v>
      </c>
      <c r="AT64" s="2">
        <f t="shared" si="29"/>
        <v>894824.47769935965</v>
      </c>
      <c r="AU64" s="2">
        <f t="shared" si="30"/>
        <v>0</v>
      </c>
    </row>
    <row r="65" spans="1:45" x14ac:dyDescent="0.2">
      <c r="A65" s="9" t="s">
        <v>78</v>
      </c>
      <c r="B65" s="10">
        <f>B64</f>
        <v>599360.99859279091</v>
      </c>
      <c r="C65" s="10"/>
      <c r="D65" s="10">
        <f>D64</f>
        <v>0</v>
      </c>
      <c r="E65" s="10">
        <f>E64</f>
        <v>0</v>
      </c>
      <c r="F65" s="10"/>
      <c r="G65" s="10">
        <f>G64</f>
        <v>0</v>
      </c>
      <c r="H65" s="10">
        <f>H64</f>
        <v>295463.47910656879</v>
      </c>
      <c r="I65" s="10">
        <f>SUM(B65:H65)</f>
        <v>894824.47769935965</v>
      </c>
      <c r="J65" s="10"/>
      <c r="K65" s="10"/>
      <c r="AM65" s="22" t="e">
        <f>#REF!/#REF!</f>
        <v>#REF!</v>
      </c>
      <c r="AO65" s="22"/>
      <c r="AP65" s="22"/>
      <c r="AR65" s="22"/>
      <c r="AS65" s="22" t="e">
        <f>#REF!/#REF!</f>
        <v>#REF!</v>
      </c>
    </row>
    <row r="66" spans="1:45" x14ac:dyDescent="0.2">
      <c r="A66" s="11" t="s">
        <v>79</v>
      </c>
      <c r="I66" s="6">
        <f>(I65-I39)/I39</f>
        <v>7.9482447769935964</v>
      </c>
      <c r="K66" s="6"/>
      <c r="R66" s="7"/>
      <c r="AO66" s="2"/>
    </row>
    <row r="67" spans="1:45" x14ac:dyDescent="0.2">
      <c r="A67" s="1" t="s">
        <v>80</v>
      </c>
      <c r="I67" s="29">
        <f>STDEV(L40:L64)</f>
        <v>0.11629487241777767</v>
      </c>
      <c r="K67" s="30"/>
    </row>
    <row r="68" spans="1:45" x14ac:dyDescent="0.2">
      <c r="A68" s="1" t="s">
        <v>81</v>
      </c>
      <c r="I68" s="13">
        <f>((1+I66)^(1/I73))-1</f>
        <v>9.1615049008322735E-2</v>
      </c>
      <c r="K68" s="30"/>
    </row>
    <row r="69" spans="1:45" x14ac:dyDescent="0.2">
      <c r="A69" s="1" t="s">
        <v>82</v>
      </c>
      <c r="I69" s="31">
        <f>J60</f>
        <v>90400.730861808057</v>
      </c>
    </row>
    <row r="70" spans="1:45" x14ac:dyDescent="0.2">
      <c r="A70" s="1" t="s">
        <v>83</v>
      </c>
      <c r="I70" s="32">
        <f>K60</f>
        <v>0.18265999999999991</v>
      </c>
    </row>
    <row r="71" spans="1:45" x14ac:dyDescent="0.2">
      <c r="A71" s="3" t="s">
        <v>84</v>
      </c>
      <c r="I71" s="33">
        <f>I64-I65</f>
        <v>0</v>
      </c>
    </row>
    <row r="72" spans="1:45" x14ac:dyDescent="0.2">
      <c r="A72" s="3" t="s">
        <v>148</v>
      </c>
      <c r="I72" s="33">
        <f>((SUM(J40:J64))-(I65-I39))</f>
        <v>0</v>
      </c>
    </row>
    <row r="73" spans="1:45" x14ac:dyDescent="0.2">
      <c r="A73" s="3" t="s">
        <v>159</v>
      </c>
      <c r="I73" s="3">
        <f>COUNTA(I40:I64)</f>
        <v>25</v>
      </c>
    </row>
    <row r="74" spans="1:45" x14ac:dyDescent="0.2">
      <c r="A74" s="1" t="s">
        <v>105</v>
      </c>
      <c r="B74" s="63"/>
      <c r="C74" s="63"/>
      <c r="D74" s="63"/>
      <c r="E74" s="63"/>
      <c r="G74" s="63"/>
      <c r="H74" s="63"/>
      <c r="I74" s="83">
        <f>(SUM(B62:G62)/I62)</f>
        <v>0.58712550141066733</v>
      </c>
    </row>
    <row r="75" spans="1:45" x14ac:dyDescent="0.2">
      <c r="A75" s="1" t="s">
        <v>106</v>
      </c>
      <c r="B75" s="63"/>
      <c r="C75" s="63"/>
      <c r="D75" s="63"/>
      <c r="E75" s="63"/>
      <c r="G75" s="63"/>
      <c r="H75" s="63"/>
      <c r="I75" s="83">
        <f>(H62/I62)</f>
        <v>0.41287449858933262</v>
      </c>
    </row>
    <row r="76" spans="1:45" x14ac:dyDescent="0.2">
      <c r="A76" s="3" t="s">
        <v>107</v>
      </c>
      <c r="I76" s="3">
        <f>100%-(I74+I75)</f>
        <v>0</v>
      </c>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3D03-2ACB-46FA-A8F7-9F7E3A635FAB}">
  <dimension ref="A1:Y76"/>
  <sheetViews>
    <sheetView topLeftCell="A56" workbookViewId="0">
      <selection activeCell="A74" sqref="A74:I76"/>
    </sheetView>
  </sheetViews>
  <sheetFormatPr baseColWidth="10" defaultColWidth="8.83203125" defaultRowHeight="15" x14ac:dyDescent="0.2"/>
  <cols>
    <col min="1" max="1" width="25.5" customWidth="1"/>
    <col min="2" max="2" width="11" customWidth="1"/>
    <col min="3" max="4" width="9.33203125" bestFit="1" customWidth="1"/>
    <col min="5" max="5" width="9.5" bestFit="1" customWidth="1"/>
    <col min="7" max="7" width="9.83203125" bestFit="1" customWidth="1"/>
    <col min="8" max="8" width="9.33203125" bestFit="1" customWidth="1"/>
    <col min="9" max="9" width="11.6640625" customWidth="1"/>
    <col min="10" max="10" width="10" bestFit="1" customWidth="1"/>
  </cols>
  <sheetData>
    <row r="1" spans="1:8" x14ac:dyDescent="0.2">
      <c r="A1" s="20" t="s">
        <v>49</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
      <c r="A4" s="17">
        <f>'Non-Rebalanced Portfolio'!A4</f>
        <v>1989</v>
      </c>
      <c r="B4" s="17">
        <f>'Non-Rebalanced Portfolio'!B4</f>
        <v>31.36</v>
      </c>
      <c r="C4" s="17">
        <f>'Non-Rebalanced Portfolio'!C4</f>
        <v>24.096</v>
      </c>
      <c r="D4" s="17"/>
      <c r="E4" s="17"/>
      <c r="F4" s="17">
        <f>'Non-Rebalanced Portfolio'!F4</f>
        <v>25.971</v>
      </c>
      <c r="G4" s="17"/>
      <c r="H4" s="17">
        <f>'Non-Rebalanced Portfolio'!H4</f>
        <v>13.64</v>
      </c>
    </row>
    <row r="5" spans="1:8" x14ac:dyDescent="0.2">
      <c r="A5" s="17">
        <f>'Non-Rebalanced Portfolio'!A5</f>
        <v>1990</v>
      </c>
      <c r="B5" s="17">
        <f>'Non-Rebalanced Portfolio'!B5</f>
        <v>-3.32</v>
      </c>
      <c r="C5" s="17">
        <f>'Non-Rebalanced Portfolio'!C5</f>
        <v>-14.045</v>
      </c>
      <c r="D5" s="17"/>
      <c r="E5" s="17"/>
      <c r="F5" s="17">
        <f>'Non-Rebalanced Portfolio'!F5</f>
        <v>-12.26</v>
      </c>
      <c r="G5" s="17"/>
      <c r="H5" s="17">
        <f>'Non-Rebalanced Portfolio'!H5</f>
        <v>8.65</v>
      </c>
    </row>
    <row r="6" spans="1:8" x14ac:dyDescent="0.2">
      <c r="A6" s="17">
        <f>'Non-Rebalanced Portfolio'!A6</f>
        <v>1991</v>
      </c>
      <c r="B6" s="17">
        <f>'Non-Rebalanced Portfolio'!B6</f>
        <v>30.22</v>
      </c>
      <c r="C6" s="17">
        <f>'Non-Rebalanced Portfolio'!C6</f>
        <v>41.85</v>
      </c>
      <c r="D6" s="17"/>
      <c r="E6" s="17"/>
      <c r="F6" s="17">
        <f>'Non-Rebalanced Portfolio'!F6</f>
        <v>9.9559999999999995</v>
      </c>
      <c r="G6" s="17"/>
      <c r="H6" s="17">
        <f>'Non-Rebalanced Portfolio'!H6</f>
        <v>15.25</v>
      </c>
    </row>
    <row r="7" spans="1:8" x14ac:dyDescent="0.2">
      <c r="A7" s="17">
        <f>'Non-Rebalanced Portfolio'!A7</f>
        <v>1992</v>
      </c>
      <c r="B7" s="17">
        <f>'Non-Rebalanced Portfolio'!B7</f>
        <v>7.42</v>
      </c>
      <c r="C7" s="17">
        <f>'Non-Rebalanced Portfolio'!C7</f>
        <v>12.465999999999999</v>
      </c>
      <c r="D7" s="17"/>
      <c r="E7" s="17"/>
      <c r="F7" s="17">
        <f>'Non-Rebalanced Portfolio'!F7</f>
        <v>-8.7210000000000001</v>
      </c>
      <c r="G7" s="17"/>
      <c r="H7" s="17">
        <f>'Non-Rebalanced Portfolio'!H7</f>
        <v>7.14</v>
      </c>
    </row>
    <row r="8" spans="1:8" x14ac:dyDescent="0.2">
      <c r="A8" s="17">
        <f>'Non-Rebalanced Portfolio'!A8</f>
        <v>1993</v>
      </c>
      <c r="B8" s="17">
        <f>'Non-Rebalanced Portfolio'!B8</f>
        <v>9.89</v>
      </c>
      <c r="C8" s="17">
        <f>'Non-Rebalanced Portfolio'!C8</f>
        <v>14.49</v>
      </c>
      <c r="D8" s="17"/>
      <c r="E8" s="17"/>
      <c r="F8" s="17">
        <f>'Non-Rebalanced Portfolio'!F8</f>
        <v>30.494</v>
      </c>
      <c r="G8" s="17"/>
      <c r="H8" s="17">
        <f>'Non-Rebalanced Portfolio'!H8</f>
        <v>9.68</v>
      </c>
    </row>
    <row r="9" spans="1:8" x14ac:dyDescent="0.2">
      <c r="A9" s="17">
        <f>'Non-Rebalanced Portfolio'!A9</f>
        <v>1994</v>
      </c>
      <c r="B9" s="17">
        <f>'Non-Rebalanced Portfolio'!B9</f>
        <v>1.18</v>
      </c>
      <c r="C9" s="17">
        <f>'Non-Rebalanced Portfolio'!C9</f>
        <v>-1.764</v>
      </c>
      <c r="D9" s="17"/>
      <c r="E9" s="17"/>
      <c r="F9" s="17">
        <f>'Non-Rebalanced Portfolio'!F9</f>
        <v>5.2549999999999999</v>
      </c>
      <c r="G9" s="17"/>
      <c r="H9" s="17">
        <f>'Non-Rebalanced Portfolio'!H9</f>
        <v>-2.66</v>
      </c>
    </row>
    <row r="10" spans="1:8" x14ac:dyDescent="0.2">
      <c r="A10" s="17">
        <f>'Non-Rebalanced Portfolio'!A10</f>
        <v>1995</v>
      </c>
      <c r="B10" s="17">
        <f>'Non-Rebalanced Portfolio'!B10</f>
        <v>37.450000000000003</v>
      </c>
      <c r="C10" s="17">
        <f>'Non-Rebalanced Portfolio'!C10</f>
        <v>33.796999999999997</v>
      </c>
      <c r="D10" s="17"/>
      <c r="E10" s="17"/>
      <c r="F10" s="17">
        <f>'Non-Rebalanced Portfolio'!F10</f>
        <v>9.6460000000000008</v>
      </c>
      <c r="G10" s="17"/>
      <c r="H10" s="17">
        <f>'Non-Rebalanced Portfolio'!H10</f>
        <v>18.18</v>
      </c>
    </row>
    <row r="11" spans="1:8" x14ac:dyDescent="0.2">
      <c r="A11" s="17">
        <f>'Non-Rebalanced Portfolio'!A11</f>
        <v>1996</v>
      </c>
      <c r="B11" s="17">
        <f>'Non-Rebalanced Portfolio'!B11</f>
        <v>22.88</v>
      </c>
      <c r="C11" s="17">
        <f>'Non-Rebalanced Portfolio'!C11</f>
        <v>17.646999999999998</v>
      </c>
      <c r="D11" s="17"/>
      <c r="E11" s="17"/>
      <c r="F11" s="17">
        <f>'Non-Rebalanced Portfolio'!F11</f>
        <v>10.218999999999999</v>
      </c>
      <c r="G11" s="17"/>
      <c r="H11" s="17">
        <f>'Non-Rebalanced Portfolio'!H11</f>
        <v>3.58</v>
      </c>
    </row>
    <row r="12" spans="1:8" x14ac:dyDescent="0.2">
      <c r="A12" s="17">
        <f>'Non-Rebalanced Portfolio'!A12</f>
        <v>1997</v>
      </c>
      <c r="B12" s="17">
        <f>'Non-Rebalanced Portfolio'!B12</f>
        <v>33.19</v>
      </c>
      <c r="C12" s="17">
        <f>'Non-Rebalanced Portfolio'!C12</f>
        <v>26.687000000000001</v>
      </c>
      <c r="D12" s="17"/>
      <c r="E12" s="17"/>
      <c r="F12" s="17">
        <f>'Non-Rebalanced Portfolio'!F12</f>
        <v>0</v>
      </c>
      <c r="G12" s="18">
        <f>'Non-Rebalanced Portfolio'!G12</f>
        <v>-0.77500000000000002</v>
      </c>
      <c r="H12" s="17">
        <f>'Non-Rebalanced Portfolio'!H12</f>
        <v>9.44</v>
      </c>
    </row>
    <row r="13" spans="1:8" x14ac:dyDescent="0.2">
      <c r="A13" s="17">
        <f>'Non-Rebalanced Portfolio'!A13</f>
        <v>1998</v>
      </c>
      <c r="B13" s="17">
        <f>'Non-Rebalanced Portfolio'!B13</f>
        <v>28.66</v>
      </c>
      <c r="C13" s="17">
        <f>'Non-Rebalanced Portfolio'!C13</f>
        <v>8.3529999999999998</v>
      </c>
      <c r="D13" s="17"/>
      <c r="E13" s="17"/>
      <c r="F13" s="17"/>
      <c r="G13" s="18">
        <f>'Non-Rebalanced Portfolio'!G13</f>
        <v>15.603</v>
      </c>
      <c r="H13" s="17">
        <f>'Non-Rebalanced Portfolio'!H13</f>
        <v>8.58</v>
      </c>
    </row>
    <row r="14" spans="1:8" x14ac:dyDescent="0.2">
      <c r="A14" s="17">
        <f>'Non-Rebalanced Portfolio'!A14</f>
        <v>1999</v>
      </c>
      <c r="B14" s="17">
        <f>'Non-Rebalanced Portfolio'!B14</f>
        <v>21.07</v>
      </c>
      <c r="C14" s="17">
        <f>'Non-Rebalanced Portfolio'!C14</f>
        <v>0</v>
      </c>
      <c r="D14" s="18">
        <f>'Non-Rebalanced Portfolio'!D14</f>
        <v>15.319000000000001</v>
      </c>
      <c r="E14" s="18">
        <f>'Non-Rebalanced Portfolio'!E14</f>
        <v>23.132999999999999</v>
      </c>
      <c r="F14" s="17"/>
      <c r="G14" s="17">
        <f>'Non-Rebalanced Portfolio'!G14</f>
        <v>29.919</v>
      </c>
      <c r="H14" s="17">
        <f>'Non-Rebalanced Portfolio'!H14</f>
        <v>-0.76</v>
      </c>
    </row>
    <row r="15" spans="1:8" x14ac:dyDescent="0.2">
      <c r="A15" s="17">
        <f>'Non-Rebalanced Portfolio'!A15</f>
        <v>2000</v>
      </c>
      <c r="B15" s="17">
        <f>'Non-Rebalanced Portfolio'!B15</f>
        <v>-9.06</v>
      </c>
      <c r="C15" s="17"/>
      <c r="D15" s="18">
        <f>'Non-Rebalanced Portfolio'!D15</f>
        <v>18.097999999999999</v>
      </c>
      <c r="E15" s="18">
        <f>'Non-Rebalanced Portfolio'!E15</f>
        <v>-2.665</v>
      </c>
      <c r="F15" s="17"/>
      <c r="G15" s="17">
        <f>'Non-Rebalanced Portfolio'!G15</f>
        <v>-15.614000000000001</v>
      </c>
      <c r="H15" s="17">
        <f>'Non-Rebalanced Portfolio'!H15</f>
        <v>11.39</v>
      </c>
    </row>
    <row r="16" spans="1:8" x14ac:dyDescent="0.2">
      <c r="A16" s="17">
        <f>'Non-Rebalanced Portfolio'!A16</f>
        <v>2001</v>
      </c>
      <c r="B16" s="17">
        <f>'Non-Rebalanced Portfolio'!B16</f>
        <v>-12.02</v>
      </c>
      <c r="C16" s="17"/>
      <c r="D16" s="17">
        <f>'Non-Rebalanced Portfolio'!D16</f>
        <v>-0.499</v>
      </c>
      <c r="E16" s="17">
        <f>'Non-Rebalanced Portfolio'!E16</f>
        <v>3.1</v>
      </c>
      <c r="F16" s="17"/>
      <c r="G16" s="17">
        <f>'Non-Rebalanced Portfolio'!G16</f>
        <v>-20.152999999999999</v>
      </c>
      <c r="H16" s="17">
        <f>'Non-Rebalanced Portfolio'!H16</f>
        <v>8.43</v>
      </c>
    </row>
    <row r="17" spans="1:8" x14ac:dyDescent="0.2">
      <c r="A17" s="17">
        <f>'Non-Rebalanced Portfolio'!A17</f>
        <v>2002</v>
      </c>
      <c r="B17" s="17">
        <f>'Non-Rebalanced Portfolio'!B17</f>
        <v>-22.15</v>
      </c>
      <c r="C17" s="17"/>
      <c r="D17" s="17">
        <f>'Non-Rebalanced Portfolio'!D17</f>
        <v>-14.608000000000001</v>
      </c>
      <c r="E17" s="17">
        <f>'Non-Rebalanced Portfolio'!E17</f>
        <v>-20.021999999999998</v>
      </c>
      <c r="F17" s="17"/>
      <c r="G17" s="17">
        <f>'Non-Rebalanced Portfolio'!G17</f>
        <v>-15.083</v>
      </c>
      <c r="H17" s="17">
        <f>'Non-Rebalanced Portfolio'!H17</f>
        <v>8.26</v>
      </c>
    </row>
    <row r="18" spans="1:8" x14ac:dyDescent="0.2">
      <c r="A18" s="17">
        <f>'Non-Rebalanced Portfolio'!A18</f>
        <v>2003</v>
      </c>
      <c r="B18" s="17">
        <f>'Non-Rebalanced Portfolio'!B18</f>
        <v>28.5</v>
      </c>
      <c r="C18" s="17"/>
      <c r="D18" s="17">
        <f>'Non-Rebalanced Portfolio'!D18</f>
        <v>34.142000000000003</v>
      </c>
      <c r="E18" s="17">
        <f>'Non-Rebalanced Portfolio'!E18</f>
        <v>45.628</v>
      </c>
      <c r="F18" s="17"/>
      <c r="G18" s="17">
        <f>'Non-Rebalanced Portfolio'!G18</f>
        <v>40.340000000000003</v>
      </c>
      <c r="H18" s="17">
        <f>'Non-Rebalanced Portfolio'!H18</f>
        <v>3.97</v>
      </c>
    </row>
    <row r="19" spans="1:8" x14ac:dyDescent="0.2">
      <c r="A19" s="17">
        <f>'Non-Rebalanced Portfolio'!A19</f>
        <v>2004</v>
      </c>
      <c r="B19" s="17">
        <f>'Non-Rebalanced Portfolio'!B19</f>
        <v>10.74</v>
      </c>
      <c r="C19" s="17"/>
      <c r="D19" s="17">
        <f>'Non-Rebalanced Portfolio'!D19</f>
        <v>20.353000000000002</v>
      </c>
      <c r="E19" s="17">
        <f>'Non-Rebalanced Portfolio'!E19</f>
        <v>19.896999999999998</v>
      </c>
      <c r="F19" s="17"/>
      <c r="G19" s="17">
        <f>'Non-Rebalanced Portfolio'!G19</f>
        <v>20.837</v>
      </c>
      <c r="H19" s="17">
        <f>'Non-Rebalanced Portfolio'!H19</f>
        <v>4.24</v>
      </c>
    </row>
    <row r="20" spans="1:8" x14ac:dyDescent="0.2">
      <c r="A20" s="17">
        <f>'Non-Rebalanced Portfolio'!A20</f>
        <v>2005</v>
      </c>
      <c r="B20" s="17">
        <f>'Non-Rebalanced Portfolio'!B20</f>
        <v>4.7699999999999996</v>
      </c>
      <c r="C20" s="17"/>
      <c r="D20" s="17">
        <f>'Non-Rebalanced Portfolio'!D20</f>
        <v>13.930999999999999</v>
      </c>
      <c r="E20" s="17">
        <f>'Non-Rebalanced Portfolio'!E20</f>
        <v>7.3630000000000004</v>
      </c>
      <c r="F20" s="17"/>
      <c r="G20" s="17">
        <f>'Non-Rebalanced Portfolio'!G20</f>
        <v>15.571</v>
      </c>
      <c r="H20" s="17">
        <f>'Non-Rebalanced Portfolio'!H20</f>
        <v>2.4</v>
      </c>
    </row>
    <row r="21" spans="1:8" x14ac:dyDescent="0.2">
      <c r="A21" s="17">
        <f>'Non-Rebalanced Portfolio'!A21</f>
        <v>2006</v>
      </c>
      <c r="B21" s="17">
        <f>'Non-Rebalanced Portfolio'!B21</f>
        <v>15.64</v>
      </c>
      <c r="C21" s="17"/>
      <c r="D21" s="17">
        <f>'Non-Rebalanced Portfolio'!D21</f>
        <v>13.597</v>
      </c>
      <c r="E21" s="17">
        <f>'Non-Rebalanced Portfolio'!E21</f>
        <v>15.656000000000001</v>
      </c>
      <c r="F21" s="17"/>
      <c r="G21" s="17">
        <f>'Non-Rebalanced Portfolio'!G21</f>
        <v>26.637</v>
      </c>
      <c r="H21" s="17">
        <f>'Non-Rebalanced Portfolio'!H21</f>
        <v>4.2699999999999996</v>
      </c>
    </row>
    <row r="22" spans="1:8" x14ac:dyDescent="0.2">
      <c r="A22" s="17">
        <f>'Non-Rebalanced Portfolio'!A22</f>
        <v>2007</v>
      </c>
      <c r="B22" s="17">
        <f>'Non-Rebalanced Portfolio'!B22</f>
        <v>5.39</v>
      </c>
      <c r="C22" s="17"/>
      <c r="D22" s="17">
        <f>'Non-Rebalanced Portfolio'!D22</f>
        <v>6.0209999999999999</v>
      </c>
      <c r="E22" s="17">
        <f>'Non-Rebalanced Portfolio'!E22</f>
        <v>1.1559999999999999</v>
      </c>
      <c r="F22" s="17"/>
      <c r="G22" s="17">
        <f>'Non-Rebalanced Portfolio'!G22</f>
        <v>15.522</v>
      </c>
      <c r="H22" s="17">
        <f>'Non-Rebalanced Portfolio'!H22</f>
        <v>6.92</v>
      </c>
    </row>
    <row r="23" spans="1:8" x14ac:dyDescent="0.2">
      <c r="A23" s="17">
        <f>'Non-Rebalanced Portfolio'!A23</f>
        <v>2008</v>
      </c>
      <c r="B23" s="17">
        <f>'Non-Rebalanced Portfolio'!B23</f>
        <v>-37.020000000000003</v>
      </c>
      <c r="C23" s="17"/>
      <c r="D23" s="17">
        <f>'Non-Rebalanced Portfolio'!D23</f>
        <v>-41.823999999999998</v>
      </c>
      <c r="E23" s="17">
        <f>'Non-Rebalanced Portfolio'!E23</f>
        <v>-36.07</v>
      </c>
      <c r="F23" s="17"/>
      <c r="G23" s="17">
        <f>'Non-Rebalanced Portfolio'!G23</f>
        <v>-44.100999999999999</v>
      </c>
      <c r="H23" s="17">
        <f>'Non-Rebalanced Portfolio'!H23</f>
        <v>5.05</v>
      </c>
    </row>
    <row r="24" spans="1:8" x14ac:dyDescent="0.2">
      <c r="A24" s="17">
        <f>'Non-Rebalanced Portfolio'!A24</f>
        <v>2009</v>
      </c>
      <c r="B24" s="17">
        <f>'Non-Rebalanced Portfolio'!B24</f>
        <v>26.49</v>
      </c>
      <c r="C24" s="17"/>
      <c r="D24" s="17">
        <f>'Non-Rebalanced Portfolio'!D24</f>
        <v>40.218000000000004</v>
      </c>
      <c r="E24" s="17">
        <f>'Non-Rebalanced Portfolio'!E24</f>
        <v>36.118000000000002</v>
      </c>
      <c r="F24" s="17"/>
      <c r="G24" s="17">
        <f>'Non-Rebalanced Portfolio'!G24</f>
        <v>36.726999999999997</v>
      </c>
      <c r="H24" s="17">
        <f>'Non-Rebalanced Portfolio'!H24</f>
        <v>5.93</v>
      </c>
    </row>
    <row r="25" spans="1:8" x14ac:dyDescent="0.2">
      <c r="A25" s="17">
        <f>'Non-Rebalanced Portfolio'!A25</f>
        <v>2010</v>
      </c>
      <c r="B25" s="17">
        <f>'Non-Rebalanced Portfolio'!B25</f>
        <v>14.91</v>
      </c>
      <c r="C25" s="17"/>
      <c r="D25" s="17">
        <f>'Non-Rebalanced Portfolio'!D25</f>
        <v>25.46</v>
      </c>
      <c r="E25" s="17">
        <f>'Non-Rebalanced Portfolio'!E25</f>
        <v>27.72</v>
      </c>
      <c r="F25" s="17"/>
      <c r="G25" s="17">
        <f>'Non-Rebalanced Portfolio'!G25</f>
        <v>11.12</v>
      </c>
      <c r="H25" s="17">
        <f>'Non-Rebalanced Portfolio'!H25</f>
        <v>6.42</v>
      </c>
    </row>
    <row r="26" spans="1:8" x14ac:dyDescent="0.2">
      <c r="A26" s="17">
        <f>'Non-Rebalanced Portfolio'!A26</f>
        <v>2011</v>
      </c>
      <c r="B26" s="17">
        <f>'Non-Rebalanced Portfolio'!B26</f>
        <v>1.97</v>
      </c>
      <c r="C26" s="17"/>
      <c r="D26" s="17">
        <f>'Non-Rebalanced Portfolio'!D26</f>
        <v>-2.11</v>
      </c>
      <c r="E26" s="17">
        <f>'Non-Rebalanced Portfolio'!E26</f>
        <v>-2.8</v>
      </c>
      <c r="F26" s="17"/>
      <c r="G26" s="17">
        <f>'Non-Rebalanced Portfolio'!G26</f>
        <v>-14.56</v>
      </c>
      <c r="H26" s="17">
        <f>'Non-Rebalanced Portfolio'!H26</f>
        <v>7.56</v>
      </c>
    </row>
    <row r="27" spans="1:8" x14ac:dyDescent="0.2">
      <c r="A27" s="17">
        <f>'Non-Rebalanced Portfolio'!A27</f>
        <v>2012</v>
      </c>
      <c r="B27" s="17">
        <f>'Non-Rebalanced Portfolio'!B27</f>
        <v>15.82</v>
      </c>
      <c r="C27" s="17"/>
      <c r="D27" s="17">
        <f>'Non-Rebalanced Portfolio'!D27</f>
        <v>15.8</v>
      </c>
      <c r="E27" s="17">
        <f>'Non-Rebalanced Portfolio'!E27</f>
        <v>18.04</v>
      </c>
      <c r="F27" s="17"/>
      <c r="G27" s="17">
        <f>'Non-Rebalanced Portfolio'!G27</f>
        <v>18.14</v>
      </c>
      <c r="H27" s="17">
        <f>'Non-Rebalanced Portfolio'!H27</f>
        <v>4.05</v>
      </c>
    </row>
    <row r="28" spans="1:8" x14ac:dyDescent="0.2">
      <c r="A28" s="17">
        <f>'Non-Rebalanced Portfolio'!A28</f>
        <v>2013</v>
      </c>
      <c r="B28" s="17">
        <f>'Non-Rebalanced Portfolio'!B28</f>
        <v>32.18</v>
      </c>
      <c r="C28" s="19"/>
      <c r="D28" s="17">
        <f>'Non-Rebalanced Portfolio'!D28</f>
        <v>35</v>
      </c>
      <c r="E28" s="17">
        <f>'Non-Rebalanced Portfolio'!E28</f>
        <v>37.619999999999997</v>
      </c>
      <c r="F28" s="19"/>
      <c r="G28" s="17">
        <f>'Non-Rebalanced Portfolio'!G28</f>
        <v>15.04</v>
      </c>
      <c r="H28" s="17">
        <f>'Non-Rebalanced Portfolio'!H28</f>
        <v>-2.2599999999999998</v>
      </c>
    </row>
    <row r="29" spans="1:8" x14ac:dyDescent="0.2">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25"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25" x14ac:dyDescent="0.2">
      <c r="A36" s="20" t="s">
        <v>123</v>
      </c>
      <c r="O36" s="20" t="s">
        <v>130</v>
      </c>
    </row>
    <row r="37" spans="1:25"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row>
    <row r="38" spans="1:25"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row>
    <row r="39" spans="1:25" x14ac:dyDescent="0.2">
      <c r="A39" t="s">
        <v>71</v>
      </c>
      <c r="B39" s="31">
        <v>100000</v>
      </c>
      <c r="C39" s="31">
        <v>0</v>
      </c>
      <c r="F39" s="31">
        <v>0</v>
      </c>
      <c r="H39" s="31">
        <v>0</v>
      </c>
      <c r="I39" s="2">
        <f>SUM(B39:H39)</f>
        <v>100000</v>
      </c>
      <c r="O39" s="21" t="s">
        <v>86</v>
      </c>
      <c r="P39" s="22">
        <f>B39/$I39</f>
        <v>1</v>
      </c>
      <c r="Q39" s="22">
        <f>C39/$I39</f>
        <v>0</v>
      </c>
      <c r="R39" s="23">
        <v>0</v>
      </c>
      <c r="S39" s="23">
        <v>0</v>
      </c>
      <c r="T39" s="22">
        <f>F39/$I39</f>
        <v>0</v>
      </c>
      <c r="U39" s="23">
        <v>0</v>
      </c>
      <c r="V39" s="22">
        <f>H39/$I39</f>
        <v>0</v>
      </c>
      <c r="W39" s="6">
        <f>I39/$I39</f>
        <v>1</v>
      </c>
      <c r="X39" s="24"/>
    </row>
    <row r="40" spans="1:25" x14ac:dyDescent="0.2">
      <c r="A40">
        <f t="shared" ref="A40:A64" si="2">A4</f>
        <v>1989</v>
      </c>
      <c r="B40" s="2">
        <f t="shared" ref="B40:C55" si="3">B39*(1+(B4/100))</f>
        <v>131360</v>
      </c>
      <c r="C40" s="2">
        <f t="shared" si="3"/>
        <v>0</v>
      </c>
      <c r="D40" s="2"/>
      <c r="E40" s="2"/>
      <c r="F40" s="2">
        <f t="shared" ref="F40:F48" si="4">F39*(1+(F4/100))</f>
        <v>0</v>
      </c>
      <c r="G40" s="2"/>
      <c r="H40" s="2">
        <f t="shared" ref="H40:H64" si="5">H39*(1+(H4/100))</f>
        <v>0</v>
      </c>
      <c r="I40" s="2">
        <f>SUM(B40:H40)</f>
        <v>131360</v>
      </c>
      <c r="J40" s="2">
        <f>I40-I39</f>
        <v>31360</v>
      </c>
      <c r="K40" s="6">
        <f>(J40/I39)</f>
        <v>0.31359999999999999</v>
      </c>
      <c r="L40" s="7">
        <f>K40+1</f>
        <v>1.3136000000000001</v>
      </c>
      <c r="O40">
        <f>A40</f>
        <v>1989</v>
      </c>
      <c r="P40" s="6">
        <f t="shared" ref="P40:U64" si="6">B40/$I40</f>
        <v>1</v>
      </c>
      <c r="Q40" s="6">
        <f t="shared" si="6"/>
        <v>0</v>
      </c>
      <c r="R40" s="7"/>
      <c r="S40" s="7"/>
      <c r="T40" s="6">
        <f t="shared" ref="T40:T48" si="7">F40/$I40</f>
        <v>0</v>
      </c>
      <c r="U40" s="7"/>
      <c r="V40" s="6">
        <f t="shared" ref="V40:V64" si="8">H40/$I40</f>
        <v>0</v>
      </c>
      <c r="W40" s="6">
        <f>SUM(P40:V40)</f>
        <v>1</v>
      </c>
      <c r="X40" s="7">
        <f>SUM(P40:U40)</f>
        <v>1</v>
      </c>
      <c r="Y40" s="7">
        <f>W40-(X40+V40)</f>
        <v>0</v>
      </c>
    </row>
    <row r="41" spans="1:25" x14ac:dyDescent="0.2">
      <c r="A41">
        <f t="shared" si="2"/>
        <v>1990</v>
      </c>
      <c r="B41" s="2">
        <f t="shared" si="3"/>
        <v>126998.848</v>
      </c>
      <c r="C41" s="2">
        <f t="shared" si="3"/>
        <v>0</v>
      </c>
      <c r="D41" s="2"/>
      <c r="E41" s="2"/>
      <c r="F41" s="2">
        <f t="shared" si="4"/>
        <v>0</v>
      </c>
      <c r="G41" s="2"/>
      <c r="H41" s="2">
        <f t="shared" si="5"/>
        <v>0</v>
      </c>
      <c r="I41" s="2">
        <f t="shared" ref="I41:I48" si="9">SUM(B41:H41)</f>
        <v>126998.848</v>
      </c>
      <c r="J41" s="2">
        <f t="shared" ref="J41:J64" si="10">I41-I40</f>
        <v>-4361.1520000000019</v>
      </c>
      <c r="K41" s="6">
        <f t="shared" ref="K41:K64" si="11">(J41/I40)</f>
        <v>-3.3200000000000014E-2</v>
      </c>
      <c r="L41" s="7">
        <f t="shared" ref="L41:L64" si="12">K41+1</f>
        <v>0.96679999999999999</v>
      </c>
      <c r="O41">
        <f t="shared" ref="O41:O64" si="13">A41</f>
        <v>1990</v>
      </c>
      <c r="P41" s="6">
        <f t="shared" si="6"/>
        <v>1</v>
      </c>
      <c r="Q41" s="6">
        <f t="shared" si="6"/>
        <v>0</v>
      </c>
      <c r="R41" s="7"/>
      <c r="S41" s="7"/>
      <c r="T41" s="6">
        <f t="shared" si="7"/>
        <v>0</v>
      </c>
      <c r="U41" s="7"/>
      <c r="V41" s="6">
        <f t="shared" si="8"/>
        <v>0</v>
      </c>
      <c r="W41" s="6">
        <f t="shared" ref="W41:W64" si="14">SUM(P41:V41)</f>
        <v>1</v>
      </c>
      <c r="X41" s="7">
        <f t="shared" ref="X41:X64" si="15">SUM(P41:U41)</f>
        <v>1</v>
      </c>
      <c r="Y41" s="7">
        <f t="shared" ref="Y41:Y64" si="16">W41-(X41+V41)</f>
        <v>0</v>
      </c>
    </row>
    <row r="42" spans="1:25" x14ac:dyDescent="0.2">
      <c r="A42">
        <f t="shared" si="2"/>
        <v>1991</v>
      </c>
      <c r="B42" s="2">
        <f t="shared" si="3"/>
        <v>165377.89986559999</v>
      </c>
      <c r="C42" s="2">
        <f t="shared" si="3"/>
        <v>0</v>
      </c>
      <c r="D42" s="2"/>
      <c r="E42" s="2"/>
      <c r="F42" s="2">
        <f t="shared" si="4"/>
        <v>0</v>
      </c>
      <c r="G42" s="2"/>
      <c r="H42" s="2">
        <f t="shared" si="5"/>
        <v>0</v>
      </c>
      <c r="I42" s="2">
        <f t="shared" si="9"/>
        <v>165377.89986559999</v>
      </c>
      <c r="J42" s="2">
        <f t="shared" si="10"/>
        <v>38379.051865599991</v>
      </c>
      <c r="K42" s="6">
        <f t="shared" si="11"/>
        <v>0.30219999999999991</v>
      </c>
      <c r="L42" s="7">
        <f t="shared" si="12"/>
        <v>1.3022</v>
      </c>
      <c r="O42">
        <f t="shared" si="13"/>
        <v>1991</v>
      </c>
      <c r="P42" s="6">
        <f t="shared" si="6"/>
        <v>1</v>
      </c>
      <c r="Q42" s="6">
        <f t="shared" si="6"/>
        <v>0</v>
      </c>
      <c r="R42" s="7"/>
      <c r="S42" s="7"/>
      <c r="T42" s="6">
        <f t="shared" si="7"/>
        <v>0</v>
      </c>
      <c r="U42" s="7"/>
      <c r="V42" s="6">
        <f t="shared" si="8"/>
        <v>0</v>
      </c>
      <c r="W42" s="6">
        <f t="shared" si="14"/>
        <v>1</v>
      </c>
      <c r="X42" s="7">
        <f t="shared" si="15"/>
        <v>1</v>
      </c>
      <c r="Y42" s="7">
        <f t="shared" si="16"/>
        <v>0</v>
      </c>
    </row>
    <row r="43" spans="1:25" x14ac:dyDescent="0.2">
      <c r="A43">
        <f t="shared" si="2"/>
        <v>1992</v>
      </c>
      <c r="B43" s="2">
        <f t="shared" si="3"/>
        <v>177648.94003562751</v>
      </c>
      <c r="C43" s="2">
        <f t="shared" si="3"/>
        <v>0</v>
      </c>
      <c r="D43" s="2"/>
      <c r="E43" s="2"/>
      <c r="F43" s="2">
        <f t="shared" si="4"/>
        <v>0</v>
      </c>
      <c r="G43" s="2"/>
      <c r="H43" s="2">
        <f t="shared" si="5"/>
        <v>0</v>
      </c>
      <c r="I43" s="2">
        <f t="shared" si="9"/>
        <v>177648.94003562751</v>
      </c>
      <c r="J43" s="2">
        <f t="shared" si="10"/>
        <v>12271.040170027525</v>
      </c>
      <c r="K43" s="6">
        <f t="shared" si="11"/>
        <v>7.420000000000003E-2</v>
      </c>
      <c r="L43" s="7">
        <f t="shared" si="12"/>
        <v>1.0742</v>
      </c>
      <c r="O43">
        <f t="shared" si="13"/>
        <v>1992</v>
      </c>
      <c r="P43" s="6">
        <f t="shared" si="6"/>
        <v>1</v>
      </c>
      <c r="Q43" s="6">
        <f t="shared" si="6"/>
        <v>0</v>
      </c>
      <c r="R43" s="7"/>
      <c r="S43" s="7"/>
      <c r="T43" s="6">
        <f t="shared" si="7"/>
        <v>0</v>
      </c>
      <c r="U43" s="7"/>
      <c r="V43" s="6">
        <f t="shared" si="8"/>
        <v>0</v>
      </c>
      <c r="W43" s="6">
        <f t="shared" si="14"/>
        <v>1</v>
      </c>
      <c r="X43" s="7">
        <f t="shared" si="15"/>
        <v>1</v>
      </c>
      <c r="Y43" s="7">
        <f t="shared" si="16"/>
        <v>0</v>
      </c>
    </row>
    <row r="44" spans="1:25" x14ac:dyDescent="0.2">
      <c r="A44">
        <f t="shared" si="2"/>
        <v>1993</v>
      </c>
      <c r="B44" s="2">
        <f t="shared" si="3"/>
        <v>195218.42020515108</v>
      </c>
      <c r="C44" s="2">
        <f t="shared" si="3"/>
        <v>0</v>
      </c>
      <c r="D44" s="2"/>
      <c r="E44" s="2"/>
      <c r="F44" s="2">
        <f t="shared" si="4"/>
        <v>0</v>
      </c>
      <c r="G44" s="2"/>
      <c r="H44" s="2">
        <f t="shared" si="5"/>
        <v>0</v>
      </c>
      <c r="I44" s="2">
        <f t="shared" si="9"/>
        <v>195218.42020515108</v>
      </c>
      <c r="J44" s="2">
        <f t="shared" si="10"/>
        <v>17569.480169523566</v>
      </c>
      <c r="K44" s="6">
        <f t="shared" si="11"/>
        <v>9.890000000000003E-2</v>
      </c>
      <c r="L44" s="7">
        <f t="shared" si="12"/>
        <v>1.0989</v>
      </c>
      <c r="O44">
        <f t="shared" si="13"/>
        <v>1993</v>
      </c>
      <c r="P44" s="6">
        <f t="shared" si="6"/>
        <v>1</v>
      </c>
      <c r="Q44" s="6">
        <f t="shared" si="6"/>
        <v>0</v>
      </c>
      <c r="R44" s="7"/>
      <c r="S44" s="7"/>
      <c r="T44" s="6">
        <f t="shared" si="7"/>
        <v>0</v>
      </c>
      <c r="U44" s="7"/>
      <c r="V44" s="6">
        <f t="shared" si="8"/>
        <v>0</v>
      </c>
      <c r="W44" s="6">
        <f t="shared" si="14"/>
        <v>1</v>
      </c>
      <c r="X44" s="7">
        <f t="shared" si="15"/>
        <v>1</v>
      </c>
      <c r="Y44" s="7">
        <f t="shared" si="16"/>
        <v>0</v>
      </c>
    </row>
    <row r="45" spans="1:25" x14ac:dyDescent="0.2">
      <c r="A45">
        <f t="shared" si="2"/>
        <v>1994</v>
      </c>
      <c r="B45" s="2">
        <f t="shared" si="3"/>
        <v>197521.99756357187</v>
      </c>
      <c r="C45" s="2">
        <f t="shared" si="3"/>
        <v>0</v>
      </c>
      <c r="D45" s="2"/>
      <c r="E45" s="2"/>
      <c r="F45" s="2">
        <f t="shared" si="4"/>
        <v>0</v>
      </c>
      <c r="G45" s="2"/>
      <c r="H45" s="2">
        <f t="shared" si="5"/>
        <v>0</v>
      </c>
      <c r="I45" s="2">
        <f t="shared" si="9"/>
        <v>197521.99756357187</v>
      </c>
      <c r="J45" s="2">
        <f t="shared" si="10"/>
        <v>2303.5773584207927</v>
      </c>
      <c r="K45" s="6">
        <f t="shared" si="11"/>
        <v>1.1800000000000052E-2</v>
      </c>
      <c r="L45" s="7">
        <f t="shared" si="12"/>
        <v>1.0118</v>
      </c>
      <c r="O45">
        <f t="shared" si="13"/>
        <v>1994</v>
      </c>
      <c r="P45" s="6">
        <f t="shared" si="6"/>
        <v>1</v>
      </c>
      <c r="Q45" s="6">
        <f t="shared" si="6"/>
        <v>0</v>
      </c>
      <c r="R45" s="7"/>
      <c r="S45" s="7"/>
      <c r="T45" s="6">
        <f t="shared" si="7"/>
        <v>0</v>
      </c>
      <c r="U45" s="7"/>
      <c r="V45" s="6">
        <f t="shared" si="8"/>
        <v>0</v>
      </c>
      <c r="W45" s="6">
        <f t="shared" si="14"/>
        <v>1</v>
      </c>
      <c r="X45" s="7">
        <f t="shared" si="15"/>
        <v>1</v>
      </c>
      <c r="Y45" s="7">
        <f t="shared" si="16"/>
        <v>0</v>
      </c>
    </row>
    <row r="46" spans="1:25" x14ac:dyDescent="0.2">
      <c r="A46">
        <f t="shared" si="2"/>
        <v>1995</v>
      </c>
      <c r="B46" s="2">
        <f t="shared" si="3"/>
        <v>271493.98565112957</v>
      </c>
      <c r="C46" s="2">
        <f t="shared" si="3"/>
        <v>0</v>
      </c>
      <c r="D46" s="2"/>
      <c r="E46" s="2"/>
      <c r="F46" s="2">
        <f t="shared" si="4"/>
        <v>0</v>
      </c>
      <c r="G46" s="2"/>
      <c r="H46" s="2">
        <f t="shared" si="5"/>
        <v>0</v>
      </c>
      <c r="I46" s="2">
        <f t="shared" si="9"/>
        <v>271493.98565112957</v>
      </c>
      <c r="J46" s="2">
        <f t="shared" si="10"/>
        <v>73971.988087557693</v>
      </c>
      <c r="K46" s="6">
        <f t="shared" si="11"/>
        <v>0.37450000000000011</v>
      </c>
      <c r="L46" s="7">
        <f t="shared" si="12"/>
        <v>1.3745000000000001</v>
      </c>
      <c r="O46">
        <f t="shared" si="13"/>
        <v>1995</v>
      </c>
      <c r="P46" s="6">
        <f t="shared" si="6"/>
        <v>1</v>
      </c>
      <c r="Q46" s="6">
        <f t="shared" si="6"/>
        <v>0</v>
      </c>
      <c r="R46" s="7"/>
      <c r="S46" s="7"/>
      <c r="T46" s="6">
        <f t="shared" si="7"/>
        <v>0</v>
      </c>
      <c r="U46" s="7"/>
      <c r="V46" s="6">
        <f t="shared" si="8"/>
        <v>0</v>
      </c>
      <c r="W46" s="6">
        <f t="shared" si="14"/>
        <v>1</v>
      </c>
      <c r="X46" s="7">
        <f t="shared" si="15"/>
        <v>1</v>
      </c>
      <c r="Y46" s="7">
        <f t="shared" si="16"/>
        <v>0</v>
      </c>
    </row>
    <row r="47" spans="1:25" x14ac:dyDescent="0.2">
      <c r="A47">
        <f t="shared" si="2"/>
        <v>1996</v>
      </c>
      <c r="B47" s="2">
        <f t="shared" si="3"/>
        <v>333611.80956810806</v>
      </c>
      <c r="C47" s="2">
        <f t="shared" si="3"/>
        <v>0</v>
      </c>
      <c r="D47" s="2"/>
      <c r="E47" s="2"/>
      <c r="F47" s="2">
        <f t="shared" si="4"/>
        <v>0</v>
      </c>
      <c r="G47" s="2"/>
      <c r="H47" s="2">
        <f t="shared" si="5"/>
        <v>0</v>
      </c>
      <c r="I47" s="2">
        <f t="shared" si="9"/>
        <v>333611.80956810806</v>
      </c>
      <c r="J47" s="2">
        <f t="shared" si="10"/>
        <v>62117.823916978494</v>
      </c>
      <c r="K47" s="6">
        <f t="shared" si="11"/>
        <v>0.22880000000000017</v>
      </c>
      <c r="L47" s="7">
        <f t="shared" si="12"/>
        <v>1.2288000000000001</v>
      </c>
      <c r="O47">
        <f t="shared" si="13"/>
        <v>1996</v>
      </c>
      <c r="P47" s="6">
        <f t="shared" si="6"/>
        <v>1</v>
      </c>
      <c r="Q47" s="6">
        <f t="shared" si="6"/>
        <v>0</v>
      </c>
      <c r="R47" s="7"/>
      <c r="S47" s="7"/>
      <c r="T47" s="6">
        <f t="shared" si="7"/>
        <v>0</v>
      </c>
      <c r="U47" s="7"/>
      <c r="V47" s="6">
        <f t="shared" si="8"/>
        <v>0</v>
      </c>
      <c r="W47" s="6">
        <f t="shared" si="14"/>
        <v>1</v>
      </c>
      <c r="X47" s="7">
        <f t="shared" si="15"/>
        <v>1</v>
      </c>
      <c r="Y47" s="7">
        <f t="shared" si="16"/>
        <v>0</v>
      </c>
    </row>
    <row r="48" spans="1:25" x14ac:dyDescent="0.2">
      <c r="A48">
        <f t="shared" si="2"/>
        <v>1997</v>
      </c>
      <c r="B48" s="2">
        <f t="shared" si="3"/>
        <v>444337.56916376314</v>
      </c>
      <c r="C48" s="2">
        <f t="shared" si="3"/>
        <v>0</v>
      </c>
      <c r="D48" s="2"/>
      <c r="E48" s="2"/>
      <c r="F48" s="2">
        <f t="shared" si="4"/>
        <v>0</v>
      </c>
      <c r="G48" s="2"/>
      <c r="H48" s="2">
        <f t="shared" si="5"/>
        <v>0</v>
      </c>
      <c r="I48" s="2">
        <f t="shared" si="9"/>
        <v>444337.56916376314</v>
      </c>
      <c r="J48" s="2">
        <f t="shared" si="10"/>
        <v>110725.75959565508</v>
      </c>
      <c r="K48" s="6">
        <f t="shared" si="11"/>
        <v>0.33190000000000003</v>
      </c>
      <c r="L48" s="7">
        <f t="shared" si="12"/>
        <v>1.3319000000000001</v>
      </c>
      <c r="O48">
        <f t="shared" si="13"/>
        <v>1997</v>
      </c>
      <c r="P48" s="6">
        <f t="shared" si="6"/>
        <v>1</v>
      </c>
      <c r="Q48" s="6">
        <f t="shared" si="6"/>
        <v>0</v>
      </c>
      <c r="R48" s="7"/>
      <c r="S48" s="7"/>
      <c r="T48" s="6">
        <f t="shared" si="7"/>
        <v>0</v>
      </c>
      <c r="U48" s="6"/>
      <c r="V48" s="6">
        <f t="shared" si="8"/>
        <v>0</v>
      </c>
      <c r="W48" s="6">
        <f t="shared" si="14"/>
        <v>1</v>
      </c>
      <c r="X48" s="7">
        <f t="shared" si="15"/>
        <v>1</v>
      </c>
      <c r="Y48" s="7">
        <f t="shared" si="16"/>
        <v>0</v>
      </c>
    </row>
    <row r="49" spans="1:25" x14ac:dyDescent="0.2">
      <c r="A49">
        <f t="shared" si="2"/>
        <v>1998</v>
      </c>
      <c r="B49" s="2">
        <f t="shared" si="3"/>
        <v>571684.71648609766</v>
      </c>
      <c r="C49" s="2">
        <f t="shared" si="3"/>
        <v>0</v>
      </c>
      <c r="D49" s="2"/>
      <c r="E49" s="2"/>
      <c r="F49" s="2"/>
      <c r="G49" s="2">
        <f>F48*(1+(G13/100))</f>
        <v>0</v>
      </c>
      <c r="H49" s="2">
        <f t="shared" si="5"/>
        <v>0</v>
      </c>
      <c r="I49" s="2">
        <f t="shared" ref="I49:I64" si="17">SUM(B49:H49)</f>
        <v>571684.71648609766</v>
      </c>
      <c r="J49" s="2">
        <f t="shared" si="10"/>
        <v>127347.14732233452</v>
      </c>
      <c r="K49" s="6">
        <f t="shared" si="11"/>
        <v>0.28660000000000002</v>
      </c>
      <c r="L49" s="7">
        <f t="shared" si="12"/>
        <v>1.2866</v>
      </c>
      <c r="O49">
        <f t="shared" si="13"/>
        <v>1998</v>
      </c>
      <c r="P49" s="6">
        <f t="shared" si="6"/>
        <v>1</v>
      </c>
      <c r="Q49" s="6">
        <f t="shared" si="6"/>
        <v>0</v>
      </c>
      <c r="R49" s="7"/>
      <c r="S49" s="7"/>
      <c r="T49" s="6"/>
      <c r="U49" s="6">
        <f t="shared" si="6"/>
        <v>0</v>
      </c>
      <c r="V49" s="6">
        <f t="shared" si="8"/>
        <v>0</v>
      </c>
      <c r="W49" s="6">
        <f t="shared" si="14"/>
        <v>1</v>
      </c>
      <c r="X49" s="7">
        <f t="shared" si="15"/>
        <v>1</v>
      </c>
      <c r="Y49" s="7">
        <f t="shared" si="16"/>
        <v>0</v>
      </c>
    </row>
    <row r="50" spans="1:25" x14ac:dyDescent="0.2">
      <c r="A50">
        <f t="shared" si="2"/>
        <v>1999</v>
      </c>
      <c r="B50" s="2">
        <f t="shared" si="3"/>
        <v>692138.68624971854</v>
      </c>
      <c r="C50" s="2">
        <f t="shared" si="3"/>
        <v>0</v>
      </c>
      <c r="D50" s="2"/>
      <c r="E50" s="2"/>
      <c r="F50" s="2"/>
      <c r="G50" s="2">
        <f t="shared" ref="G50:G64" si="18">G49*(1+(G14/100))</f>
        <v>0</v>
      </c>
      <c r="H50" s="2">
        <f t="shared" si="5"/>
        <v>0</v>
      </c>
      <c r="I50" s="2">
        <f t="shared" si="17"/>
        <v>692138.68624971854</v>
      </c>
      <c r="J50" s="2">
        <f t="shared" si="10"/>
        <v>120453.96976362087</v>
      </c>
      <c r="K50" s="6">
        <f t="shared" si="11"/>
        <v>0.21070000000000016</v>
      </c>
      <c r="L50" s="7">
        <f t="shared" si="12"/>
        <v>1.2107000000000001</v>
      </c>
      <c r="O50">
        <f t="shared" si="13"/>
        <v>1999</v>
      </c>
      <c r="P50" s="6">
        <f t="shared" si="6"/>
        <v>1</v>
      </c>
      <c r="Q50" s="6">
        <f t="shared" si="6"/>
        <v>0</v>
      </c>
      <c r="R50" s="7"/>
      <c r="S50" s="7"/>
      <c r="T50" s="7"/>
      <c r="U50" s="6">
        <f t="shared" si="6"/>
        <v>0</v>
      </c>
      <c r="V50" s="6">
        <f t="shared" si="8"/>
        <v>0</v>
      </c>
      <c r="W50" s="6">
        <f t="shared" si="14"/>
        <v>1</v>
      </c>
      <c r="X50" s="7">
        <f t="shared" si="15"/>
        <v>1</v>
      </c>
      <c r="Y50" s="7">
        <f t="shared" si="16"/>
        <v>0</v>
      </c>
    </row>
    <row r="51" spans="1:25" x14ac:dyDescent="0.2">
      <c r="A51">
        <f t="shared" si="2"/>
        <v>2000</v>
      </c>
      <c r="B51" s="2">
        <f t="shared" si="3"/>
        <v>629430.92127549404</v>
      </c>
      <c r="C51" s="2"/>
      <c r="D51" s="2">
        <f>($C50*0.67)*(1+(D15/100))</f>
        <v>0</v>
      </c>
      <c r="E51" s="2">
        <f>($C50*0.33)*(1+(E15/100))</f>
        <v>0</v>
      </c>
      <c r="F51" s="2"/>
      <c r="G51" s="2">
        <f t="shared" si="18"/>
        <v>0</v>
      </c>
      <c r="H51" s="2">
        <f t="shared" si="5"/>
        <v>0</v>
      </c>
      <c r="I51" s="2">
        <f t="shared" si="17"/>
        <v>629430.92127549404</v>
      </c>
      <c r="J51" s="2">
        <f t="shared" si="10"/>
        <v>-62707.764974224498</v>
      </c>
      <c r="K51" s="6">
        <f t="shared" si="11"/>
        <v>-9.06E-2</v>
      </c>
      <c r="L51" s="7">
        <f t="shared" si="12"/>
        <v>0.90939999999999999</v>
      </c>
      <c r="O51">
        <f t="shared" si="13"/>
        <v>2000</v>
      </c>
      <c r="P51" s="6">
        <f t="shared" si="6"/>
        <v>1</v>
      </c>
      <c r="Q51" s="7"/>
      <c r="R51" s="6">
        <f t="shared" si="6"/>
        <v>0</v>
      </c>
      <c r="S51" s="6">
        <f t="shared" si="6"/>
        <v>0</v>
      </c>
      <c r="T51" s="7"/>
      <c r="U51" s="6">
        <f t="shared" si="6"/>
        <v>0</v>
      </c>
      <c r="V51" s="6">
        <f t="shared" si="8"/>
        <v>0</v>
      </c>
      <c r="W51" s="6">
        <f t="shared" si="14"/>
        <v>1</v>
      </c>
      <c r="X51" s="7">
        <f t="shared" si="15"/>
        <v>1</v>
      </c>
      <c r="Y51" s="7">
        <f t="shared" si="16"/>
        <v>0</v>
      </c>
    </row>
    <row r="52" spans="1:25" x14ac:dyDescent="0.2">
      <c r="A52">
        <f t="shared" si="2"/>
        <v>2001</v>
      </c>
      <c r="B52" s="2">
        <f t="shared" si="3"/>
        <v>553773.32453817967</v>
      </c>
      <c r="C52" s="2"/>
      <c r="D52" s="2">
        <f t="shared" ref="D52:E64" si="19">D51*(1+(D16/100))</f>
        <v>0</v>
      </c>
      <c r="E52" s="2">
        <f t="shared" si="19"/>
        <v>0</v>
      </c>
      <c r="F52" s="2"/>
      <c r="G52" s="2">
        <f t="shared" si="18"/>
        <v>0</v>
      </c>
      <c r="H52" s="2">
        <f t="shared" si="5"/>
        <v>0</v>
      </c>
      <c r="I52" s="2">
        <f t="shared" si="17"/>
        <v>553773.32453817967</v>
      </c>
      <c r="J52" s="2">
        <f t="shared" si="10"/>
        <v>-75657.596737314365</v>
      </c>
      <c r="K52" s="6">
        <f t="shared" si="11"/>
        <v>-0.12019999999999997</v>
      </c>
      <c r="L52" s="7">
        <f t="shared" si="12"/>
        <v>0.87980000000000003</v>
      </c>
      <c r="O52">
        <f t="shared" si="13"/>
        <v>2001</v>
      </c>
      <c r="P52" s="6">
        <f t="shared" si="6"/>
        <v>1</v>
      </c>
      <c r="Q52" s="7"/>
      <c r="R52" s="6">
        <f t="shared" si="6"/>
        <v>0</v>
      </c>
      <c r="S52" s="6">
        <f t="shared" si="6"/>
        <v>0</v>
      </c>
      <c r="T52" s="7"/>
      <c r="U52" s="6">
        <f t="shared" si="6"/>
        <v>0</v>
      </c>
      <c r="V52" s="6">
        <f t="shared" si="8"/>
        <v>0</v>
      </c>
      <c r="W52" s="6">
        <f t="shared" si="14"/>
        <v>1</v>
      </c>
      <c r="X52" s="7">
        <f t="shared" si="15"/>
        <v>1</v>
      </c>
      <c r="Y52" s="7">
        <f t="shared" si="16"/>
        <v>0</v>
      </c>
    </row>
    <row r="53" spans="1:25" x14ac:dyDescent="0.2">
      <c r="A53">
        <f t="shared" si="2"/>
        <v>2002</v>
      </c>
      <c r="B53" s="2">
        <f t="shared" si="3"/>
        <v>431112.53315297287</v>
      </c>
      <c r="C53" s="2"/>
      <c r="D53" s="2">
        <f t="shared" si="19"/>
        <v>0</v>
      </c>
      <c r="E53" s="2">
        <f t="shared" si="19"/>
        <v>0</v>
      </c>
      <c r="F53" s="2"/>
      <c r="G53" s="2">
        <f t="shared" si="18"/>
        <v>0</v>
      </c>
      <c r="H53" s="2">
        <f t="shared" si="5"/>
        <v>0</v>
      </c>
      <c r="I53" s="2">
        <f t="shared" si="17"/>
        <v>431112.53315297287</v>
      </c>
      <c r="J53" s="2">
        <f t="shared" si="10"/>
        <v>-122660.7913852068</v>
      </c>
      <c r="K53" s="6">
        <f t="shared" si="11"/>
        <v>-0.2215</v>
      </c>
      <c r="L53" s="7">
        <f t="shared" si="12"/>
        <v>0.77849999999999997</v>
      </c>
      <c r="O53">
        <f t="shared" si="13"/>
        <v>2002</v>
      </c>
      <c r="P53" s="6">
        <f t="shared" si="6"/>
        <v>1</v>
      </c>
      <c r="Q53" s="7"/>
      <c r="R53" s="6">
        <f t="shared" si="6"/>
        <v>0</v>
      </c>
      <c r="S53" s="6">
        <f t="shared" si="6"/>
        <v>0</v>
      </c>
      <c r="T53" s="7"/>
      <c r="U53" s="6">
        <f t="shared" si="6"/>
        <v>0</v>
      </c>
      <c r="V53" s="6">
        <f t="shared" si="8"/>
        <v>0</v>
      </c>
      <c r="W53" s="6">
        <f t="shared" si="14"/>
        <v>1</v>
      </c>
      <c r="X53" s="7">
        <f t="shared" si="15"/>
        <v>1</v>
      </c>
      <c r="Y53" s="7">
        <f t="shared" si="16"/>
        <v>0</v>
      </c>
    </row>
    <row r="54" spans="1:25" x14ac:dyDescent="0.2">
      <c r="A54">
        <f t="shared" si="2"/>
        <v>2003</v>
      </c>
      <c r="B54" s="2">
        <f t="shared" si="3"/>
        <v>553979.60510157014</v>
      </c>
      <c r="C54" s="2"/>
      <c r="D54" s="2">
        <f t="shared" si="19"/>
        <v>0</v>
      </c>
      <c r="E54" s="2">
        <f t="shared" si="19"/>
        <v>0</v>
      </c>
      <c r="F54" s="2"/>
      <c r="G54" s="2">
        <f t="shared" si="18"/>
        <v>0</v>
      </c>
      <c r="H54" s="2">
        <f t="shared" si="5"/>
        <v>0</v>
      </c>
      <c r="I54" s="2">
        <f t="shared" si="17"/>
        <v>553979.60510157014</v>
      </c>
      <c r="J54" s="2">
        <f t="shared" si="10"/>
        <v>122867.07194859727</v>
      </c>
      <c r="K54" s="6">
        <f t="shared" si="11"/>
        <v>0.28499999999999998</v>
      </c>
      <c r="L54" s="7">
        <f t="shared" si="12"/>
        <v>1.2849999999999999</v>
      </c>
      <c r="O54">
        <f t="shared" si="13"/>
        <v>2003</v>
      </c>
      <c r="P54" s="6">
        <f t="shared" si="6"/>
        <v>1</v>
      </c>
      <c r="Q54" s="7"/>
      <c r="R54" s="6">
        <f t="shared" si="6"/>
        <v>0</v>
      </c>
      <c r="S54" s="6">
        <f t="shared" si="6"/>
        <v>0</v>
      </c>
      <c r="T54" s="7"/>
      <c r="U54" s="6">
        <f t="shared" si="6"/>
        <v>0</v>
      </c>
      <c r="V54" s="6">
        <f t="shared" si="8"/>
        <v>0</v>
      </c>
      <c r="W54" s="6">
        <f t="shared" si="14"/>
        <v>1</v>
      </c>
      <c r="X54" s="7">
        <f t="shared" si="15"/>
        <v>1</v>
      </c>
      <c r="Y54" s="7">
        <f t="shared" si="16"/>
        <v>0</v>
      </c>
    </row>
    <row r="55" spans="1:25" x14ac:dyDescent="0.2">
      <c r="A55">
        <f t="shared" si="2"/>
        <v>2004</v>
      </c>
      <c r="B55" s="2">
        <f t="shared" si="3"/>
        <v>613477.01468947879</v>
      </c>
      <c r="C55" s="2"/>
      <c r="D55" s="2">
        <f t="shared" si="19"/>
        <v>0</v>
      </c>
      <c r="E55" s="2">
        <f t="shared" si="19"/>
        <v>0</v>
      </c>
      <c r="F55" s="2"/>
      <c r="G55" s="2">
        <f t="shared" si="18"/>
        <v>0</v>
      </c>
      <c r="H55" s="2">
        <f t="shared" si="5"/>
        <v>0</v>
      </c>
      <c r="I55" s="2">
        <f t="shared" si="17"/>
        <v>613477.01468947879</v>
      </c>
      <c r="J55" s="2">
        <f t="shared" si="10"/>
        <v>59497.409587908653</v>
      </c>
      <c r="K55" s="6">
        <f t="shared" si="11"/>
        <v>0.10740000000000004</v>
      </c>
      <c r="L55" s="7">
        <f t="shared" si="12"/>
        <v>1.1073999999999999</v>
      </c>
      <c r="O55">
        <f t="shared" si="13"/>
        <v>2004</v>
      </c>
      <c r="P55" s="6">
        <f t="shared" si="6"/>
        <v>1</v>
      </c>
      <c r="Q55" s="7"/>
      <c r="R55" s="6">
        <f t="shared" si="6"/>
        <v>0</v>
      </c>
      <c r="S55" s="6">
        <f t="shared" si="6"/>
        <v>0</v>
      </c>
      <c r="T55" s="7"/>
      <c r="U55" s="6">
        <f t="shared" si="6"/>
        <v>0</v>
      </c>
      <c r="V55" s="6">
        <f t="shared" si="8"/>
        <v>0</v>
      </c>
      <c r="W55" s="6">
        <f t="shared" si="14"/>
        <v>1</v>
      </c>
      <c r="X55" s="7">
        <f t="shared" si="15"/>
        <v>1</v>
      </c>
      <c r="Y55" s="7">
        <f t="shared" si="16"/>
        <v>0</v>
      </c>
    </row>
    <row r="56" spans="1:25" x14ac:dyDescent="0.2">
      <c r="A56">
        <f t="shared" si="2"/>
        <v>2005</v>
      </c>
      <c r="B56" s="2">
        <f t="shared" ref="B56:B64" si="20">B55*(1+(B20/100))</f>
        <v>642739.86829016695</v>
      </c>
      <c r="C56" s="2"/>
      <c r="D56" s="2">
        <f t="shared" si="19"/>
        <v>0</v>
      </c>
      <c r="E56" s="2">
        <f t="shared" si="19"/>
        <v>0</v>
      </c>
      <c r="F56" s="2"/>
      <c r="G56" s="2">
        <f t="shared" si="18"/>
        <v>0</v>
      </c>
      <c r="H56" s="2">
        <f t="shared" si="5"/>
        <v>0</v>
      </c>
      <c r="I56" s="2">
        <f t="shared" si="17"/>
        <v>642739.86829016695</v>
      </c>
      <c r="J56" s="2">
        <f>I56-I55</f>
        <v>29262.853600688162</v>
      </c>
      <c r="K56" s="6">
        <f>(J56/I55)</f>
        <v>4.7700000000000041E-2</v>
      </c>
      <c r="L56" s="7">
        <f t="shared" si="12"/>
        <v>1.0477000000000001</v>
      </c>
      <c r="O56">
        <f t="shared" si="13"/>
        <v>2005</v>
      </c>
      <c r="P56" s="6">
        <f t="shared" si="6"/>
        <v>1</v>
      </c>
      <c r="Q56" s="7"/>
      <c r="R56" s="6">
        <f t="shared" si="6"/>
        <v>0</v>
      </c>
      <c r="S56" s="6">
        <f t="shared" si="6"/>
        <v>0</v>
      </c>
      <c r="T56" s="7"/>
      <c r="U56" s="6">
        <f t="shared" si="6"/>
        <v>0</v>
      </c>
      <c r="V56" s="6">
        <f t="shared" si="8"/>
        <v>0</v>
      </c>
      <c r="W56" s="6">
        <f t="shared" si="14"/>
        <v>1</v>
      </c>
      <c r="X56" s="7">
        <f t="shared" si="15"/>
        <v>1</v>
      </c>
      <c r="Y56" s="7">
        <f t="shared" si="16"/>
        <v>0</v>
      </c>
    </row>
    <row r="57" spans="1:25" x14ac:dyDescent="0.2">
      <c r="A57">
        <f t="shared" si="2"/>
        <v>2006</v>
      </c>
      <c r="B57" s="2">
        <f t="shared" si="20"/>
        <v>743264.38369074918</v>
      </c>
      <c r="C57" s="2"/>
      <c r="D57" s="2">
        <f t="shared" si="19"/>
        <v>0</v>
      </c>
      <c r="E57" s="2">
        <f t="shared" si="19"/>
        <v>0</v>
      </c>
      <c r="F57" s="2"/>
      <c r="G57" s="2">
        <f t="shared" si="18"/>
        <v>0</v>
      </c>
      <c r="H57" s="2">
        <f t="shared" si="5"/>
        <v>0</v>
      </c>
      <c r="I57" s="2">
        <f t="shared" si="17"/>
        <v>743264.38369074918</v>
      </c>
      <c r="J57" s="2">
        <f t="shared" si="10"/>
        <v>100524.51540058223</v>
      </c>
      <c r="K57" s="6">
        <f t="shared" si="11"/>
        <v>0.15640000000000018</v>
      </c>
      <c r="L57" s="7">
        <f t="shared" si="12"/>
        <v>1.1564000000000001</v>
      </c>
      <c r="O57">
        <f t="shared" si="13"/>
        <v>2006</v>
      </c>
      <c r="P57" s="6">
        <f t="shared" si="6"/>
        <v>1</v>
      </c>
      <c r="Q57" s="7"/>
      <c r="R57" s="6">
        <f t="shared" si="6"/>
        <v>0</v>
      </c>
      <c r="S57" s="6">
        <f t="shared" si="6"/>
        <v>0</v>
      </c>
      <c r="T57" s="7"/>
      <c r="U57" s="6">
        <f t="shared" si="6"/>
        <v>0</v>
      </c>
      <c r="V57" s="6">
        <f t="shared" si="8"/>
        <v>0</v>
      </c>
      <c r="W57" s="6">
        <f t="shared" si="14"/>
        <v>1</v>
      </c>
      <c r="X57" s="7">
        <f t="shared" si="15"/>
        <v>1</v>
      </c>
      <c r="Y57" s="7">
        <f t="shared" si="16"/>
        <v>0</v>
      </c>
    </row>
    <row r="58" spans="1:25" x14ac:dyDescent="0.2">
      <c r="A58">
        <f t="shared" si="2"/>
        <v>2007</v>
      </c>
      <c r="B58" s="2">
        <f t="shared" si="20"/>
        <v>783326.33397168061</v>
      </c>
      <c r="C58" s="2"/>
      <c r="D58" s="2">
        <f t="shared" si="19"/>
        <v>0</v>
      </c>
      <c r="E58" s="2">
        <f t="shared" si="19"/>
        <v>0</v>
      </c>
      <c r="F58" s="2"/>
      <c r="G58" s="2">
        <f t="shared" si="18"/>
        <v>0</v>
      </c>
      <c r="H58" s="2">
        <f t="shared" si="5"/>
        <v>0</v>
      </c>
      <c r="I58" s="2">
        <f t="shared" si="17"/>
        <v>783326.33397168061</v>
      </c>
      <c r="J58" s="2">
        <f t="shared" si="10"/>
        <v>40061.950280931429</v>
      </c>
      <c r="K58" s="6">
        <f t="shared" si="11"/>
        <v>5.3900000000000066E-2</v>
      </c>
      <c r="L58" s="7">
        <f t="shared" si="12"/>
        <v>1.0539000000000001</v>
      </c>
      <c r="O58">
        <f t="shared" si="13"/>
        <v>2007</v>
      </c>
      <c r="P58" s="6">
        <f t="shared" si="6"/>
        <v>1</v>
      </c>
      <c r="Q58" s="7"/>
      <c r="R58" s="6">
        <f t="shared" si="6"/>
        <v>0</v>
      </c>
      <c r="S58" s="6">
        <f t="shared" si="6"/>
        <v>0</v>
      </c>
      <c r="T58" s="7"/>
      <c r="U58" s="6">
        <f t="shared" si="6"/>
        <v>0</v>
      </c>
      <c r="V58" s="6">
        <f t="shared" si="8"/>
        <v>0</v>
      </c>
      <c r="W58" s="6">
        <f t="shared" si="14"/>
        <v>1</v>
      </c>
      <c r="X58" s="7">
        <f t="shared" si="15"/>
        <v>1</v>
      </c>
      <c r="Y58" s="7">
        <f t="shared" si="16"/>
        <v>0</v>
      </c>
    </row>
    <row r="59" spans="1:25" x14ac:dyDescent="0.2">
      <c r="A59">
        <f t="shared" si="2"/>
        <v>2008</v>
      </c>
      <c r="B59" s="2">
        <f t="shared" si="20"/>
        <v>493338.92513536441</v>
      </c>
      <c r="C59" s="2"/>
      <c r="D59" s="2">
        <f t="shared" si="19"/>
        <v>0</v>
      </c>
      <c r="E59" s="2">
        <f t="shared" si="19"/>
        <v>0</v>
      </c>
      <c r="F59" s="2"/>
      <c r="G59" s="2">
        <f t="shared" si="18"/>
        <v>0</v>
      </c>
      <c r="H59" s="2">
        <f t="shared" si="5"/>
        <v>0</v>
      </c>
      <c r="I59" s="2">
        <f t="shared" si="17"/>
        <v>493338.92513536441</v>
      </c>
      <c r="J59" s="2">
        <f t="shared" si="10"/>
        <v>-289987.4088363162</v>
      </c>
      <c r="K59" s="6">
        <f t="shared" si="11"/>
        <v>-0.37020000000000003</v>
      </c>
      <c r="L59" s="7">
        <f t="shared" si="12"/>
        <v>0.62979999999999992</v>
      </c>
      <c r="O59">
        <f t="shared" si="13"/>
        <v>2008</v>
      </c>
      <c r="P59" s="6">
        <f t="shared" si="6"/>
        <v>1</v>
      </c>
      <c r="Q59" s="7"/>
      <c r="R59" s="6">
        <f t="shared" si="6"/>
        <v>0</v>
      </c>
      <c r="S59" s="6">
        <f t="shared" si="6"/>
        <v>0</v>
      </c>
      <c r="T59" s="7"/>
      <c r="U59" s="6">
        <f t="shared" si="6"/>
        <v>0</v>
      </c>
      <c r="V59" s="6">
        <f t="shared" si="8"/>
        <v>0</v>
      </c>
      <c r="W59" s="6">
        <f t="shared" si="14"/>
        <v>1</v>
      </c>
      <c r="X59" s="7">
        <f t="shared" si="15"/>
        <v>1</v>
      </c>
      <c r="Y59" s="7">
        <f t="shared" si="16"/>
        <v>0</v>
      </c>
    </row>
    <row r="60" spans="1:25" x14ac:dyDescent="0.2">
      <c r="A60">
        <f t="shared" si="2"/>
        <v>2009</v>
      </c>
      <c r="B60" s="2">
        <f t="shared" si="20"/>
        <v>624024.40640372236</v>
      </c>
      <c r="C60" s="2"/>
      <c r="D60" s="2">
        <f t="shared" si="19"/>
        <v>0</v>
      </c>
      <c r="E60" s="2">
        <f t="shared" si="19"/>
        <v>0</v>
      </c>
      <c r="F60" s="2"/>
      <c r="G60" s="2">
        <f t="shared" si="18"/>
        <v>0</v>
      </c>
      <c r="H60" s="2">
        <f t="shared" si="5"/>
        <v>0</v>
      </c>
      <c r="I60" s="2">
        <f t="shared" si="17"/>
        <v>624024.40640372236</v>
      </c>
      <c r="J60" s="2">
        <f t="shared" si="10"/>
        <v>130685.48126835795</v>
      </c>
      <c r="K60" s="6">
        <f t="shared" si="11"/>
        <v>0.26489999999999986</v>
      </c>
      <c r="L60" s="7">
        <f t="shared" si="12"/>
        <v>1.2648999999999999</v>
      </c>
      <c r="O60">
        <f t="shared" si="13"/>
        <v>2009</v>
      </c>
      <c r="P60" s="6">
        <f t="shared" si="6"/>
        <v>1</v>
      </c>
      <c r="Q60" s="7"/>
      <c r="R60" s="6">
        <f t="shared" si="6"/>
        <v>0</v>
      </c>
      <c r="S60" s="6">
        <f t="shared" si="6"/>
        <v>0</v>
      </c>
      <c r="T60" s="7"/>
      <c r="U60" s="6">
        <f t="shared" si="6"/>
        <v>0</v>
      </c>
      <c r="V60" s="6">
        <f t="shared" si="8"/>
        <v>0</v>
      </c>
      <c r="W60" s="6">
        <f t="shared" si="14"/>
        <v>1</v>
      </c>
      <c r="X60" s="7">
        <f t="shared" si="15"/>
        <v>1</v>
      </c>
      <c r="Y60" s="7">
        <f t="shared" si="16"/>
        <v>0</v>
      </c>
    </row>
    <row r="61" spans="1:25" x14ac:dyDescent="0.2">
      <c r="A61">
        <f t="shared" si="2"/>
        <v>2010</v>
      </c>
      <c r="B61" s="2">
        <f t="shared" si="20"/>
        <v>717066.44539851742</v>
      </c>
      <c r="C61" s="2"/>
      <c r="D61" s="2">
        <f t="shared" si="19"/>
        <v>0</v>
      </c>
      <c r="E61" s="2">
        <f t="shared" si="19"/>
        <v>0</v>
      </c>
      <c r="F61" s="2"/>
      <c r="G61" s="2">
        <f t="shared" si="18"/>
        <v>0</v>
      </c>
      <c r="H61" s="2">
        <f t="shared" si="5"/>
        <v>0</v>
      </c>
      <c r="I61" s="2">
        <f t="shared" si="17"/>
        <v>717066.44539851742</v>
      </c>
      <c r="J61" s="2">
        <f t="shared" si="10"/>
        <v>93042.038994795061</v>
      </c>
      <c r="K61" s="6">
        <f t="shared" si="11"/>
        <v>0.14910000000000009</v>
      </c>
      <c r="L61" s="7">
        <f t="shared" si="12"/>
        <v>1.1491</v>
      </c>
      <c r="O61">
        <f t="shared" si="13"/>
        <v>2010</v>
      </c>
      <c r="P61" s="6">
        <f t="shared" si="6"/>
        <v>1</v>
      </c>
      <c r="Q61" s="7"/>
      <c r="R61" s="6">
        <f t="shared" si="6"/>
        <v>0</v>
      </c>
      <c r="S61" s="6">
        <f t="shared" si="6"/>
        <v>0</v>
      </c>
      <c r="T61" s="7"/>
      <c r="U61" s="6">
        <f t="shared" si="6"/>
        <v>0</v>
      </c>
      <c r="V61" s="6">
        <f t="shared" si="8"/>
        <v>0</v>
      </c>
      <c r="W61" s="6">
        <f t="shared" si="14"/>
        <v>1</v>
      </c>
      <c r="X61" s="7">
        <f t="shared" si="15"/>
        <v>1</v>
      </c>
      <c r="Y61" s="7">
        <f t="shared" si="16"/>
        <v>0</v>
      </c>
    </row>
    <row r="62" spans="1:25" x14ac:dyDescent="0.2">
      <c r="A62">
        <f t="shared" si="2"/>
        <v>2011</v>
      </c>
      <c r="B62" s="2">
        <f t="shared" si="20"/>
        <v>731192.65437286824</v>
      </c>
      <c r="C62" s="2"/>
      <c r="D62" s="2">
        <f t="shared" si="19"/>
        <v>0</v>
      </c>
      <c r="E62" s="2">
        <f t="shared" si="19"/>
        <v>0</v>
      </c>
      <c r="F62" s="2"/>
      <c r="G62" s="2">
        <f t="shared" si="18"/>
        <v>0</v>
      </c>
      <c r="H62" s="2">
        <f t="shared" si="5"/>
        <v>0</v>
      </c>
      <c r="I62" s="2">
        <f t="shared" si="17"/>
        <v>731192.65437286824</v>
      </c>
      <c r="J62" s="2">
        <f t="shared" si="10"/>
        <v>14126.208974350826</v>
      </c>
      <c r="K62" s="6">
        <f t="shared" si="11"/>
        <v>1.9700000000000047E-2</v>
      </c>
      <c r="L62" s="7">
        <f t="shared" si="12"/>
        <v>1.0197000000000001</v>
      </c>
      <c r="O62">
        <f t="shared" si="13"/>
        <v>2011</v>
      </c>
      <c r="P62" s="6">
        <f t="shared" si="6"/>
        <v>1</v>
      </c>
      <c r="Q62" s="7"/>
      <c r="R62" s="6">
        <f t="shared" si="6"/>
        <v>0</v>
      </c>
      <c r="S62" s="6">
        <f t="shared" si="6"/>
        <v>0</v>
      </c>
      <c r="T62" s="7"/>
      <c r="U62" s="6">
        <f t="shared" si="6"/>
        <v>0</v>
      </c>
      <c r="V62" s="6">
        <f t="shared" si="8"/>
        <v>0</v>
      </c>
      <c r="W62" s="6">
        <f t="shared" si="14"/>
        <v>1</v>
      </c>
      <c r="X62" s="7">
        <f t="shared" si="15"/>
        <v>1</v>
      </c>
      <c r="Y62" s="7">
        <f t="shared" si="16"/>
        <v>0</v>
      </c>
    </row>
    <row r="63" spans="1:25" x14ac:dyDescent="0.2">
      <c r="A63">
        <f t="shared" si="2"/>
        <v>2012</v>
      </c>
      <c r="B63" s="2">
        <f t="shared" si="20"/>
        <v>846867.33229465596</v>
      </c>
      <c r="C63" s="2"/>
      <c r="D63" s="2">
        <f t="shared" si="19"/>
        <v>0</v>
      </c>
      <c r="E63" s="2">
        <f t="shared" si="19"/>
        <v>0</v>
      </c>
      <c r="F63" s="2"/>
      <c r="G63" s="2">
        <f t="shared" si="18"/>
        <v>0</v>
      </c>
      <c r="H63" s="2">
        <f t="shared" si="5"/>
        <v>0</v>
      </c>
      <c r="I63" s="2">
        <f t="shared" si="17"/>
        <v>846867.33229465596</v>
      </c>
      <c r="J63" s="2">
        <f t="shared" si="10"/>
        <v>115674.67792178772</v>
      </c>
      <c r="K63" s="6">
        <f t="shared" si="11"/>
        <v>0.15819999999999995</v>
      </c>
      <c r="L63" s="7">
        <f t="shared" si="12"/>
        <v>1.1581999999999999</v>
      </c>
      <c r="O63">
        <f t="shared" si="13"/>
        <v>2012</v>
      </c>
      <c r="P63" s="6">
        <f t="shared" si="6"/>
        <v>1</v>
      </c>
      <c r="Q63" s="7"/>
      <c r="R63" s="6">
        <f t="shared" si="6"/>
        <v>0</v>
      </c>
      <c r="S63" s="6">
        <f t="shared" si="6"/>
        <v>0</v>
      </c>
      <c r="T63" s="7"/>
      <c r="U63" s="6">
        <f t="shared" si="6"/>
        <v>0</v>
      </c>
      <c r="V63" s="6">
        <f t="shared" si="8"/>
        <v>0</v>
      </c>
      <c r="W63" s="6">
        <f t="shared" si="14"/>
        <v>1</v>
      </c>
      <c r="X63" s="7">
        <f t="shared" si="15"/>
        <v>1</v>
      </c>
      <c r="Y63" s="7">
        <f t="shared" si="16"/>
        <v>0</v>
      </c>
    </row>
    <row r="64" spans="1:25" x14ac:dyDescent="0.2">
      <c r="A64">
        <f t="shared" si="2"/>
        <v>2013</v>
      </c>
      <c r="B64" s="2">
        <f t="shared" si="20"/>
        <v>1119389.2398270764</v>
      </c>
      <c r="C64" s="2"/>
      <c r="D64" s="2">
        <f t="shared" si="19"/>
        <v>0</v>
      </c>
      <c r="E64" s="2">
        <f t="shared" si="19"/>
        <v>0</v>
      </c>
      <c r="F64" s="2"/>
      <c r="G64" s="2">
        <f t="shared" si="18"/>
        <v>0</v>
      </c>
      <c r="H64" s="2">
        <f t="shared" si="5"/>
        <v>0</v>
      </c>
      <c r="I64" s="2">
        <f t="shared" si="17"/>
        <v>1119389.2398270764</v>
      </c>
      <c r="J64" s="2">
        <f t="shared" si="10"/>
        <v>272521.90753242048</v>
      </c>
      <c r="K64" s="6">
        <f t="shared" si="11"/>
        <v>0.3218000000000002</v>
      </c>
      <c r="L64" s="7">
        <f t="shared" si="12"/>
        <v>1.3218000000000001</v>
      </c>
      <c r="O64">
        <f t="shared" si="13"/>
        <v>2013</v>
      </c>
      <c r="P64" s="6">
        <f t="shared" si="6"/>
        <v>1</v>
      </c>
      <c r="Q64" s="7"/>
      <c r="R64" s="6">
        <f t="shared" si="6"/>
        <v>0</v>
      </c>
      <c r="S64" s="6">
        <f t="shared" si="6"/>
        <v>0</v>
      </c>
      <c r="T64" s="7"/>
      <c r="U64" s="6">
        <f t="shared" si="6"/>
        <v>0</v>
      </c>
      <c r="V64" s="6">
        <f t="shared" si="8"/>
        <v>0</v>
      </c>
      <c r="W64" s="6">
        <f t="shared" si="14"/>
        <v>1</v>
      </c>
      <c r="X64" s="7">
        <f t="shared" si="15"/>
        <v>1</v>
      </c>
      <c r="Y64" s="7">
        <f t="shared" si="16"/>
        <v>0</v>
      </c>
    </row>
    <row r="65" spans="1:19" x14ac:dyDescent="0.2">
      <c r="A65" s="9" t="s">
        <v>78</v>
      </c>
      <c r="B65" s="10">
        <f>B64</f>
        <v>1119389.2398270764</v>
      </c>
      <c r="C65" s="10"/>
      <c r="D65" s="10">
        <f>D64</f>
        <v>0</v>
      </c>
      <c r="E65" s="10">
        <f>E64</f>
        <v>0</v>
      </c>
      <c r="F65" s="10"/>
      <c r="G65" s="10">
        <f>G64</f>
        <v>0</v>
      </c>
      <c r="H65" s="10">
        <f>H64</f>
        <v>0</v>
      </c>
      <c r="I65" s="52">
        <f>SUM(B65:H65)</f>
        <v>1119389.2398270764</v>
      </c>
      <c r="J65" s="10"/>
      <c r="K65" s="10"/>
      <c r="L65" s="74"/>
      <c r="S65" s="7"/>
    </row>
    <row r="66" spans="1:19" x14ac:dyDescent="0.2">
      <c r="A66" s="11" t="s">
        <v>79</v>
      </c>
      <c r="I66" s="51">
        <f>(I65-I39)/I39</f>
        <v>10.193892398270764</v>
      </c>
      <c r="K66" s="6"/>
      <c r="R66" s="7"/>
    </row>
    <row r="67" spans="1:19" x14ac:dyDescent="0.2">
      <c r="A67" s="1" t="s">
        <v>80</v>
      </c>
      <c r="I67" s="29">
        <f>STDEV(L40:L64)</f>
        <v>0.18676944316456154</v>
      </c>
    </row>
    <row r="68" spans="1:19" x14ac:dyDescent="0.2">
      <c r="A68" s="1" t="s">
        <v>81</v>
      </c>
      <c r="I68" s="13">
        <f>((1+I66)^(1/I73))-1</f>
        <v>0.10143594419485247</v>
      </c>
    </row>
    <row r="69" spans="1:19" x14ac:dyDescent="0.2">
      <c r="A69" s="1" t="s">
        <v>82</v>
      </c>
      <c r="I69" s="31">
        <f>J60</f>
        <v>130685.48126835795</v>
      </c>
    </row>
    <row r="70" spans="1:19" x14ac:dyDescent="0.2">
      <c r="A70" s="1" t="s">
        <v>83</v>
      </c>
      <c r="I70" s="32">
        <f>K60</f>
        <v>0.26489999999999986</v>
      </c>
    </row>
    <row r="71" spans="1:19" x14ac:dyDescent="0.2">
      <c r="A71" s="3" t="s">
        <v>84</v>
      </c>
      <c r="I71" s="33">
        <f>I64-I65</f>
        <v>0</v>
      </c>
    </row>
    <row r="72" spans="1:19" x14ac:dyDescent="0.2">
      <c r="A72" s="3" t="s">
        <v>148</v>
      </c>
      <c r="I72" s="33">
        <f>((SUM(J40:J64))-(I65-I39))</f>
        <v>0</v>
      </c>
    </row>
    <row r="73" spans="1:19" x14ac:dyDescent="0.2">
      <c r="A73" s="3" t="s">
        <v>159</v>
      </c>
      <c r="I73" s="3">
        <f>COUNTA(I40:I64)</f>
        <v>25</v>
      </c>
    </row>
    <row r="74" spans="1:19" x14ac:dyDescent="0.2">
      <c r="A74" s="1" t="s">
        <v>105</v>
      </c>
      <c r="B74" s="63"/>
      <c r="C74" s="63"/>
      <c r="D74" s="63"/>
      <c r="E74" s="63"/>
      <c r="G74" s="63"/>
      <c r="H74" s="63"/>
      <c r="I74" s="83">
        <f>(SUM(B62:G62)/I62)</f>
        <v>1</v>
      </c>
    </row>
    <row r="75" spans="1:19" x14ac:dyDescent="0.2">
      <c r="A75" s="1" t="s">
        <v>106</v>
      </c>
      <c r="B75" s="63"/>
      <c r="C75" s="63"/>
      <c r="D75" s="63"/>
      <c r="E75" s="63"/>
      <c r="G75" s="63"/>
      <c r="H75" s="63"/>
      <c r="I75" s="83">
        <f>(H62/I62)</f>
        <v>0</v>
      </c>
    </row>
    <row r="76" spans="1:19" x14ac:dyDescent="0.2">
      <c r="A76" s="3" t="s">
        <v>107</v>
      </c>
      <c r="I76" s="3">
        <f>100%-(I74+I75)</f>
        <v>0</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Worksheets</vt:lpstr>
      </vt:variant>
      <vt:variant>
        <vt:i4>17</vt:i4>
      </vt:variant>
      <vt:variant>
        <vt:lpstr>Charts</vt:lpstr>
      </vt:variant>
      <vt:variant>
        <vt:i4>1</vt:i4>
      </vt:variant>
      <vt:variant>
        <vt:lpstr>Named Ranges</vt:lpstr>
      </vt:variant>
      <vt:variant>
        <vt:i4>1</vt:i4>
      </vt:variant>
    </vt:vector>
  </HeadingPairs>
  <TitlesOfParts>
    <vt:vector size="19" baseType="lpstr">
      <vt:lpstr>Instructions</vt:lpstr>
      <vt:lpstr>Notes</vt:lpstr>
      <vt:lpstr>Summary</vt:lpstr>
      <vt:lpstr>Non-Rebalanced Portfolio</vt:lpstr>
      <vt:lpstr>Rebalanced Portfolio</vt:lpstr>
      <vt:lpstr>Annual Rebalance Portfolio</vt:lpstr>
      <vt:lpstr>Panic Portfolio</vt:lpstr>
      <vt:lpstr>60-40 Portfolio</vt:lpstr>
      <vt:lpstr>SP500 Only</vt:lpstr>
      <vt:lpstr>4.5% Withdrawals-No Rebalancing</vt:lpstr>
      <vt:lpstr>4.5% Withdrawals-Rebalanced</vt:lpstr>
      <vt:lpstr>4.5% Withdrawals-Annual Rebal</vt:lpstr>
      <vt:lpstr>4.5% Withdrawals-Panic</vt:lpstr>
      <vt:lpstr>4.5% 60-40 Portfolio</vt:lpstr>
      <vt:lpstr>4.5% SP500</vt:lpstr>
      <vt:lpstr>Chart Data</vt:lpstr>
      <vt:lpstr>Panic Chart</vt:lpstr>
      <vt:lpstr>Chart2</vt:lpstr>
      <vt:lpstr>Summary!Print_Area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2017-01-23T22:13:14Z</cp:lastPrinted>
  <dcterms:created xsi:type="dcterms:W3CDTF">2014-01-10T23:26:08Z</dcterms:created>
  <dcterms:modified xsi:type="dcterms:W3CDTF">2018-03-18T22:21:56Z</dcterms:modified>
</cp:coreProperties>
</file>