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chartsheets/sheet1.xml" ContentType="application/vnd.openxmlformats-officedocument.spreadsheetml.chart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11"/>
  <workbookPr autoCompressPictures="0" defaultThemeVersion="124226"/>
  <mc:AlternateContent xmlns:mc="http://schemas.openxmlformats.org/markup-compatibility/2006">
    <mc:Choice Requires="x15">
      <x15ac:absPath xmlns:x15ac="http://schemas.microsoft.com/office/spreadsheetml/2010/11/ac" url="/Users/Charles/Dropbox/AAII/Rebalancing/"/>
    </mc:Choice>
  </mc:AlternateContent>
  <xr:revisionPtr revIDLastSave="0" documentId="13_ncr:1_{BE54C297-9FA7-EE47-A3A9-00D4ED58CAF8}" xr6:coauthVersionLast="31" xr6:coauthVersionMax="31" xr10:uidLastSave="{00000000-0000-0000-0000-000000000000}"/>
  <bookViews>
    <workbookView xWindow="4440" yWindow="3500" windowWidth="32880" windowHeight="23420" tabRatio="892" activeTab="9" xr2:uid="{00000000-000D-0000-FFFF-FFFF00000000}"/>
  </bookViews>
  <sheets>
    <sheet name="Instructions" sheetId="2" r:id="rId1"/>
    <sheet name="Notes" sheetId="3" r:id="rId2"/>
    <sheet name="Summary" sheetId="8" r:id="rId3"/>
    <sheet name="Non-Rebalanced Portfolio" sheetId="1" r:id="rId4"/>
    <sheet name="Rebalanced Portfolio" sheetId="4" r:id="rId5"/>
    <sheet name="Annual Rebalance Portfolio" sheetId="19" r:id="rId6"/>
    <sheet name="Panic Portfolio" sheetId="7" r:id="rId7"/>
    <sheet name="60-40 Portfolio" sheetId="25" r:id="rId8"/>
    <sheet name="SP500 Only" sheetId="28" r:id="rId9"/>
    <sheet name="4.5% Withdrawals-No Rebalancing" sheetId="21" r:id="rId10"/>
    <sheet name="4.5% Withdrawals-Rebalanced" sheetId="22" r:id="rId11"/>
    <sheet name="4.5% Withdrawals-Annual Rebal" sheetId="23" r:id="rId12"/>
    <sheet name="4.5% Withdrawals-Panic" sheetId="24" r:id="rId13"/>
    <sheet name="4.5% 60-40 Portfolio" sheetId="26" r:id="rId14"/>
    <sheet name="4.5% SP500" sheetId="29" r:id="rId15"/>
    <sheet name="Chart2" sheetId="16" r:id="rId16"/>
    <sheet name="Chart Data" sheetId="14" r:id="rId17"/>
    <sheet name="Panic Chart" sheetId="18" r:id="rId18"/>
  </sheets>
  <definedNames>
    <definedName name="_xlnm.Print_Area" localSheetId="2">Summary!$A$1:$D$29</definedName>
  </definedNames>
  <calcPr calcId="179017"/>
  <extLst>
    <ext xmlns:mx="http://schemas.microsoft.com/office/mac/excel/2008/main" uri="http://schemas.microsoft.com/office/mac/excel/2008/main">
      <mx:ArchID Flags="2"/>
    </ext>
  </extLst>
</workbook>
</file>

<file path=xl/calcChain.xml><?xml version="1.0" encoding="utf-8"?>
<calcChain xmlns="http://schemas.openxmlformats.org/spreadsheetml/2006/main">
  <c r="O32" i="22" l="1"/>
  <c r="N32" i="22"/>
  <c r="O31" i="22"/>
  <c r="N31" i="22"/>
  <c r="O30" i="22"/>
  <c r="N30" i="22"/>
  <c r="O29" i="22"/>
  <c r="N29" i="22"/>
  <c r="O28" i="22"/>
  <c r="N28" i="22"/>
  <c r="O27" i="22"/>
  <c r="N27" i="22"/>
  <c r="O26" i="22"/>
  <c r="N26" i="22"/>
  <c r="O25" i="22"/>
  <c r="N25" i="22"/>
  <c r="O24" i="22"/>
  <c r="N24" i="22"/>
  <c r="O23" i="22"/>
  <c r="N23" i="22"/>
  <c r="O22" i="22"/>
  <c r="N22" i="22"/>
  <c r="O21" i="22"/>
  <c r="N21" i="22"/>
  <c r="O20" i="22"/>
  <c r="N20" i="22"/>
  <c r="O19" i="22"/>
  <c r="N19" i="22"/>
  <c r="O18" i="22"/>
  <c r="N18" i="22"/>
  <c r="O17" i="22"/>
  <c r="N17" i="22"/>
  <c r="O16" i="22"/>
  <c r="N16" i="22"/>
  <c r="O15" i="22"/>
  <c r="N15" i="22"/>
  <c r="O14" i="22"/>
  <c r="N14" i="22"/>
  <c r="O13" i="22"/>
  <c r="N13" i="22"/>
  <c r="O12" i="22"/>
  <c r="N12" i="22"/>
  <c r="O11" i="22"/>
  <c r="N11" i="22"/>
  <c r="O10" i="22"/>
  <c r="N10" i="22"/>
  <c r="O9" i="22"/>
  <c r="N9" i="22"/>
  <c r="O8" i="22"/>
  <c r="N8" i="22"/>
  <c r="O7" i="22"/>
  <c r="N7" i="22"/>
  <c r="O6" i="22"/>
  <c r="N6" i="22"/>
  <c r="O5" i="22"/>
  <c r="N5" i="22"/>
  <c r="O4" i="22"/>
  <c r="N4" i="22"/>
  <c r="E13" i="21" l="1"/>
  <c r="D13" i="21"/>
  <c r="E14" i="22"/>
  <c r="D14" i="22"/>
  <c r="E13" i="22"/>
  <c r="D13" i="22"/>
  <c r="G11" i="22"/>
  <c r="G12" i="22"/>
  <c r="G11" i="21"/>
  <c r="E11" i="28" l="1"/>
  <c r="D11" i="28"/>
  <c r="E10" i="28"/>
  <c r="D10" i="28"/>
  <c r="E13" i="28"/>
  <c r="D13" i="28"/>
  <c r="E12" i="28"/>
  <c r="D12" i="28"/>
  <c r="G9" i="25"/>
  <c r="G10" i="25"/>
  <c r="G11" i="25"/>
  <c r="E11" i="25"/>
  <c r="D11" i="25"/>
  <c r="E12" i="25"/>
  <c r="D12" i="25"/>
  <c r="E13" i="25"/>
  <c r="D13" i="25"/>
  <c r="G9" i="7"/>
  <c r="G10" i="7"/>
  <c r="G11" i="7"/>
  <c r="E11" i="7"/>
  <c r="D11" i="7"/>
  <c r="E12" i="7"/>
  <c r="D12" i="7"/>
  <c r="E13" i="7"/>
  <c r="D13" i="7"/>
  <c r="G10" i="19"/>
  <c r="G11" i="19"/>
  <c r="E11" i="19"/>
  <c r="D11" i="19"/>
  <c r="E12" i="19"/>
  <c r="D12" i="19"/>
  <c r="E13" i="19"/>
  <c r="D13" i="19"/>
  <c r="G9" i="4"/>
  <c r="G10" i="4"/>
  <c r="E11" i="4"/>
  <c r="D11" i="4"/>
  <c r="E12" i="4"/>
  <c r="D12" i="4"/>
  <c r="G11" i="4"/>
  <c r="E13" i="4"/>
  <c r="D13" i="4"/>
  <c r="G12" i="29" l="1"/>
  <c r="E14" i="29"/>
  <c r="D14" i="29"/>
  <c r="G12" i="26" l="1"/>
  <c r="E14" i="26"/>
  <c r="D14" i="26"/>
  <c r="E14" i="24"/>
  <c r="D14" i="24"/>
  <c r="G12" i="24"/>
  <c r="G12" i="23"/>
  <c r="E14" i="23"/>
  <c r="D14" i="23"/>
  <c r="G12" i="21"/>
  <c r="E14" i="21"/>
  <c r="D14" i="21"/>
  <c r="G12" i="28"/>
  <c r="E14" i="28"/>
  <c r="D14" i="28"/>
  <c r="G12" i="25"/>
  <c r="E14" i="25"/>
  <c r="D14" i="25"/>
  <c r="G12" i="7"/>
  <c r="E14" i="7"/>
  <c r="D14" i="7"/>
  <c r="G12" i="19"/>
  <c r="E14" i="19"/>
  <c r="D14" i="19"/>
  <c r="G12" i="4"/>
  <c r="H33" i="4"/>
  <c r="H32" i="4"/>
  <c r="H31" i="4"/>
  <c r="H30" i="4"/>
  <c r="H29" i="4"/>
  <c r="H28" i="4"/>
  <c r="H27" i="4"/>
  <c r="H26" i="4"/>
  <c r="H25" i="4"/>
  <c r="H24" i="4"/>
  <c r="H23" i="4"/>
  <c r="H22" i="4"/>
  <c r="H21" i="4"/>
  <c r="H20" i="4"/>
  <c r="H19" i="4"/>
  <c r="H18" i="4"/>
  <c r="H17" i="4"/>
  <c r="H16" i="4"/>
  <c r="H15" i="4"/>
  <c r="H14" i="4"/>
  <c r="H13" i="4"/>
  <c r="H12" i="4"/>
  <c r="H11" i="4"/>
  <c r="H10" i="4"/>
  <c r="H9" i="4"/>
  <c r="H8" i="4"/>
  <c r="H7" i="4"/>
  <c r="H6" i="4"/>
  <c r="H5" i="4"/>
  <c r="H4" i="4"/>
  <c r="G33" i="4"/>
  <c r="G32" i="4"/>
  <c r="G31" i="4"/>
  <c r="G30" i="4"/>
  <c r="G29" i="4"/>
  <c r="G28" i="4"/>
  <c r="G27" i="4"/>
  <c r="G26" i="4"/>
  <c r="G25" i="4"/>
  <c r="G24" i="4"/>
  <c r="G23" i="4"/>
  <c r="G22" i="4"/>
  <c r="G21" i="4"/>
  <c r="G20" i="4"/>
  <c r="G19" i="4"/>
  <c r="G18" i="4"/>
  <c r="G17" i="4"/>
  <c r="G16" i="4"/>
  <c r="G15" i="4"/>
  <c r="G14" i="4"/>
  <c r="G13" i="4"/>
  <c r="F11" i="4"/>
  <c r="F10" i="4"/>
  <c r="F9" i="4"/>
  <c r="F8" i="4"/>
  <c r="F7" i="4"/>
  <c r="F6" i="4"/>
  <c r="F5" i="4"/>
  <c r="F4" i="4"/>
  <c r="C13" i="4"/>
  <c r="C12" i="4"/>
  <c r="C11" i="4"/>
  <c r="C10" i="4"/>
  <c r="C9" i="4"/>
  <c r="C8" i="4"/>
  <c r="C7" i="4"/>
  <c r="C6" i="4"/>
  <c r="C5" i="4"/>
  <c r="C4" i="4"/>
  <c r="B33" i="4"/>
  <c r="B32" i="4"/>
  <c r="B31" i="4"/>
  <c r="B30" i="4"/>
  <c r="B29" i="4"/>
  <c r="B28" i="4"/>
  <c r="B27" i="4"/>
  <c r="B26" i="4"/>
  <c r="B25" i="4"/>
  <c r="B24" i="4"/>
  <c r="B23" i="4"/>
  <c r="B22" i="4"/>
  <c r="B21" i="4"/>
  <c r="B20" i="4"/>
  <c r="B19" i="4"/>
  <c r="B18" i="4"/>
  <c r="B17" i="4"/>
  <c r="B16" i="4"/>
  <c r="B15" i="4"/>
  <c r="B14" i="4"/>
  <c r="B13" i="4"/>
  <c r="B12" i="4"/>
  <c r="B11" i="4"/>
  <c r="B10" i="4"/>
  <c r="B9" i="4"/>
  <c r="B8" i="4"/>
  <c r="B7" i="4"/>
  <c r="B6" i="4"/>
  <c r="B5" i="4"/>
  <c r="B4" i="4"/>
  <c r="E14" i="4"/>
  <c r="D14" i="4"/>
  <c r="I5" i="1" l="1"/>
  <c r="I6" i="1" s="1"/>
  <c r="I7" i="1" s="1"/>
  <c r="I8" i="1" s="1"/>
  <c r="I9" i="1" s="1"/>
  <c r="I10" i="1" s="1"/>
  <c r="I11" i="1" s="1"/>
  <c r="I12" i="1" s="1"/>
  <c r="I13" i="1" s="1"/>
  <c r="I14" i="1" s="1"/>
  <c r="I15" i="1" s="1"/>
  <c r="I16" i="1" s="1"/>
  <c r="I17" i="1" s="1"/>
  <c r="I18" i="1" s="1"/>
  <c r="I19" i="1" s="1"/>
  <c r="I20" i="1" s="1"/>
  <c r="I21" i="1" s="1"/>
  <c r="I22" i="1" s="1"/>
  <c r="I23" i="1" s="1"/>
  <c r="I24" i="1" s="1"/>
  <c r="I25" i="1" s="1"/>
  <c r="I26" i="1" s="1"/>
  <c r="I27" i="1" s="1"/>
  <c r="I28" i="1" s="1"/>
  <c r="O33" i="29" l="1"/>
  <c r="N33" i="29"/>
  <c r="O32" i="29"/>
  <c r="N32" i="29"/>
  <c r="O31" i="29"/>
  <c r="N31" i="29"/>
  <c r="O30" i="29"/>
  <c r="N30" i="29"/>
  <c r="O29" i="29"/>
  <c r="N29" i="29"/>
  <c r="O28" i="29"/>
  <c r="N28" i="29"/>
  <c r="O27" i="29"/>
  <c r="N27" i="29"/>
  <c r="O26" i="29"/>
  <c r="N26" i="29"/>
  <c r="O25" i="29"/>
  <c r="N25" i="29"/>
  <c r="O24" i="29"/>
  <c r="N24" i="29"/>
  <c r="O23" i="29"/>
  <c r="N23" i="29"/>
  <c r="O22" i="29"/>
  <c r="N22" i="29"/>
  <c r="O21" i="29"/>
  <c r="N21" i="29"/>
  <c r="O20" i="29"/>
  <c r="N20" i="29"/>
  <c r="O19" i="29"/>
  <c r="N19" i="29"/>
  <c r="O18" i="29"/>
  <c r="N18" i="29"/>
  <c r="O17" i="29"/>
  <c r="N17" i="29"/>
  <c r="O16" i="29"/>
  <c r="N16" i="29"/>
  <c r="O15" i="29"/>
  <c r="N15" i="29"/>
  <c r="O14" i="29"/>
  <c r="N14" i="29"/>
  <c r="O13" i="29"/>
  <c r="N13" i="29"/>
  <c r="O12" i="29"/>
  <c r="N12" i="29"/>
  <c r="O11" i="29"/>
  <c r="N11" i="29"/>
  <c r="O10" i="29"/>
  <c r="N10" i="29"/>
  <c r="O9" i="29"/>
  <c r="N9" i="29"/>
  <c r="O8" i="29"/>
  <c r="N8" i="29"/>
  <c r="O7" i="29"/>
  <c r="N7" i="29"/>
  <c r="O6" i="29"/>
  <c r="N6" i="29"/>
  <c r="O5" i="29"/>
  <c r="N5" i="29"/>
  <c r="O4" i="29"/>
  <c r="N4" i="29"/>
  <c r="O3" i="29"/>
  <c r="N3" i="29"/>
  <c r="Y39" i="29"/>
  <c r="X39" i="29"/>
  <c r="W39" i="29"/>
  <c r="V39" i="29"/>
  <c r="U39" i="29"/>
  <c r="T39" i="29"/>
  <c r="S39" i="29"/>
  <c r="R39" i="29"/>
  <c r="I39" i="29"/>
  <c r="Z39" i="29" s="1"/>
  <c r="AM39" i="29" s="1"/>
  <c r="Z38" i="29"/>
  <c r="R38" i="29"/>
  <c r="H33" i="29"/>
  <c r="G33" i="29"/>
  <c r="E33" i="29"/>
  <c r="D33" i="29"/>
  <c r="B33" i="29"/>
  <c r="A33" i="29"/>
  <c r="H32" i="29"/>
  <c r="G32" i="29"/>
  <c r="E32" i="29"/>
  <c r="D32" i="29"/>
  <c r="B32" i="29"/>
  <c r="A32" i="29"/>
  <c r="H31" i="29"/>
  <c r="G31" i="29"/>
  <c r="E31" i="29"/>
  <c r="D31" i="29"/>
  <c r="B31" i="29"/>
  <c r="A31" i="29"/>
  <c r="H30" i="29"/>
  <c r="G30" i="29"/>
  <c r="E30" i="29"/>
  <c r="D30" i="29"/>
  <c r="B30" i="29"/>
  <c r="A30" i="29"/>
  <c r="H29" i="29"/>
  <c r="G29" i="29"/>
  <c r="E29" i="29"/>
  <c r="D29" i="29"/>
  <c r="B29" i="29"/>
  <c r="A29" i="29"/>
  <c r="H28" i="29"/>
  <c r="G28" i="29"/>
  <c r="E28" i="29"/>
  <c r="D28" i="29"/>
  <c r="B28" i="29"/>
  <c r="A28" i="29"/>
  <c r="A64" i="29" s="1"/>
  <c r="H27" i="29"/>
  <c r="G27" i="29"/>
  <c r="E27" i="29"/>
  <c r="D27" i="29"/>
  <c r="B27" i="29"/>
  <c r="A27" i="29"/>
  <c r="A63" i="29" s="1"/>
  <c r="H26" i="29"/>
  <c r="G26" i="29"/>
  <c r="E26" i="29"/>
  <c r="D26" i="29"/>
  <c r="B26" i="29"/>
  <c r="A26" i="29"/>
  <c r="A62" i="29" s="1"/>
  <c r="H25" i="29"/>
  <c r="G25" i="29"/>
  <c r="E25" i="29"/>
  <c r="D25" i="29"/>
  <c r="B25" i="29"/>
  <c r="A25" i="29"/>
  <c r="A61" i="29" s="1"/>
  <c r="H24" i="29"/>
  <c r="G24" i="29"/>
  <c r="E24" i="29"/>
  <c r="D24" i="29"/>
  <c r="B24" i="29"/>
  <c r="A24" i="29"/>
  <c r="A60" i="29" s="1"/>
  <c r="H23" i="29"/>
  <c r="G23" i="29"/>
  <c r="E23" i="29"/>
  <c r="D23" i="29"/>
  <c r="B23" i="29"/>
  <c r="A23" i="29"/>
  <c r="A59" i="29" s="1"/>
  <c r="H22" i="29"/>
  <c r="G22" i="29"/>
  <c r="E22" i="29"/>
  <c r="D22" i="29"/>
  <c r="B22" i="29"/>
  <c r="A22" i="29"/>
  <c r="A58" i="29" s="1"/>
  <c r="H21" i="29"/>
  <c r="G21" i="29"/>
  <c r="E21" i="29"/>
  <c r="D21" i="29"/>
  <c r="B21" i="29"/>
  <c r="A21" i="29"/>
  <c r="A57" i="29" s="1"/>
  <c r="H20" i="29"/>
  <c r="G20" i="29"/>
  <c r="E20" i="29"/>
  <c r="D20" i="29"/>
  <c r="B20" i="29"/>
  <c r="A20" i="29"/>
  <c r="A56" i="29" s="1"/>
  <c r="H19" i="29"/>
  <c r="G19" i="29"/>
  <c r="E19" i="29"/>
  <c r="D19" i="29"/>
  <c r="B19" i="29"/>
  <c r="A19" i="29"/>
  <c r="A55" i="29" s="1"/>
  <c r="H18" i="29"/>
  <c r="G18" i="29"/>
  <c r="E18" i="29"/>
  <c r="D18" i="29"/>
  <c r="B18" i="29"/>
  <c r="A18" i="29"/>
  <c r="A54" i="29" s="1"/>
  <c r="H17" i="29"/>
  <c r="G17" i="29"/>
  <c r="E17" i="29"/>
  <c r="D17" i="29"/>
  <c r="B17" i="29"/>
  <c r="A17" i="29"/>
  <c r="A53" i="29" s="1"/>
  <c r="H16" i="29"/>
  <c r="G16" i="29"/>
  <c r="E16" i="29"/>
  <c r="D16" i="29"/>
  <c r="B16" i="29"/>
  <c r="A16" i="29"/>
  <c r="A52" i="29" s="1"/>
  <c r="H15" i="29"/>
  <c r="G15" i="29"/>
  <c r="E15" i="29"/>
  <c r="D15" i="29"/>
  <c r="B15" i="29"/>
  <c r="A15" i="29"/>
  <c r="A51" i="29" s="1"/>
  <c r="H14" i="29"/>
  <c r="G14" i="29"/>
  <c r="C14" i="29"/>
  <c r="B14" i="29"/>
  <c r="A14" i="29"/>
  <c r="A50" i="29" s="1"/>
  <c r="R50" i="29" s="1"/>
  <c r="H13" i="29"/>
  <c r="G13" i="29"/>
  <c r="C13" i="29"/>
  <c r="B13" i="29"/>
  <c r="A13" i="29"/>
  <c r="A49" i="29" s="1"/>
  <c r="H12" i="29"/>
  <c r="F12" i="29"/>
  <c r="C12" i="29"/>
  <c r="B12" i="29"/>
  <c r="A12" i="29"/>
  <c r="A48" i="29" s="1"/>
  <c r="R48" i="29" s="1"/>
  <c r="H11" i="29"/>
  <c r="F11" i="29"/>
  <c r="C11" i="29"/>
  <c r="B11" i="29"/>
  <c r="A11" i="29"/>
  <c r="A47" i="29" s="1"/>
  <c r="H10" i="29"/>
  <c r="F10" i="29"/>
  <c r="C10" i="29"/>
  <c r="B10" i="29"/>
  <c r="A10" i="29"/>
  <c r="A46" i="29" s="1"/>
  <c r="H9" i="29"/>
  <c r="F9" i="29"/>
  <c r="C9" i="29"/>
  <c r="B9" i="29"/>
  <c r="A9" i="29"/>
  <c r="A45" i="29" s="1"/>
  <c r="H8" i="29"/>
  <c r="F8" i="29"/>
  <c r="C8" i="29"/>
  <c r="B8" i="29"/>
  <c r="A8" i="29"/>
  <c r="A44" i="29" s="1"/>
  <c r="H7" i="29"/>
  <c r="F7" i="29"/>
  <c r="C7" i="29"/>
  <c r="B7" i="29"/>
  <c r="A7" i="29"/>
  <c r="A43" i="29" s="1"/>
  <c r="H6" i="29"/>
  <c r="F6" i="29"/>
  <c r="C6" i="29"/>
  <c r="B6" i="29"/>
  <c r="A6" i="29"/>
  <c r="A42" i="29" s="1"/>
  <c r="H5" i="29"/>
  <c r="F5" i="29"/>
  <c r="C5" i="29"/>
  <c r="B5" i="29"/>
  <c r="A5" i="29"/>
  <c r="A41" i="29" s="1"/>
  <c r="H4" i="29"/>
  <c r="H40" i="29" s="1"/>
  <c r="Y40" i="29" s="1"/>
  <c r="F4" i="29"/>
  <c r="F40" i="29" s="1"/>
  <c r="W40" i="29" s="1"/>
  <c r="C4" i="29"/>
  <c r="C40" i="29" s="1"/>
  <c r="T40" i="29" s="1"/>
  <c r="B4" i="29"/>
  <c r="B40" i="29" s="1"/>
  <c r="A4" i="29"/>
  <c r="A40" i="29" s="1"/>
  <c r="H3" i="29"/>
  <c r="H38" i="29" s="1"/>
  <c r="G3" i="29"/>
  <c r="G38" i="29" s="1"/>
  <c r="F3" i="29"/>
  <c r="F38" i="29" s="1"/>
  <c r="AK38" i="29" s="1"/>
  <c r="E3" i="29"/>
  <c r="E38" i="29" s="1"/>
  <c r="D3" i="29"/>
  <c r="D38" i="29" s="1"/>
  <c r="C3" i="29"/>
  <c r="C38" i="29" s="1"/>
  <c r="B3" i="29"/>
  <c r="B38" i="29" s="1"/>
  <c r="AG38" i="29" s="1"/>
  <c r="A3" i="29"/>
  <c r="H2" i="29"/>
  <c r="H37" i="29" s="1"/>
  <c r="G2" i="29"/>
  <c r="G37" i="29" s="1"/>
  <c r="F2" i="29"/>
  <c r="F37" i="29" s="1"/>
  <c r="E2" i="29"/>
  <c r="E37" i="29" s="1"/>
  <c r="D2" i="29"/>
  <c r="D37" i="29" s="1"/>
  <c r="C2" i="29"/>
  <c r="C37" i="29" s="1"/>
  <c r="B2" i="29"/>
  <c r="B37" i="29" s="1"/>
  <c r="H33" i="28"/>
  <c r="G33" i="28"/>
  <c r="E33" i="28"/>
  <c r="D33" i="28"/>
  <c r="B33" i="28"/>
  <c r="A33" i="28"/>
  <c r="H32" i="28"/>
  <c r="G32" i="28"/>
  <c r="E32" i="28"/>
  <c r="D32" i="28"/>
  <c r="B32" i="28"/>
  <c r="A32" i="28"/>
  <c r="H31" i="28"/>
  <c r="G31" i="28"/>
  <c r="E31" i="28"/>
  <c r="D31" i="28"/>
  <c r="B31" i="28"/>
  <c r="A31" i="28"/>
  <c r="H30" i="28"/>
  <c r="G30" i="28"/>
  <c r="E30" i="28"/>
  <c r="D30" i="28"/>
  <c r="B30" i="28"/>
  <c r="A30" i="28"/>
  <c r="H29" i="28"/>
  <c r="G29" i="28"/>
  <c r="E29" i="28"/>
  <c r="D29" i="28"/>
  <c r="B29" i="28"/>
  <c r="A29" i="28"/>
  <c r="H28" i="28"/>
  <c r="G28" i="28"/>
  <c r="E28" i="28"/>
  <c r="D28" i="28"/>
  <c r="B28" i="28"/>
  <c r="A28" i="28"/>
  <c r="H27" i="28"/>
  <c r="G27" i="28"/>
  <c r="E27" i="28"/>
  <c r="D27" i="28"/>
  <c r="B27" i="28"/>
  <c r="A27" i="28"/>
  <c r="H26" i="28"/>
  <c r="G26" i="28"/>
  <c r="E26" i="28"/>
  <c r="D26" i="28"/>
  <c r="B26" i="28"/>
  <c r="A26" i="28"/>
  <c r="A62" i="28" s="1"/>
  <c r="O62" i="28" s="1"/>
  <c r="H25" i="28"/>
  <c r="G25" i="28"/>
  <c r="E25" i="28"/>
  <c r="D25" i="28"/>
  <c r="B25" i="28"/>
  <c r="A25" i="28"/>
  <c r="A61" i="28" s="1"/>
  <c r="O61" i="28" s="1"/>
  <c r="H24" i="28"/>
  <c r="G24" i="28"/>
  <c r="E24" i="28"/>
  <c r="D24" i="28"/>
  <c r="B24" i="28"/>
  <c r="A24" i="28"/>
  <c r="A60" i="28" s="1"/>
  <c r="O60" i="28" s="1"/>
  <c r="H23" i="28"/>
  <c r="G23" i="28"/>
  <c r="E23" i="28"/>
  <c r="D23" i="28"/>
  <c r="B23" i="28"/>
  <c r="A23" i="28"/>
  <c r="H22" i="28"/>
  <c r="G22" i="28"/>
  <c r="E22" i="28"/>
  <c r="D22" i="28"/>
  <c r="B22" i="28"/>
  <c r="A22" i="28"/>
  <c r="A58" i="28" s="1"/>
  <c r="O58" i="28" s="1"/>
  <c r="H21" i="28"/>
  <c r="G21" i="28"/>
  <c r="E21" i="28"/>
  <c r="D21" i="28"/>
  <c r="B21" i="28"/>
  <c r="A21" i="28"/>
  <c r="A57" i="28" s="1"/>
  <c r="O57" i="28" s="1"/>
  <c r="H20" i="28"/>
  <c r="G20" i="28"/>
  <c r="E20" i="28"/>
  <c r="D20" i="28"/>
  <c r="B20" i="28"/>
  <c r="A20" i="28"/>
  <c r="H19" i="28"/>
  <c r="G19" i="28"/>
  <c r="E19" i="28"/>
  <c r="D19" i="28"/>
  <c r="B19" i="28"/>
  <c r="A19" i="28"/>
  <c r="A55" i="28" s="1"/>
  <c r="O55" i="28" s="1"/>
  <c r="H18" i="28"/>
  <c r="G18" i="28"/>
  <c r="E18" i="28"/>
  <c r="D18" i="28"/>
  <c r="B18" i="28"/>
  <c r="A18" i="28"/>
  <c r="A54" i="28" s="1"/>
  <c r="O54" i="28" s="1"/>
  <c r="H17" i="28"/>
  <c r="G17" i="28"/>
  <c r="E17" i="28"/>
  <c r="D17" i="28"/>
  <c r="B17" i="28"/>
  <c r="A17" i="28"/>
  <c r="H16" i="28"/>
  <c r="G16" i="28"/>
  <c r="E16" i="28"/>
  <c r="D16" i="28"/>
  <c r="B16" i="28"/>
  <c r="A16" i="28"/>
  <c r="A52" i="28" s="1"/>
  <c r="O52" i="28" s="1"/>
  <c r="H15" i="28"/>
  <c r="G15" i="28"/>
  <c r="E15" i="28"/>
  <c r="D15" i="28"/>
  <c r="B15" i="28"/>
  <c r="A15" i="28"/>
  <c r="H14" i="28"/>
  <c r="G14" i="28"/>
  <c r="C14" i="28"/>
  <c r="B14" i="28"/>
  <c r="A14" i="28"/>
  <c r="A50" i="28" s="1"/>
  <c r="O50" i="28" s="1"/>
  <c r="H13" i="28"/>
  <c r="G13" i="28"/>
  <c r="C13" i="28"/>
  <c r="B13" i="28"/>
  <c r="A13" i="28"/>
  <c r="A49" i="28" s="1"/>
  <c r="O49" i="28" s="1"/>
  <c r="H12" i="28"/>
  <c r="F12" i="28"/>
  <c r="C12" i="28"/>
  <c r="B12" i="28"/>
  <c r="A12" i="28"/>
  <c r="A48" i="28" s="1"/>
  <c r="O48" i="28" s="1"/>
  <c r="H11" i="28"/>
  <c r="F11" i="28"/>
  <c r="C11" i="28"/>
  <c r="B11" i="28"/>
  <c r="A11" i="28"/>
  <c r="A47" i="28" s="1"/>
  <c r="O47" i="28" s="1"/>
  <c r="H10" i="28"/>
  <c r="F10" i="28"/>
  <c r="C10" i="28"/>
  <c r="B10" i="28"/>
  <c r="A10" i="28"/>
  <c r="A46" i="28" s="1"/>
  <c r="O46" i="28" s="1"/>
  <c r="H9" i="28"/>
  <c r="F9" i="28"/>
  <c r="C9" i="28"/>
  <c r="B9" i="28"/>
  <c r="A9" i="28"/>
  <c r="A45" i="28" s="1"/>
  <c r="O45" i="28" s="1"/>
  <c r="H8" i="28"/>
  <c r="F8" i="28"/>
  <c r="C8" i="28"/>
  <c r="B8" i="28"/>
  <c r="A8" i="28"/>
  <c r="A44" i="28" s="1"/>
  <c r="O44" i="28" s="1"/>
  <c r="H7" i="28"/>
  <c r="F7" i="28"/>
  <c r="C7" i="28"/>
  <c r="B7" i="28"/>
  <c r="A7" i="28"/>
  <c r="A43" i="28" s="1"/>
  <c r="O43" i="28" s="1"/>
  <c r="H6" i="28"/>
  <c r="F6" i="28"/>
  <c r="C6" i="28"/>
  <c r="B6" i="28"/>
  <c r="A6" i="28"/>
  <c r="A42" i="28" s="1"/>
  <c r="O42" i="28" s="1"/>
  <c r="H5" i="28"/>
  <c r="F5" i="28"/>
  <c r="C5" i="28"/>
  <c r="B5" i="28"/>
  <c r="A5" i="28"/>
  <c r="A41" i="28" s="1"/>
  <c r="O41" i="28" s="1"/>
  <c r="H4" i="28"/>
  <c r="H40" i="28" s="1"/>
  <c r="F4" i="28"/>
  <c r="F40" i="28" s="1"/>
  <c r="C4" i="28"/>
  <c r="C40" i="28" s="1"/>
  <c r="C41" i="28" s="1"/>
  <c r="B4" i="28"/>
  <c r="B40" i="28" s="1"/>
  <c r="A4" i="28"/>
  <c r="A40" i="28" s="1"/>
  <c r="O40" i="28" s="1"/>
  <c r="H3" i="28"/>
  <c r="G3" i="28"/>
  <c r="G38" i="28" s="1"/>
  <c r="U38" i="28" s="1"/>
  <c r="F3" i="28"/>
  <c r="F38" i="28" s="1"/>
  <c r="T38" i="28" s="1"/>
  <c r="E3" i="28"/>
  <c r="D3" i="28"/>
  <c r="C3" i="28"/>
  <c r="C38" i="28" s="1"/>
  <c r="Q38" i="28" s="1"/>
  <c r="B3" i="28"/>
  <c r="B38" i="28" s="1"/>
  <c r="P38" i="28" s="1"/>
  <c r="A3" i="28"/>
  <c r="H2" i="28"/>
  <c r="G2" i="28"/>
  <c r="G37" i="28" s="1"/>
  <c r="U37" i="28" s="1"/>
  <c r="F2" i="28"/>
  <c r="F37" i="28" s="1"/>
  <c r="T37" i="28" s="1"/>
  <c r="E2" i="28"/>
  <c r="E37" i="28" s="1"/>
  <c r="S37" i="28" s="1"/>
  <c r="D2" i="28"/>
  <c r="D37" i="28" s="1"/>
  <c r="R37" i="28" s="1"/>
  <c r="C2" i="28"/>
  <c r="C37" i="28" s="1"/>
  <c r="Q37" i="28" s="1"/>
  <c r="B2" i="28"/>
  <c r="B37" i="28" s="1"/>
  <c r="P37" i="28" s="1"/>
  <c r="A64" i="28"/>
  <c r="O64" i="28" s="1"/>
  <c r="A63" i="28"/>
  <c r="O63" i="28" s="1"/>
  <c r="A59" i="28"/>
  <c r="O59" i="28" s="1"/>
  <c r="A56" i="28"/>
  <c r="O56" i="28" s="1"/>
  <c r="A53" i="28"/>
  <c r="O53" i="28" s="1"/>
  <c r="A51" i="28"/>
  <c r="O51" i="28" s="1"/>
  <c r="I39" i="28"/>
  <c r="W39" i="28" s="1"/>
  <c r="H38" i="28"/>
  <c r="V38" i="28" s="1"/>
  <c r="E38" i="28"/>
  <c r="S38" i="28" s="1"/>
  <c r="D38" i="28"/>
  <c r="R38" i="28" s="1"/>
  <c r="H37" i="28"/>
  <c r="V37" i="28" s="1"/>
  <c r="F41" i="28" l="1"/>
  <c r="B41" i="28"/>
  <c r="AG39" i="29"/>
  <c r="AK39" i="29"/>
  <c r="AH39" i="29"/>
  <c r="AI37" i="29"/>
  <c r="U37" i="29"/>
  <c r="R47" i="29"/>
  <c r="AF47" i="29"/>
  <c r="N47" i="29"/>
  <c r="AJ37" i="29"/>
  <c r="V37" i="29"/>
  <c r="AJ38" i="29"/>
  <c r="V38" i="29"/>
  <c r="AF40" i="29"/>
  <c r="N40" i="29"/>
  <c r="R40" i="29"/>
  <c r="AF44" i="29"/>
  <c r="N44" i="29"/>
  <c r="R44" i="29"/>
  <c r="AM37" i="29"/>
  <c r="Y37" i="29"/>
  <c r="AM38" i="29"/>
  <c r="Y38" i="29"/>
  <c r="S37" i="29"/>
  <c r="AG37" i="29"/>
  <c r="W37" i="29"/>
  <c r="AK37" i="29"/>
  <c r="I40" i="29"/>
  <c r="O40" i="29" s="1"/>
  <c r="S40" i="29" s="1"/>
  <c r="R41" i="29"/>
  <c r="AF41" i="29"/>
  <c r="N41" i="29"/>
  <c r="R45" i="29"/>
  <c r="N45" i="29"/>
  <c r="AF45" i="29"/>
  <c r="AI38" i="29"/>
  <c r="U38" i="29"/>
  <c r="AF43" i="29"/>
  <c r="N43" i="29"/>
  <c r="R43" i="29"/>
  <c r="T37" i="29"/>
  <c r="AH37" i="29"/>
  <c r="X37" i="29"/>
  <c r="AL37" i="29"/>
  <c r="AH38" i="29"/>
  <c r="T38" i="29"/>
  <c r="AL38" i="29"/>
  <c r="X38" i="29"/>
  <c r="R42" i="29"/>
  <c r="AF42" i="29"/>
  <c r="N42" i="29"/>
  <c r="AF46" i="29"/>
  <c r="R46" i="29"/>
  <c r="N46" i="29"/>
  <c r="S38" i="29"/>
  <c r="AF53" i="29"/>
  <c r="N53" i="29"/>
  <c r="AF54" i="29"/>
  <c r="N54" i="29"/>
  <c r="N55" i="29"/>
  <c r="R55" i="29"/>
  <c r="AF55" i="29"/>
  <c r="N57" i="29"/>
  <c r="R57" i="29"/>
  <c r="AF57" i="29"/>
  <c r="N59" i="29"/>
  <c r="R59" i="29"/>
  <c r="AF59" i="29"/>
  <c r="N61" i="29"/>
  <c r="AF61" i="29"/>
  <c r="R61" i="29"/>
  <c r="N63" i="29"/>
  <c r="AF63" i="29"/>
  <c r="R63" i="29"/>
  <c r="AN39" i="29"/>
  <c r="AF51" i="29"/>
  <c r="N51" i="29"/>
  <c r="AF52" i="29"/>
  <c r="N52" i="29"/>
  <c r="AF48" i="29"/>
  <c r="N48" i="29"/>
  <c r="AF50" i="29"/>
  <c r="W38" i="29"/>
  <c r="AF49" i="29"/>
  <c r="N49" i="29"/>
  <c r="R49" i="29"/>
  <c r="N56" i="29"/>
  <c r="R56" i="29"/>
  <c r="AF56" i="29"/>
  <c r="N58" i="29"/>
  <c r="R58" i="29"/>
  <c r="AF58" i="29"/>
  <c r="N60" i="29"/>
  <c r="AF60" i="29"/>
  <c r="R60" i="29"/>
  <c r="N62" i="29"/>
  <c r="AF62" i="29"/>
  <c r="R62" i="29"/>
  <c r="N64" i="29"/>
  <c r="AF64" i="29"/>
  <c r="R64" i="29"/>
  <c r="N50" i="29"/>
  <c r="R51" i="29"/>
  <c r="R52" i="29"/>
  <c r="R53" i="29"/>
  <c r="R54" i="29"/>
  <c r="Q39" i="28"/>
  <c r="C42" i="28"/>
  <c r="F42" i="28"/>
  <c r="B42" i="28"/>
  <c r="H41" i="28"/>
  <c r="I41" i="28" s="1"/>
  <c r="T39" i="28"/>
  <c r="I40" i="28"/>
  <c r="Q40" i="28" s="1"/>
  <c r="V39" i="28"/>
  <c r="P39" i="28"/>
  <c r="AY39" i="26"/>
  <c r="BI39" i="26" s="1"/>
  <c r="AW39" i="26"/>
  <c r="BG39" i="26" s="1"/>
  <c r="AV39" i="26"/>
  <c r="BF39" i="26" s="1"/>
  <c r="AS39" i="26"/>
  <c r="BC39" i="26" s="1"/>
  <c r="Y39" i="26"/>
  <c r="X39" i="26"/>
  <c r="W39" i="26"/>
  <c r="V39" i="26"/>
  <c r="U39" i="26"/>
  <c r="T39" i="26"/>
  <c r="S39" i="26"/>
  <c r="R39" i="26"/>
  <c r="I39" i="26"/>
  <c r="Z39" i="26" s="1"/>
  <c r="AO39" i="26" s="1"/>
  <c r="BA39" i="26" s="1"/>
  <c r="BK39" i="26" s="1"/>
  <c r="BA38" i="26"/>
  <c r="BK38" i="26" s="1"/>
  <c r="AS38" i="26"/>
  <c r="Z38" i="26"/>
  <c r="R38" i="26"/>
  <c r="O33" i="26"/>
  <c r="N33" i="26"/>
  <c r="H33" i="26"/>
  <c r="G33" i="26"/>
  <c r="E33" i="26"/>
  <c r="D33" i="26"/>
  <c r="B33" i="26"/>
  <c r="A33" i="26"/>
  <c r="O32" i="26"/>
  <c r="N32" i="26"/>
  <c r="H32" i="26"/>
  <c r="G32" i="26"/>
  <c r="E32" i="26"/>
  <c r="D32" i="26"/>
  <c r="B32" i="26"/>
  <c r="A32" i="26"/>
  <c r="O31" i="26"/>
  <c r="N31" i="26"/>
  <c r="H31" i="26"/>
  <c r="G31" i="26"/>
  <c r="E31" i="26"/>
  <c r="D31" i="26"/>
  <c r="B31" i="26"/>
  <c r="A31" i="26"/>
  <c r="O30" i="26"/>
  <c r="N30" i="26"/>
  <c r="H30" i="26"/>
  <c r="G30" i="26"/>
  <c r="E30" i="26"/>
  <c r="D30" i="26"/>
  <c r="B30" i="26"/>
  <c r="A30" i="26"/>
  <c r="O29" i="26"/>
  <c r="N29" i="26"/>
  <c r="H29" i="26"/>
  <c r="G29" i="26"/>
  <c r="E29" i="26"/>
  <c r="D29" i="26"/>
  <c r="B29" i="26"/>
  <c r="A29" i="26"/>
  <c r="O28" i="26"/>
  <c r="N28" i="26"/>
  <c r="H28" i="26"/>
  <c r="G28" i="26"/>
  <c r="E28" i="26"/>
  <c r="D28" i="26"/>
  <c r="B28" i="26"/>
  <c r="A28" i="26"/>
  <c r="A64" i="26" s="1"/>
  <c r="O27" i="26"/>
  <c r="N27" i="26"/>
  <c r="H27" i="26"/>
  <c r="G27" i="26"/>
  <c r="E27" i="26"/>
  <c r="D27" i="26"/>
  <c r="B27" i="26"/>
  <c r="A27" i="26"/>
  <c r="A63" i="26" s="1"/>
  <c r="O26" i="26"/>
  <c r="N26" i="26"/>
  <c r="H26" i="26"/>
  <c r="G26" i="26"/>
  <c r="E26" i="26"/>
  <c r="D26" i="26"/>
  <c r="B26" i="26"/>
  <c r="A26" i="26"/>
  <c r="A62" i="26" s="1"/>
  <c r="O25" i="26"/>
  <c r="N25" i="26"/>
  <c r="H25" i="26"/>
  <c r="G25" i="26"/>
  <c r="E25" i="26"/>
  <c r="D25" i="26"/>
  <c r="B25" i="26"/>
  <c r="A25" i="26"/>
  <c r="A61" i="26" s="1"/>
  <c r="O24" i="26"/>
  <c r="N24" i="26"/>
  <c r="H24" i="26"/>
  <c r="G24" i="26"/>
  <c r="E24" i="26"/>
  <c r="D24" i="26"/>
  <c r="B24" i="26"/>
  <c r="A24" i="26"/>
  <c r="A60" i="26" s="1"/>
  <c r="O23" i="26"/>
  <c r="N23" i="26"/>
  <c r="H23" i="26"/>
  <c r="G23" i="26"/>
  <c r="E23" i="26"/>
  <c r="D23" i="26"/>
  <c r="B23" i="26"/>
  <c r="A23" i="26"/>
  <c r="A59" i="26" s="1"/>
  <c r="O22" i="26"/>
  <c r="N22" i="26"/>
  <c r="H22" i="26"/>
  <c r="G22" i="26"/>
  <c r="E22" i="26"/>
  <c r="D22" i="26"/>
  <c r="B22" i="26"/>
  <c r="A22" i="26"/>
  <c r="A58" i="26" s="1"/>
  <c r="O21" i="26"/>
  <c r="N21" i="26"/>
  <c r="H21" i="26"/>
  <c r="G21" i="26"/>
  <c r="E21" i="26"/>
  <c r="D21" i="26"/>
  <c r="B21" i="26"/>
  <c r="A21" i="26"/>
  <c r="A57" i="26" s="1"/>
  <c r="O20" i="26"/>
  <c r="N20" i="26"/>
  <c r="H20" i="26"/>
  <c r="G20" i="26"/>
  <c r="E20" i="26"/>
  <c r="D20" i="26"/>
  <c r="B20" i="26"/>
  <c r="A20" i="26"/>
  <c r="A56" i="26" s="1"/>
  <c r="O19" i="26"/>
  <c r="N19" i="26"/>
  <c r="H19" i="26"/>
  <c r="G19" i="26"/>
  <c r="E19" i="26"/>
  <c r="D19" i="26"/>
  <c r="B19" i="26"/>
  <c r="A19" i="26"/>
  <c r="A55" i="26" s="1"/>
  <c r="O18" i="26"/>
  <c r="N18" i="26"/>
  <c r="H18" i="26"/>
  <c r="G18" i="26"/>
  <c r="E18" i="26"/>
  <c r="D18" i="26"/>
  <c r="B18" i="26"/>
  <c r="A18" i="26"/>
  <c r="A54" i="26" s="1"/>
  <c r="O17" i="26"/>
  <c r="N17" i="26"/>
  <c r="H17" i="26"/>
  <c r="G17" i="26"/>
  <c r="E17" i="26"/>
  <c r="D17" i="26"/>
  <c r="B17" i="26"/>
  <c r="A17" i="26"/>
  <c r="A53" i="26" s="1"/>
  <c r="O16" i="26"/>
  <c r="N16" i="26"/>
  <c r="H16" i="26"/>
  <c r="G16" i="26"/>
  <c r="E16" i="26"/>
  <c r="D16" i="26"/>
  <c r="B16" i="26"/>
  <c r="A16" i="26"/>
  <c r="A52" i="26" s="1"/>
  <c r="O15" i="26"/>
  <c r="N15" i="26"/>
  <c r="H15" i="26"/>
  <c r="G15" i="26"/>
  <c r="E15" i="26"/>
  <c r="D15" i="26"/>
  <c r="B15" i="26"/>
  <c r="A15" i="26"/>
  <c r="A51" i="26" s="1"/>
  <c r="O14" i="26"/>
  <c r="N14" i="26"/>
  <c r="H14" i="26"/>
  <c r="G14" i="26"/>
  <c r="C14" i="26"/>
  <c r="B14" i="26"/>
  <c r="A14" i="26"/>
  <c r="A50" i="26" s="1"/>
  <c r="R50" i="26" s="1"/>
  <c r="O13" i="26"/>
  <c r="N13" i="26"/>
  <c r="H13" i="26"/>
  <c r="G13" i="26"/>
  <c r="C13" i="26"/>
  <c r="B13" i="26"/>
  <c r="A13" i="26"/>
  <c r="A49" i="26" s="1"/>
  <c r="R49" i="26" s="1"/>
  <c r="O12" i="26"/>
  <c r="N12" i="26"/>
  <c r="H12" i="26"/>
  <c r="F12" i="26"/>
  <c r="C12" i="26"/>
  <c r="B12" i="26"/>
  <c r="A12" i="26"/>
  <c r="A48" i="26" s="1"/>
  <c r="O11" i="26"/>
  <c r="N11" i="26"/>
  <c r="H11" i="26"/>
  <c r="F11" i="26"/>
  <c r="C11" i="26"/>
  <c r="B11" i="26"/>
  <c r="A11" i="26"/>
  <c r="A47" i="26" s="1"/>
  <c r="R47" i="26" s="1"/>
  <c r="O10" i="26"/>
  <c r="N10" i="26"/>
  <c r="H10" i="26"/>
  <c r="F10" i="26"/>
  <c r="C10" i="26"/>
  <c r="B10" i="26"/>
  <c r="A10" i="26"/>
  <c r="A46" i="26" s="1"/>
  <c r="O9" i="26"/>
  <c r="N9" i="26"/>
  <c r="H9" i="26"/>
  <c r="F9" i="26"/>
  <c r="C9" i="26"/>
  <c r="B9" i="26"/>
  <c r="A9" i="26"/>
  <c r="A45" i="26" s="1"/>
  <c r="O8" i="26"/>
  <c r="N8" i="26"/>
  <c r="H8" i="26"/>
  <c r="F8" i="26"/>
  <c r="C8" i="26"/>
  <c r="B8" i="26"/>
  <c r="A8" i="26"/>
  <c r="A44" i="26" s="1"/>
  <c r="O7" i="26"/>
  <c r="N7" i="26"/>
  <c r="H7" i="26"/>
  <c r="F7" i="26"/>
  <c r="C7" i="26"/>
  <c r="B7" i="26"/>
  <c r="A7" i="26"/>
  <c r="A43" i="26" s="1"/>
  <c r="O6" i="26"/>
  <c r="N6" i="26"/>
  <c r="H6" i="26"/>
  <c r="F6" i="26"/>
  <c r="C6" i="26"/>
  <c r="B6" i="26"/>
  <c r="A6" i="26"/>
  <c r="A42" i="26" s="1"/>
  <c r="O5" i="26"/>
  <c r="N5" i="26"/>
  <c r="H5" i="26"/>
  <c r="F5" i="26"/>
  <c r="C5" i="26"/>
  <c r="B5" i="26"/>
  <c r="A5" i="26"/>
  <c r="A41" i="26" s="1"/>
  <c r="R41" i="26" s="1"/>
  <c r="O4" i="26"/>
  <c r="N4" i="26"/>
  <c r="H4" i="26"/>
  <c r="H40" i="26" s="1"/>
  <c r="F4" i="26"/>
  <c r="F40" i="26" s="1"/>
  <c r="C4" i="26"/>
  <c r="C40" i="26" s="1"/>
  <c r="B4" i="26"/>
  <c r="B40" i="26" s="1"/>
  <c r="A4" i="26"/>
  <c r="A40" i="26" s="1"/>
  <c r="O3" i="26"/>
  <c r="N3" i="26"/>
  <c r="H3" i="26"/>
  <c r="H38" i="26" s="1"/>
  <c r="G3" i="26"/>
  <c r="G38" i="26" s="1"/>
  <c r="F3" i="26"/>
  <c r="F38" i="26" s="1"/>
  <c r="E3" i="26"/>
  <c r="E38" i="26" s="1"/>
  <c r="D3" i="26"/>
  <c r="D38" i="26" s="1"/>
  <c r="C3" i="26"/>
  <c r="C38" i="26" s="1"/>
  <c r="B3" i="26"/>
  <c r="B38" i="26" s="1"/>
  <c r="A3" i="26"/>
  <c r="H2" i="26"/>
  <c r="H37" i="26" s="1"/>
  <c r="G2" i="26"/>
  <c r="G37" i="26" s="1"/>
  <c r="X37" i="26" s="1"/>
  <c r="F2" i="26"/>
  <c r="F37" i="26" s="1"/>
  <c r="AL37" i="26" s="1"/>
  <c r="AX37" i="26" s="1"/>
  <c r="BH37" i="26" s="1"/>
  <c r="E2" i="26"/>
  <c r="E37" i="26" s="1"/>
  <c r="D2" i="26"/>
  <c r="D37" i="26" s="1"/>
  <c r="C2" i="26"/>
  <c r="C37" i="26" s="1"/>
  <c r="T37" i="26" s="1"/>
  <c r="B2" i="26"/>
  <c r="B37" i="26" s="1"/>
  <c r="AH37" i="26" s="1"/>
  <c r="AT37" i="26" s="1"/>
  <c r="BD37" i="26" s="1"/>
  <c r="AH39" i="25"/>
  <c r="AR39" i="25" s="1"/>
  <c r="AB39" i="25"/>
  <c r="AL39" i="25" s="1"/>
  <c r="AF39" i="25"/>
  <c r="AP39" i="25" s="1"/>
  <c r="AE39" i="25"/>
  <c r="AO39" i="25" s="1"/>
  <c r="AJ38" i="25"/>
  <c r="AT38" i="25" s="1"/>
  <c r="AB38" i="25"/>
  <c r="H33" i="25"/>
  <c r="G33" i="25"/>
  <c r="E33" i="25"/>
  <c r="D33" i="25"/>
  <c r="B33" i="25"/>
  <c r="A33" i="25"/>
  <c r="H32" i="25"/>
  <c r="G32" i="25"/>
  <c r="E32" i="25"/>
  <c r="D32" i="25"/>
  <c r="B32" i="25"/>
  <c r="A32" i="25"/>
  <c r="H31" i="25"/>
  <c r="G31" i="25"/>
  <c r="E31" i="25"/>
  <c r="D31" i="25"/>
  <c r="B31" i="25"/>
  <c r="A31" i="25"/>
  <c r="H30" i="25"/>
  <c r="G30" i="25"/>
  <c r="E30" i="25"/>
  <c r="D30" i="25"/>
  <c r="B30" i="25"/>
  <c r="A30" i="25"/>
  <c r="H29" i="25"/>
  <c r="G29" i="25"/>
  <c r="E29" i="25"/>
  <c r="D29" i="25"/>
  <c r="B29" i="25"/>
  <c r="A29" i="25"/>
  <c r="H28" i="25"/>
  <c r="G28" i="25"/>
  <c r="E28" i="25"/>
  <c r="D28" i="25"/>
  <c r="B28" i="25"/>
  <c r="A28" i="25"/>
  <c r="A64" i="25" s="1"/>
  <c r="H27" i="25"/>
  <c r="G27" i="25"/>
  <c r="E27" i="25"/>
  <c r="D27" i="25"/>
  <c r="B27" i="25"/>
  <c r="A27" i="25"/>
  <c r="A63" i="25" s="1"/>
  <c r="H26" i="25"/>
  <c r="G26" i="25"/>
  <c r="E26" i="25"/>
  <c r="D26" i="25"/>
  <c r="B26" i="25"/>
  <c r="A26" i="25"/>
  <c r="A62" i="25" s="1"/>
  <c r="O62" i="25" s="1"/>
  <c r="AB62" i="25" s="1"/>
  <c r="H25" i="25"/>
  <c r="G25" i="25"/>
  <c r="E25" i="25"/>
  <c r="D25" i="25"/>
  <c r="B25" i="25"/>
  <c r="A25" i="25"/>
  <c r="A61" i="25" s="1"/>
  <c r="H24" i="25"/>
  <c r="G24" i="25"/>
  <c r="E24" i="25"/>
  <c r="D24" i="25"/>
  <c r="B24" i="25"/>
  <c r="A24" i="25"/>
  <c r="A60" i="25" s="1"/>
  <c r="AL60" i="25" s="1"/>
  <c r="H23" i="25"/>
  <c r="G23" i="25"/>
  <c r="E23" i="25"/>
  <c r="D23" i="25"/>
  <c r="B23" i="25"/>
  <c r="A23" i="25"/>
  <c r="A59" i="25" s="1"/>
  <c r="H22" i="25"/>
  <c r="G22" i="25"/>
  <c r="E22" i="25"/>
  <c r="D22" i="25"/>
  <c r="B22" i="25"/>
  <c r="A22" i="25"/>
  <c r="A58" i="25" s="1"/>
  <c r="H21" i="25"/>
  <c r="G21" i="25"/>
  <c r="E21" i="25"/>
  <c r="D21" i="25"/>
  <c r="B21" i="25"/>
  <c r="A21" i="25"/>
  <c r="A57" i="25" s="1"/>
  <c r="H20" i="25"/>
  <c r="G20" i="25"/>
  <c r="E20" i="25"/>
  <c r="D20" i="25"/>
  <c r="B20" i="25"/>
  <c r="A20" i="25"/>
  <c r="A56" i="25" s="1"/>
  <c r="O56" i="25" s="1"/>
  <c r="AB56" i="25" s="1"/>
  <c r="H19" i="25"/>
  <c r="G19" i="25"/>
  <c r="E19" i="25"/>
  <c r="D19" i="25"/>
  <c r="B19" i="25"/>
  <c r="A19" i="25"/>
  <c r="A55" i="25" s="1"/>
  <c r="H18" i="25"/>
  <c r="G18" i="25"/>
  <c r="E18" i="25"/>
  <c r="D18" i="25"/>
  <c r="B18" i="25"/>
  <c r="A18" i="25"/>
  <c r="A54" i="25" s="1"/>
  <c r="AL54" i="25" s="1"/>
  <c r="H17" i="25"/>
  <c r="G17" i="25"/>
  <c r="E17" i="25"/>
  <c r="D17" i="25"/>
  <c r="B17" i="25"/>
  <c r="A17" i="25"/>
  <c r="A53" i="25" s="1"/>
  <c r="H16" i="25"/>
  <c r="G16" i="25"/>
  <c r="E16" i="25"/>
  <c r="D16" i="25"/>
  <c r="B16" i="25"/>
  <c r="A16" i="25"/>
  <c r="A52" i="25" s="1"/>
  <c r="H15" i="25"/>
  <c r="G15" i="25"/>
  <c r="E15" i="25"/>
  <c r="D15" i="25"/>
  <c r="B15" i="25"/>
  <c r="A15" i="25"/>
  <c r="A51" i="25" s="1"/>
  <c r="AL51" i="25" s="1"/>
  <c r="H14" i="25"/>
  <c r="G14" i="25"/>
  <c r="G50" i="25" s="1"/>
  <c r="C14" i="25"/>
  <c r="B14" i="25"/>
  <c r="A14" i="25"/>
  <c r="A50" i="25" s="1"/>
  <c r="H13" i="25"/>
  <c r="G13" i="25"/>
  <c r="C13" i="25"/>
  <c r="B13" i="25"/>
  <c r="A13" i="25"/>
  <c r="A49" i="25" s="1"/>
  <c r="AL49" i="25" s="1"/>
  <c r="H12" i="25"/>
  <c r="F12" i="25"/>
  <c r="C12" i="25"/>
  <c r="B12" i="25"/>
  <c r="A12" i="25"/>
  <c r="A48" i="25" s="1"/>
  <c r="O48" i="25" s="1"/>
  <c r="AB48" i="25" s="1"/>
  <c r="H11" i="25"/>
  <c r="F11" i="25"/>
  <c r="C11" i="25"/>
  <c r="B11" i="25"/>
  <c r="A11" i="25"/>
  <c r="A47" i="25" s="1"/>
  <c r="AL47" i="25" s="1"/>
  <c r="H10" i="25"/>
  <c r="F10" i="25"/>
  <c r="C10" i="25"/>
  <c r="B10" i="25"/>
  <c r="A10" i="25"/>
  <c r="A46" i="25" s="1"/>
  <c r="H9" i="25"/>
  <c r="F9" i="25"/>
  <c r="C9" i="25"/>
  <c r="B9" i="25"/>
  <c r="A9" i="25"/>
  <c r="A45" i="25" s="1"/>
  <c r="AL45" i="25" s="1"/>
  <c r="H8" i="25"/>
  <c r="F8" i="25"/>
  <c r="C8" i="25"/>
  <c r="B8" i="25"/>
  <c r="A8" i="25"/>
  <c r="A44" i="25" s="1"/>
  <c r="O44" i="25" s="1"/>
  <c r="AB44" i="25" s="1"/>
  <c r="H7" i="25"/>
  <c r="F7" i="25"/>
  <c r="C7" i="25"/>
  <c r="B7" i="25"/>
  <c r="A7" i="25"/>
  <c r="A43" i="25" s="1"/>
  <c r="AL43" i="25" s="1"/>
  <c r="H6" i="25"/>
  <c r="F6" i="25"/>
  <c r="C6" i="25"/>
  <c r="B6" i="25"/>
  <c r="A6" i="25"/>
  <c r="A42" i="25" s="1"/>
  <c r="H5" i="25"/>
  <c r="F5" i="25"/>
  <c r="C5" i="25"/>
  <c r="B5" i="25"/>
  <c r="A5" i="25"/>
  <c r="A41" i="25" s="1"/>
  <c r="AL41" i="25" s="1"/>
  <c r="H4" i="25"/>
  <c r="F4" i="25"/>
  <c r="F40" i="25" s="1"/>
  <c r="C4" i="25"/>
  <c r="C40" i="25" s="1"/>
  <c r="B4" i="25"/>
  <c r="B40" i="25" s="1"/>
  <c r="A4" i="25"/>
  <c r="A40" i="25" s="1"/>
  <c r="O40" i="25" s="1"/>
  <c r="AB40" i="25" s="1"/>
  <c r="H3" i="25"/>
  <c r="H38" i="25" s="1"/>
  <c r="V38" i="25" s="1"/>
  <c r="AI38" i="25" s="1"/>
  <c r="AS38" i="25" s="1"/>
  <c r="G3" i="25"/>
  <c r="G38" i="25" s="1"/>
  <c r="U38" i="25" s="1"/>
  <c r="AH38" i="25" s="1"/>
  <c r="AR38" i="25" s="1"/>
  <c r="F3" i="25"/>
  <c r="F38" i="25" s="1"/>
  <c r="T38" i="25" s="1"/>
  <c r="AG38" i="25" s="1"/>
  <c r="AQ38" i="25" s="1"/>
  <c r="E3" i="25"/>
  <c r="E38" i="25" s="1"/>
  <c r="S38" i="25" s="1"/>
  <c r="AF38" i="25" s="1"/>
  <c r="AP38" i="25" s="1"/>
  <c r="D3" i="25"/>
  <c r="D38" i="25" s="1"/>
  <c r="R38" i="25" s="1"/>
  <c r="AE38" i="25" s="1"/>
  <c r="AO38" i="25" s="1"/>
  <c r="C3" i="25"/>
  <c r="C38" i="25" s="1"/>
  <c r="Q38" i="25" s="1"/>
  <c r="AD38" i="25" s="1"/>
  <c r="AN38" i="25" s="1"/>
  <c r="B3" i="25"/>
  <c r="B38" i="25" s="1"/>
  <c r="P38" i="25" s="1"/>
  <c r="AC38" i="25" s="1"/>
  <c r="AM38" i="25" s="1"/>
  <c r="A3" i="25"/>
  <c r="H2" i="25"/>
  <c r="H37" i="25" s="1"/>
  <c r="V37" i="25" s="1"/>
  <c r="AI37" i="25" s="1"/>
  <c r="AS37" i="25" s="1"/>
  <c r="G2" i="25"/>
  <c r="G37" i="25" s="1"/>
  <c r="U37" i="25" s="1"/>
  <c r="AH37" i="25" s="1"/>
  <c r="AR37" i="25" s="1"/>
  <c r="F2" i="25"/>
  <c r="F37" i="25" s="1"/>
  <c r="T37" i="25" s="1"/>
  <c r="AG37" i="25" s="1"/>
  <c r="AQ37" i="25" s="1"/>
  <c r="E2" i="25"/>
  <c r="E37" i="25" s="1"/>
  <c r="S37" i="25" s="1"/>
  <c r="AF37" i="25" s="1"/>
  <c r="AP37" i="25" s="1"/>
  <c r="D2" i="25"/>
  <c r="D37" i="25" s="1"/>
  <c r="R37" i="25" s="1"/>
  <c r="AE37" i="25" s="1"/>
  <c r="AO37" i="25" s="1"/>
  <c r="C2" i="25"/>
  <c r="C37" i="25" s="1"/>
  <c r="Q37" i="25" s="1"/>
  <c r="AD37" i="25" s="1"/>
  <c r="AN37" i="25" s="1"/>
  <c r="B2" i="25"/>
  <c r="B37" i="25" s="1"/>
  <c r="P37" i="25" s="1"/>
  <c r="AC37" i="25" s="1"/>
  <c r="AM37" i="25" s="1"/>
  <c r="S38" i="26" l="1"/>
  <c r="AH38" i="26"/>
  <c r="AT38" i="26" s="1"/>
  <c r="BD38" i="26" s="1"/>
  <c r="W38" i="26"/>
  <c r="AL38" i="26"/>
  <c r="AX38" i="26" s="1"/>
  <c r="BH38" i="26" s="1"/>
  <c r="AL56" i="25"/>
  <c r="AL62" i="25"/>
  <c r="AG47" i="26"/>
  <c r="AS47" i="26" s="1"/>
  <c r="BC47" i="26" s="1"/>
  <c r="O60" i="25"/>
  <c r="AB60" i="25" s="1"/>
  <c r="J40" i="29"/>
  <c r="K40" i="29" s="1"/>
  <c r="L40" i="29" s="1"/>
  <c r="J41" i="28"/>
  <c r="K41" i="28" s="1"/>
  <c r="L41" i="28" s="1"/>
  <c r="Q41" i="28"/>
  <c r="P41" i="28"/>
  <c r="T41" i="28"/>
  <c r="J40" i="28"/>
  <c r="K40" i="28" s="1"/>
  <c r="L40" i="28" s="1"/>
  <c r="T40" i="28"/>
  <c r="F43" i="28"/>
  <c r="C43" i="28"/>
  <c r="H42" i="28"/>
  <c r="I42" i="28" s="1"/>
  <c r="V41" i="28"/>
  <c r="P40" i="28"/>
  <c r="V40" i="28"/>
  <c r="B43" i="28"/>
  <c r="AL39" i="26"/>
  <c r="AX39" i="26" s="1"/>
  <c r="BH39" i="26" s="1"/>
  <c r="AG48" i="26"/>
  <c r="AS48" i="26" s="1"/>
  <c r="BC48" i="26" s="1"/>
  <c r="N48" i="26"/>
  <c r="R48" i="26"/>
  <c r="AI37" i="26"/>
  <c r="AU37" i="26" s="1"/>
  <c r="BE37" i="26" s="1"/>
  <c r="AK38" i="26"/>
  <c r="AW38" i="26" s="1"/>
  <c r="BG38" i="26" s="1"/>
  <c r="V38" i="26"/>
  <c r="AG42" i="26"/>
  <c r="AS42" i="26" s="1"/>
  <c r="BC42" i="26" s="1"/>
  <c r="N42" i="26"/>
  <c r="S37" i="26"/>
  <c r="AI39" i="26"/>
  <c r="AU39" i="26" s="1"/>
  <c r="BE39" i="26" s="1"/>
  <c r="N41" i="26"/>
  <c r="AI38" i="26"/>
  <c r="AU38" i="26" s="1"/>
  <c r="BE38" i="26" s="1"/>
  <c r="T38" i="26"/>
  <c r="AG40" i="26"/>
  <c r="AS40" i="26" s="1"/>
  <c r="BC40" i="26" s="1"/>
  <c r="N40" i="26"/>
  <c r="AG44" i="26"/>
  <c r="AS44" i="26" s="1"/>
  <c r="BC44" i="26" s="1"/>
  <c r="N44" i="26"/>
  <c r="R44" i="26"/>
  <c r="R45" i="26"/>
  <c r="AG45" i="26"/>
  <c r="AS45" i="26" s="1"/>
  <c r="BC45" i="26" s="1"/>
  <c r="N45" i="26"/>
  <c r="W37" i="26"/>
  <c r="AN39" i="26"/>
  <c r="AZ39" i="26" s="1"/>
  <c r="BJ39" i="26" s="1"/>
  <c r="AM38" i="26"/>
  <c r="AY38" i="26" s="1"/>
  <c r="BI38" i="26" s="1"/>
  <c r="X38" i="26"/>
  <c r="R40" i="26"/>
  <c r="U37" i="26"/>
  <c r="AJ37" i="26"/>
  <c r="AV37" i="26" s="1"/>
  <c r="BF37" i="26" s="1"/>
  <c r="Y37" i="26"/>
  <c r="AN37" i="26"/>
  <c r="AZ37" i="26" s="1"/>
  <c r="BJ37" i="26" s="1"/>
  <c r="AJ38" i="26"/>
  <c r="AV38" i="26" s="1"/>
  <c r="BF38" i="26" s="1"/>
  <c r="U38" i="26"/>
  <c r="AN38" i="26"/>
  <c r="AZ38" i="26" s="1"/>
  <c r="BJ38" i="26" s="1"/>
  <c r="Y38" i="26"/>
  <c r="I40" i="26"/>
  <c r="O40" i="26" s="1"/>
  <c r="Y40" i="26" s="1"/>
  <c r="AG43" i="26"/>
  <c r="AS43" i="26" s="1"/>
  <c r="BC43" i="26" s="1"/>
  <c r="R43" i="26"/>
  <c r="N43" i="26"/>
  <c r="AG58" i="26"/>
  <c r="AS58" i="26" s="1"/>
  <c r="BC58" i="26" s="1"/>
  <c r="R58" i="26"/>
  <c r="N58" i="26"/>
  <c r="V37" i="26"/>
  <c r="AK37" i="26"/>
  <c r="AW37" i="26" s="1"/>
  <c r="BG37" i="26" s="1"/>
  <c r="AM37" i="26"/>
  <c r="AY37" i="26" s="1"/>
  <c r="BI37" i="26" s="1"/>
  <c r="AH39" i="26"/>
  <c r="AT39" i="26" s="1"/>
  <c r="BD39" i="26" s="1"/>
  <c r="AG41" i="26"/>
  <c r="AS41" i="26" s="1"/>
  <c r="BC41" i="26" s="1"/>
  <c r="R42" i="26"/>
  <c r="AG54" i="26"/>
  <c r="AS54" i="26" s="1"/>
  <c r="BC54" i="26" s="1"/>
  <c r="N54" i="26"/>
  <c r="R51" i="26"/>
  <c r="AG51" i="26"/>
  <c r="AS51" i="26" s="1"/>
  <c r="BC51" i="26" s="1"/>
  <c r="N51" i="26"/>
  <c r="R52" i="26"/>
  <c r="AG52" i="26"/>
  <c r="AS52" i="26" s="1"/>
  <c r="BC52" i="26" s="1"/>
  <c r="N53" i="26"/>
  <c r="R53" i="26"/>
  <c r="R55" i="26"/>
  <c r="AG55" i="26"/>
  <c r="AS55" i="26" s="1"/>
  <c r="BC55" i="26" s="1"/>
  <c r="N55" i="26"/>
  <c r="R56" i="26"/>
  <c r="AG56" i="26"/>
  <c r="AS56" i="26" s="1"/>
  <c r="BC56" i="26" s="1"/>
  <c r="N57" i="26"/>
  <c r="R57" i="26"/>
  <c r="N59" i="26"/>
  <c r="AG59" i="26"/>
  <c r="AS59" i="26" s="1"/>
  <c r="BC59" i="26" s="1"/>
  <c r="R59" i="26"/>
  <c r="AG60" i="26"/>
  <c r="AS60" i="26" s="1"/>
  <c r="BC60" i="26" s="1"/>
  <c r="N60" i="26"/>
  <c r="R61" i="26"/>
  <c r="AG61" i="26"/>
  <c r="AS61" i="26" s="1"/>
  <c r="BC61" i="26" s="1"/>
  <c r="N61" i="26"/>
  <c r="R62" i="26"/>
  <c r="AG62" i="26"/>
  <c r="AS62" i="26" s="1"/>
  <c r="BC62" i="26" s="1"/>
  <c r="N62" i="26"/>
  <c r="AG63" i="26"/>
  <c r="AS63" i="26" s="1"/>
  <c r="BC63" i="26" s="1"/>
  <c r="N63" i="26"/>
  <c r="R63" i="26"/>
  <c r="R64" i="26"/>
  <c r="AG64" i="26"/>
  <c r="AS64" i="26" s="1"/>
  <c r="BC64" i="26" s="1"/>
  <c r="N64" i="26"/>
  <c r="N47" i="26"/>
  <c r="AG49" i="26"/>
  <c r="AS49" i="26" s="1"/>
  <c r="BC49" i="26" s="1"/>
  <c r="AG57" i="26"/>
  <c r="AS57" i="26" s="1"/>
  <c r="BC57" i="26" s="1"/>
  <c r="R60" i="26"/>
  <c r="AG46" i="26"/>
  <c r="AS46" i="26" s="1"/>
  <c r="BC46" i="26" s="1"/>
  <c r="N46" i="26"/>
  <c r="AG50" i="26"/>
  <c r="AS50" i="26" s="1"/>
  <c r="BC50" i="26" s="1"/>
  <c r="N50" i="26"/>
  <c r="N49" i="26"/>
  <c r="AG53" i="26"/>
  <c r="AS53" i="26" s="1"/>
  <c r="BC53" i="26" s="1"/>
  <c r="N56" i="26"/>
  <c r="R46" i="26"/>
  <c r="N52" i="26"/>
  <c r="R54" i="26"/>
  <c r="O46" i="25"/>
  <c r="AB46" i="25" s="1"/>
  <c r="AL46" i="25"/>
  <c r="O50" i="25"/>
  <c r="AB50" i="25" s="1"/>
  <c r="AL50" i="25"/>
  <c r="O42" i="25"/>
  <c r="AB42" i="25" s="1"/>
  <c r="AL42" i="25"/>
  <c r="AL53" i="25"/>
  <c r="O53" i="25"/>
  <c r="AB53" i="25" s="1"/>
  <c r="AL58" i="25"/>
  <c r="O58" i="25"/>
  <c r="AB58" i="25" s="1"/>
  <c r="AL59" i="25"/>
  <c r="O59" i="25"/>
  <c r="AB59" i="25" s="1"/>
  <c r="H40" i="25"/>
  <c r="O51" i="25"/>
  <c r="AB51" i="25" s="1"/>
  <c r="AL52" i="25"/>
  <c r="O52" i="25"/>
  <c r="AB52" i="25" s="1"/>
  <c r="AL57" i="25"/>
  <c r="O57" i="25"/>
  <c r="AB57" i="25" s="1"/>
  <c r="AL55" i="25"/>
  <c r="O55" i="25"/>
  <c r="AB55" i="25" s="1"/>
  <c r="AL61" i="25"/>
  <c r="O61" i="25"/>
  <c r="AB61" i="25" s="1"/>
  <c r="O63" i="25"/>
  <c r="AB63" i="25" s="1"/>
  <c r="AL63" i="25"/>
  <c r="O43" i="25"/>
  <c r="AB43" i="25" s="1"/>
  <c r="O47" i="25"/>
  <c r="AB47" i="25" s="1"/>
  <c r="AL40" i="25"/>
  <c r="O41" i="25"/>
  <c r="AB41" i="25" s="1"/>
  <c r="AL44" i="25"/>
  <c r="O45" i="25"/>
  <c r="AB45" i="25" s="1"/>
  <c r="AL48" i="25"/>
  <c r="O49" i="25"/>
  <c r="AB49" i="25" s="1"/>
  <c r="I39" i="25"/>
  <c r="P39" i="25" s="1"/>
  <c r="AL64" i="25"/>
  <c r="O64" i="25"/>
  <c r="AB64" i="25" s="1"/>
  <c r="O54" i="25"/>
  <c r="AB54" i="25" s="1"/>
  <c r="N32" i="24"/>
  <c r="O31" i="23"/>
  <c r="N30" i="24"/>
  <c r="N28" i="24"/>
  <c r="O27" i="23"/>
  <c r="N26" i="24"/>
  <c r="N24" i="24"/>
  <c r="O23" i="23"/>
  <c r="N22" i="24"/>
  <c r="N20" i="24"/>
  <c r="O19" i="23"/>
  <c r="N18" i="24"/>
  <c r="N16" i="24"/>
  <c r="O15" i="23"/>
  <c r="N14" i="24"/>
  <c r="O12" i="23"/>
  <c r="N12" i="23"/>
  <c r="O11" i="23"/>
  <c r="O10" i="24"/>
  <c r="N10" i="23"/>
  <c r="O7" i="24"/>
  <c r="N6" i="24"/>
  <c r="O4" i="23"/>
  <c r="N4" i="23"/>
  <c r="O3" i="23"/>
  <c r="BT39" i="24"/>
  <c r="AY39" i="24" s="1"/>
  <c r="BR39" i="24"/>
  <c r="AW39" i="24" s="1"/>
  <c r="BQ39" i="24"/>
  <c r="AV39" i="24" s="1"/>
  <c r="BN39" i="24"/>
  <c r="AN39" i="24"/>
  <c r="BU39" i="24" s="1"/>
  <c r="AZ39" i="24" s="1"/>
  <c r="Y39" i="24"/>
  <c r="X39" i="24"/>
  <c r="W39" i="24"/>
  <c r="V39" i="24"/>
  <c r="U39" i="24"/>
  <c r="T39" i="24"/>
  <c r="S39" i="24"/>
  <c r="R39" i="24"/>
  <c r="AS39" i="24" s="1"/>
  <c r="I39" i="24"/>
  <c r="Z39" i="24" s="1"/>
  <c r="AO39" i="24" s="1"/>
  <c r="BV39" i="24" s="1"/>
  <c r="BA39" i="24" s="1"/>
  <c r="BV38" i="24"/>
  <c r="BN38" i="24"/>
  <c r="BA38" i="24"/>
  <c r="Z38" i="24"/>
  <c r="R38" i="24"/>
  <c r="O33" i="24"/>
  <c r="N33" i="24"/>
  <c r="H33" i="24"/>
  <c r="G33" i="24"/>
  <c r="E33" i="24"/>
  <c r="D33" i="24"/>
  <c r="B33" i="24"/>
  <c r="A33" i="24"/>
  <c r="O32" i="24"/>
  <c r="H32" i="24"/>
  <c r="G32" i="24"/>
  <c r="E32" i="24"/>
  <c r="D32" i="24"/>
  <c r="B32" i="24"/>
  <c r="A32" i="24"/>
  <c r="O31" i="24"/>
  <c r="N31" i="24"/>
  <c r="H31" i="24"/>
  <c r="G31" i="24"/>
  <c r="E31" i="24"/>
  <c r="D31" i="24"/>
  <c r="B31" i="24"/>
  <c r="A31" i="24"/>
  <c r="O30" i="24"/>
  <c r="H30" i="24"/>
  <c r="G30" i="24"/>
  <c r="E30" i="24"/>
  <c r="D30" i="24"/>
  <c r="B30" i="24"/>
  <c r="A30" i="24"/>
  <c r="O29" i="24"/>
  <c r="N29" i="24"/>
  <c r="H29" i="24"/>
  <c r="G29" i="24"/>
  <c r="E29" i="24"/>
  <c r="D29" i="24"/>
  <c r="B29" i="24"/>
  <c r="A29" i="24"/>
  <c r="O28" i="24"/>
  <c r="H28" i="24"/>
  <c r="G28" i="24"/>
  <c r="E28" i="24"/>
  <c r="D28" i="24"/>
  <c r="B28" i="24"/>
  <c r="A28" i="24"/>
  <c r="A64" i="24" s="1"/>
  <c r="AG64" i="24" s="1"/>
  <c r="BN64" i="24" s="1"/>
  <c r="O27" i="24"/>
  <c r="N27" i="24"/>
  <c r="H27" i="24"/>
  <c r="G27" i="24"/>
  <c r="E27" i="24"/>
  <c r="D27" i="24"/>
  <c r="B27" i="24"/>
  <c r="A27" i="24"/>
  <c r="A63" i="24" s="1"/>
  <c r="O26" i="24"/>
  <c r="H26" i="24"/>
  <c r="G26" i="24"/>
  <c r="E26" i="24"/>
  <c r="D26" i="24"/>
  <c r="B26" i="24"/>
  <c r="A26" i="24"/>
  <c r="A62" i="24" s="1"/>
  <c r="O25" i="24"/>
  <c r="N25" i="24"/>
  <c r="H25" i="24"/>
  <c r="G25" i="24"/>
  <c r="E25" i="24"/>
  <c r="D25" i="24"/>
  <c r="B25" i="24"/>
  <c r="A25" i="24"/>
  <c r="A61" i="24" s="1"/>
  <c r="O24" i="24"/>
  <c r="H24" i="24"/>
  <c r="G24" i="24"/>
  <c r="E24" i="24"/>
  <c r="D24" i="24"/>
  <c r="B24" i="24"/>
  <c r="A24" i="24"/>
  <c r="A60" i="24" s="1"/>
  <c r="N60" i="24" s="1"/>
  <c r="O23" i="24"/>
  <c r="N23" i="24"/>
  <c r="H23" i="24"/>
  <c r="G23" i="24"/>
  <c r="E23" i="24"/>
  <c r="D23" i="24"/>
  <c r="B23" i="24"/>
  <c r="A23" i="24"/>
  <c r="A59" i="24" s="1"/>
  <c r="N59" i="24" s="1"/>
  <c r="O22" i="24"/>
  <c r="H22" i="24"/>
  <c r="G22" i="24"/>
  <c r="E22" i="24"/>
  <c r="D22" i="24"/>
  <c r="B22" i="24"/>
  <c r="A22" i="24"/>
  <c r="A58" i="24" s="1"/>
  <c r="O21" i="24"/>
  <c r="N21" i="24"/>
  <c r="H21" i="24"/>
  <c r="G21" i="24"/>
  <c r="E21" i="24"/>
  <c r="D21" i="24"/>
  <c r="B21" i="24"/>
  <c r="A21" i="24"/>
  <c r="A57" i="24" s="1"/>
  <c r="O20" i="24"/>
  <c r="H20" i="24"/>
  <c r="G20" i="24"/>
  <c r="E20" i="24"/>
  <c r="D20" i="24"/>
  <c r="B20" i="24"/>
  <c r="A20" i="24"/>
  <c r="A56" i="24" s="1"/>
  <c r="O19" i="24"/>
  <c r="N19" i="24"/>
  <c r="H19" i="24"/>
  <c r="G19" i="24"/>
  <c r="E19" i="24"/>
  <c r="D19" i="24"/>
  <c r="B19" i="24"/>
  <c r="A19" i="24"/>
  <c r="A55" i="24" s="1"/>
  <c r="R55" i="24" s="1"/>
  <c r="O18" i="24"/>
  <c r="H18" i="24"/>
  <c r="G18" i="24"/>
  <c r="E18" i="24"/>
  <c r="D18" i="24"/>
  <c r="B18" i="24"/>
  <c r="A18" i="24"/>
  <c r="A54" i="24" s="1"/>
  <c r="AG54" i="24" s="1"/>
  <c r="BN54" i="24" s="1"/>
  <c r="O17" i="24"/>
  <c r="N17" i="24"/>
  <c r="H17" i="24"/>
  <c r="G17" i="24"/>
  <c r="E17" i="24"/>
  <c r="D17" i="24"/>
  <c r="B17" i="24"/>
  <c r="A17" i="24"/>
  <c r="A53" i="24" s="1"/>
  <c r="R53" i="24" s="1"/>
  <c r="O16" i="24"/>
  <c r="H16" i="24"/>
  <c r="G16" i="24"/>
  <c r="E16" i="24"/>
  <c r="D16" i="24"/>
  <c r="B16" i="24"/>
  <c r="A16" i="24"/>
  <c r="A52" i="24" s="1"/>
  <c r="O15" i="24"/>
  <c r="N15" i="24"/>
  <c r="H15" i="24"/>
  <c r="G15" i="24"/>
  <c r="E15" i="24"/>
  <c r="D15" i="24"/>
  <c r="B15" i="24"/>
  <c r="A15" i="24"/>
  <c r="A51" i="24" s="1"/>
  <c r="AG51" i="24" s="1"/>
  <c r="BN51" i="24" s="1"/>
  <c r="O14" i="24"/>
  <c r="H14" i="24"/>
  <c r="G14" i="24"/>
  <c r="C14" i="24"/>
  <c r="B14" i="24"/>
  <c r="A14" i="24"/>
  <c r="A50" i="24" s="1"/>
  <c r="AG50" i="24" s="1"/>
  <c r="BN50" i="24" s="1"/>
  <c r="O13" i="24"/>
  <c r="N13" i="24"/>
  <c r="H13" i="24"/>
  <c r="G13" i="24"/>
  <c r="C13" i="24"/>
  <c r="B13" i="24"/>
  <c r="A13" i="24"/>
  <c r="A49" i="24" s="1"/>
  <c r="AG49" i="24" s="1"/>
  <c r="BN49" i="24" s="1"/>
  <c r="O12" i="24"/>
  <c r="N12" i="24"/>
  <c r="H12" i="24"/>
  <c r="F12" i="24"/>
  <c r="C12" i="24"/>
  <c r="B12" i="24"/>
  <c r="A12" i="24"/>
  <c r="A48" i="24" s="1"/>
  <c r="AG48" i="24" s="1"/>
  <c r="BN48" i="24" s="1"/>
  <c r="N11" i="24"/>
  <c r="H11" i="24"/>
  <c r="F11" i="24"/>
  <c r="C11" i="24"/>
  <c r="B11" i="24"/>
  <c r="A11" i="24"/>
  <c r="A47" i="24" s="1"/>
  <c r="H10" i="24"/>
  <c r="F10" i="24"/>
  <c r="C10" i="24"/>
  <c r="B10" i="24"/>
  <c r="A10" i="24"/>
  <c r="A46" i="24" s="1"/>
  <c r="O9" i="24"/>
  <c r="N9" i="24"/>
  <c r="H9" i="24"/>
  <c r="F9" i="24"/>
  <c r="C9" i="24"/>
  <c r="B9" i="24"/>
  <c r="A9" i="24"/>
  <c r="A45" i="24" s="1"/>
  <c r="O8" i="24"/>
  <c r="N8" i="24"/>
  <c r="H8" i="24"/>
  <c r="F8" i="24"/>
  <c r="C8" i="24"/>
  <c r="B8" i="24"/>
  <c r="A8" i="24"/>
  <c r="A44" i="24" s="1"/>
  <c r="AS44" i="24" s="1"/>
  <c r="N7" i="24"/>
  <c r="H7" i="24"/>
  <c r="F7" i="24"/>
  <c r="C7" i="24"/>
  <c r="B7" i="24"/>
  <c r="A7" i="24"/>
  <c r="A43" i="24" s="1"/>
  <c r="AS43" i="24" s="1"/>
  <c r="O6" i="24"/>
  <c r="H6" i="24"/>
  <c r="F6" i="24"/>
  <c r="C6" i="24"/>
  <c r="B6" i="24"/>
  <c r="A6" i="24"/>
  <c r="A42" i="24" s="1"/>
  <c r="O5" i="24"/>
  <c r="N5" i="24"/>
  <c r="H5" i="24"/>
  <c r="F5" i="24"/>
  <c r="C5" i="24"/>
  <c r="B5" i="24"/>
  <c r="A5" i="24"/>
  <c r="A41" i="24" s="1"/>
  <c r="O4" i="24"/>
  <c r="N4" i="24"/>
  <c r="H4" i="24"/>
  <c r="H40" i="24" s="1"/>
  <c r="F4" i="24"/>
  <c r="F40" i="24" s="1"/>
  <c r="C4" i="24"/>
  <c r="C40" i="24" s="1"/>
  <c r="B4" i="24"/>
  <c r="B40" i="24" s="1"/>
  <c r="A4" i="24"/>
  <c r="A40" i="24" s="1"/>
  <c r="N3" i="24"/>
  <c r="H3" i="24"/>
  <c r="H38" i="24" s="1"/>
  <c r="Y38" i="24" s="1"/>
  <c r="G3" i="24"/>
  <c r="G38" i="24" s="1"/>
  <c r="F3" i="24"/>
  <c r="F38" i="24" s="1"/>
  <c r="E3" i="24"/>
  <c r="E38" i="24" s="1"/>
  <c r="D3" i="24"/>
  <c r="D38" i="24" s="1"/>
  <c r="C3" i="24"/>
  <c r="C38" i="24" s="1"/>
  <c r="B3" i="24"/>
  <c r="B38" i="24" s="1"/>
  <c r="A3" i="24"/>
  <c r="H2" i="24"/>
  <c r="H37" i="24" s="1"/>
  <c r="G2" i="24"/>
  <c r="G37" i="24" s="1"/>
  <c r="X37" i="24" s="1"/>
  <c r="F2" i="24"/>
  <c r="F37" i="24" s="1"/>
  <c r="E2" i="24"/>
  <c r="E37" i="24" s="1"/>
  <c r="D2" i="24"/>
  <c r="D37" i="24" s="1"/>
  <c r="AJ37" i="24" s="1"/>
  <c r="BQ37" i="24" s="1"/>
  <c r="AV37" i="24" s="1"/>
  <c r="C2" i="24"/>
  <c r="C37" i="24" s="1"/>
  <c r="T37" i="24" s="1"/>
  <c r="B2" i="24"/>
  <c r="B37" i="24" s="1"/>
  <c r="AY39" i="23"/>
  <c r="BI39" i="23" s="1"/>
  <c r="AW39" i="23"/>
  <c r="BG39" i="23" s="1"/>
  <c r="AV39" i="23"/>
  <c r="BF39" i="23" s="1"/>
  <c r="AS39" i="23"/>
  <c r="BC39" i="23" s="1"/>
  <c r="Y39" i="23"/>
  <c r="X39" i="23"/>
  <c r="W39" i="23"/>
  <c r="V39" i="23"/>
  <c r="U39" i="23"/>
  <c r="T39" i="23"/>
  <c r="S39" i="23"/>
  <c r="R39" i="23"/>
  <c r="I39" i="23"/>
  <c r="Z39" i="23" s="1"/>
  <c r="BA38" i="23"/>
  <c r="BK38" i="23" s="1"/>
  <c r="AS38" i="23"/>
  <c r="Z38" i="23"/>
  <c r="R38" i="23"/>
  <c r="O33" i="23"/>
  <c r="N33" i="23"/>
  <c r="H33" i="23"/>
  <c r="G33" i="23"/>
  <c r="E33" i="23"/>
  <c r="D33" i="23"/>
  <c r="B33" i="23"/>
  <c r="A33" i="23"/>
  <c r="O32" i="23"/>
  <c r="N32" i="23"/>
  <c r="H32" i="23"/>
  <c r="G32" i="23"/>
  <c r="E32" i="23"/>
  <c r="D32" i="23"/>
  <c r="B32" i="23"/>
  <c r="A32" i="23"/>
  <c r="N31" i="23"/>
  <c r="H31" i="23"/>
  <c r="G31" i="23"/>
  <c r="E31" i="23"/>
  <c r="D31" i="23"/>
  <c r="B31" i="23"/>
  <c r="A31" i="23"/>
  <c r="O30" i="23"/>
  <c r="N30" i="23"/>
  <c r="H30" i="23"/>
  <c r="G30" i="23"/>
  <c r="E30" i="23"/>
  <c r="D30" i="23"/>
  <c r="B30" i="23"/>
  <c r="A30" i="23"/>
  <c r="O29" i="23"/>
  <c r="N29" i="23"/>
  <c r="H29" i="23"/>
  <c r="G29" i="23"/>
  <c r="E29" i="23"/>
  <c r="D29" i="23"/>
  <c r="B29" i="23"/>
  <c r="A29" i="23"/>
  <c r="O28" i="23"/>
  <c r="N28" i="23"/>
  <c r="H28" i="23"/>
  <c r="G28" i="23"/>
  <c r="E28" i="23"/>
  <c r="D28" i="23"/>
  <c r="B28" i="23"/>
  <c r="A28" i="23"/>
  <c r="A64" i="23" s="1"/>
  <c r="N27" i="23"/>
  <c r="H27" i="23"/>
  <c r="G27" i="23"/>
  <c r="E27" i="23"/>
  <c r="D27" i="23"/>
  <c r="B27" i="23"/>
  <c r="A27" i="23"/>
  <c r="A63" i="23" s="1"/>
  <c r="O26" i="23"/>
  <c r="N26" i="23"/>
  <c r="H26" i="23"/>
  <c r="G26" i="23"/>
  <c r="E26" i="23"/>
  <c r="D26" i="23"/>
  <c r="B26" i="23"/>
  <c r="A26" i="23"/>
  <c r="A62" i="23" s="1"/>
  <c r="O25" i="23"/>
  <c r="N25" i="23"/>
  <c r="H25" i="23"/>
  <c r="G25" i="23"/>
  <c r="E25" i="23"/>
  <c r="D25" i="23"/>
  <c r="B25" i="23"/>
  <c r="A25" i="23"/>
  <c r="A61" i="23" s="1"/>
  <c r="O24" i="23"/>
  <c r="N24" i="23"/>
  <c r="H24" i="23"/>
  <c r="G24" i="23"/>
  <c r="E24" i="23"/>
  <c r="D24" i="23"/>
  <c r="B24" i="23"/>
  <c r="A24" i="23"/>
  <c r="A60" i="23" s="1"/>
  <c r="N23" i="23"/>
  <c r="H23" i="23"/>
  <c r="G23" i="23"/>
  <c r="E23" i="23"/>
  <c r="D23" i="23"/>
  <c r="B23" i="23"/>
  <c r="A23" i="23"/>
  <c r="A59" i="23" s="1"/>
  <c r="O22" i="23"/>
  <c r="N22" i="23"/>
  <c r="H22" i="23"/>
  <c r="G22" i="23"/>
  <c r="E22" i="23"/>
  <c r="D22" i="23"/>
  <c r="B22" i="23"/>
  <c r="A22" i="23"/>
  <c r="A58" i="23" s="1"/>
  <c r="O21" i="23"/>
  <c r="N21" i="23"/>
  <c r="H21" i="23"/>
  <c r="G21" i="23"/>
  <c r="E21" i="23"/>
  <c r="D21" i="23"/>
  <c r="B21" i="23"/>
  <c r="A21" i="23"/>
  <c r="A57" i="23" s="1"/>
  <c r="O20" i="23"/>
  <c r="N20" i="23"/>
  <c r="H20" i="23"/>
  <c r="G20" i="23"/>
  <c r="E20" i="23"/>
  <c r="D20" i="23"/>
  <c r="B20" i="23"/>
  <c r="A20" i="23"/>
  <c r="A56" i="23" s="1"/>
  <c r="N19" i="23"/>
  <c r="H19" i="23"/>
  <c r="G19" i="23"/>
  <c r="E19" i="23"/>
  <c r="D19" i="23"/>
  <c r="B19" i="23"/>
  <c r="A19" i="23"/>
  <c r="A55" i="23" s="1"/>
  <c r="O18" i="23"/>
  <c r="N18" i="23"/>
  <c r="H18" i="23"/>
  <c r="G18" i="23"/>
  <c r="E18" i="23"/>
  <c r="D18" i="23"/>
  <c r="B18" i="23"/>
  <c r="A18" i="23"/>
  <c r="A54" i="23" s="1"/>
  <c r="O17" i="23"/>
  <c r="N17" i="23"/>
  <c r="H17" i="23"/>
  <c r="G17" i="23"/>
  <c r="E17" i="23"/>
  <c r="D17" i="23"/>
  <c r="B17" i="23"/>
  <c r="A17" i="23"/>
  <c r="A53" i="23" s="1"/>
  <c r="O16" i="23"/>
  <c r="N16" i="23"/>
  <c r="H16" i="23"/>
  <c r="G16" i="23"/>
  <c r="E16" i="23"/>
  <c r="D16" i="23"/>
  <c r="B16" i="23"/>
  <c r="A16" i="23"/>
  <c r="A52" i="23" s="1"/>
  <c r="N15" i="23"/>
  <c r="H15" i="23"/>
  <c r="G15" i="23"/>
  <c r="E15" i="23"/>
  <c r="D15" i="23"/>
  <c r="B15" i="23"/>
  <c r="A15" i="23"/>
  <c r="A51" i="23" s="1"/>
  <c r="O14" i="23"/>
  <c r="N14" i="23"/>
  <c r="H14" i="23"/>
  <c r="G14" i="23"/>
  <c r="C14" i="23"/>
  <c r="B14" i="23"/>
  <c r="A14" i="23"/>
  <c r="A50" i="23" s="1"/>
  <c r="O13" i="23"/>
  <c r="N13" i="23"/>
  <c r="H13" i="23"/>
  <c r="G13" i="23"/>
  <c r="C13" i="23"/>
  <c r="B13" i="23"/>
  <c r="A13" i="23"/>
  <c r="A49" i="23" s="1"/>
  <c r="H12" i="23"/>
  <c r="F12" i="23"/>
  <c r="C12" i="23"/>
  <c r="B12" i="23"/>
  <c r="A12" i="23"/>
  <c r="A48" i="23" s="1"/>
  <c r="N11" i="23"/>
  <c r="H11" i="23"/>
  <c r="F11" i="23"/>
  <c r="C11" i="23"/>
  <c r="B11" i="23"/>
  <c r="A11" i="23"/>
  <c r="A47" i="23" s="1"/>
  <c r="O10" i="23"/>
  <c r="H10" i="23"/>
  <c r="F10" i="23"/>
  <c r="C10" i="23"/>
  <c r="B10" i="23"/>
  <c r="A10" i="23"/>
  <c r="A46" i="23" s="1"/>
  <c r="AG46" i="23" s="1"/>
  <c r="AS46" i="23" s="1"/>
  <c r="BC46" i="23" s="1"/>
  <c r="O9" i="23"/>
  <c r="N9" i="23"/>
  <c r="H9" i="23"/>
  <c r="F9" i="23"/>
  <c r="C9" i="23"/>
  <c r="B9" i="23"/>
  <c r="A9" i="23"/>
  <c r="A45" i="23" s="1"/>
  <c r="H8" i="23"/>
  <c r="F8" i="23"/>
  <c r="C8" i="23"/>
  <c r="B8" i="23"/>
  <c r="A8" i="23"/>
  <c r="A44" i="23" s="1"/>
  <c r="N44" i="23" s="1"/>
  <c r="O7" i="23"/>
  <c r="N7" i="23"/>
  <c r="H7" i="23"/>
  <c r="F7" i="23"/>
  <c r="C7" i="23"/>
  <c r="B7" i="23"/>
  <c r="A7" i="23"/>
  <c r="A43" i="23" s="1"/>
  <c r="O6" i="23"/>
  <c r="N6" i="23"/>
  <c r="H6" i="23"/>
  <c r="F6" i="23"/>
  <c r="C6" i="23"/>
  <c r="B6" i="23"/>
  <c r="A6" i="23"/>
  <c r="A42" i="23" s="1"/>
  <c r="O5" i="23"/>
  <c r="N5" i="23"/>
  <c r="H5" i="23"/>
  <c r="F5" i="23"/>
  <c r="C5" i="23"/>
  <c r="B5" i="23"/>
  <c r="A5" i="23"/>
  <c r="A41" i="23" s="1"/>
  <c r="H4" i="23"/>
  <c r="H40" i="23" s="1"/>
  <c r="F4" i="23"/>
  <c r="F40" i="23" s="1"/>
  <c r="C4" i="23"/>
  <c r="C40" i="23" s="1"/>
  <c r="B4" i="23"/>
  <c r="B40" i="23" s="1"/>
  <c r="A4" i="23"/>
  <c r="A40" i="23" s="1"/>
  <c r="N3" i="23"/>
  <c r="H3" i="23"/>
  <c r="H38" i="23" s="1"/>
  <c r="Y38" i="23" s="1"/>
  <c r="G3" i="23"/>
  <c r="G38" i="23" s="1"/>
  <c r="F3" i="23"/>
  <c r="F38" i="23" s="1"/>
  <c r="W38" i="23" s="1"/>
  <c r="E3" i="23"/>
  <c r="E38" i="23" s="1"/>
  <c r="D3" i="23"/>
  <c r="D38" i="23" s="1"/>
  <c r="C3" i="23"/>
  <c r="C38" i="23" s="1"/>
  <c r="AI38" i="23" s="1"/>
  <c r="AU38" i="23" s="1"/>
  <c r="BE38" i="23" s="1"/>
  <c r="B3" i="23"/>
  <c r="B38" i="23" s="1"/>
  <c r="A3" i="23"/>
  <c r="H2" i="23"/>
  <c r="H37" i="23" s="1"/>
  <c r="G2" i="23"/>
  <c r="G37" i="23" s="1"/>
  <c r="AM37" i="23" s="1"/>
  <c r="AY37" i="23" s="1"/>
  <c r="BI37" i="23" s="1"/>
  <c r="F2" i="23"/>
  <c r="F37" i="23" s="1"/>
  <c r="E2" i="23"/>
  <c r="E37" i="23" s="1"/>
  <c r="AK37" i="23" s="1"/>
  <c r="AW37" i="23" s="1"/>
  <c r="BG37" i="23" s="1"/>
  <c r="D2" i="23"/>
  <c r="D37" i="23" s="1"/>
  <c r="U37" i="23" s="1"/>
  <c r="C2" i="23"/>
  <c r="C37" i="23" s="1"/>
  <c r="B2" i="23"/>
  <c r="B37" i="23" s="1"/>
  <c r="AY39" i="22"/>
  <c r="BI39" i="22" s="1"/>
  <c r="AW39" i="22"/>
  <c r="BG39" i="22" s="1"/>
  <c r="AV39" i="22"/>
  <c r="BF39" i="22" s="1"/>
  <c r="AS39" i="22"/>
  <c r="BC39" i="22" s="1"/>
  <c r="Y39" i="22"/>
  <c r="X39" i="22"/>
  <c r="W39" i="22"/>
  <c r="V39" i="22"/>
  <c r="U39" i="22"/>
  <c r="T39" i="22"/>
  <c r="S39" i="22"/>
  <c r="R39" i="22"/>
  <c r="I39" i="22"/>
  <c r="Z39" i="22" s="1"/>
  <c r="AH39" i="22" s="1"/>
  <c r="AT39" i="22" s="1"/>
  <c r="BD39" i="22" s="1"/>
  <c r="BA38" i="22"/>
  <c r="BK38" i="22" s="1"/>
  <c r="AS38" i="22"/>
  <c r="Z38" i="22"/>
  <c r="R38" i="22"/>
  <c r="O33" i="22"/>
  <c r="N33" i="22"/>
  <c r="H33" i="22"/>
  <c r="G33" i="22"/>
  <c r="E33" i="22"/>
  <c r="D33" i="22"/>
  <c r="B33" i="22"/>
  <c r="A33" i="22"/>
  <c r="H32" i="22"/>
  <c r="G32" i="22"/>
  <c r="E32" i="22"/>
  <c r="D32" i="22"/>
  <c r="B32" i="22"/>
  <c r="A32" i="22"/>
  <c r="H31" i="22"/>
  <c r="G31" i="22"/>
  <c r="E31" i="22"/>
  <c r="D31" i="22"/>
  <c r="B31" i="22"/>
  <c r="A31" i="22"/>
  <c r="H30" i="22"/>
  <c r="G30" i="22"/>
  <c r="E30" i="22"/>
  <c r="D30" i="22"/>
  <c r="B30" i="22"/>
  <c r="A30" i="22"/>
  <c r="H29" i="22"/>
  <c r="G29" i="22"/>
  <c r="E29" i="22"/>
  <c r="D29" i="22"/>
  <c r="B29" i="22"/>
  <c r="A29" i="22"/>
  <c r="H28" i="22"/>
  <c r="G28" i="22"/>
  <c r="E28" i="22"/>
  <c r="D28" i="22"/>
  <c r="B28" i="22"/>
  <c r="A28" i="22"/>
  <c r="A64" i="22" s="1"/>
  <c r="H27" i="22"/>
  <c r="G27" i="22"/>
  <c r="E27" i="22"/>
  <c r="D27" i="22"/>
  <c r="B27" i="22"/>
  <c r="A27" i="22"/>
  <c r="A63" i="22" s="1"/>
  <c r="H26" i="22"/>
  <c r="G26" i="22"/>
  <c r="E26" i="22"/>
  <c r="D26" i="22"/>
  <c r="B26" i="22"/>
  <c r="A26" i="22"/>
  <c r="A62" i="22" s="1"/>
  <c r="H25" i="22"/>
  <c r="G25" i="22"/>
  <c r="E25" i="22"/>
  <c r="D25" i="22"/>
  <c r="B25" i="22"/>
  <c r="A25" i="22"/>
  <c r="A61" i="22" s="1"/>
  <c r="R61" i="22" s="1"/>
  <c r="H24" i="22"/>
  <c r="G24" i="22"/>
  <c r="E24" i="22"/>
  <c r="D24" i="22"/>
  <c r="B24" i="22"/>
  <c r="A24" i="22"/>
  <c r="A60" i="22" s="1"/>
  <c r="H23" i="22"/>
  <c r="G23" i="22"/>
  <c r="E23" i="22"/>
  <c r="D23" i="22"/>
  <c r="B23" i="22"/>
  <c r="A23" i="22"/>
  <c r="A59" i="22" s="1"/>
  <c r="H22" i="22"/>
  <c r="G22" i="22"/>
  <c r="E22" i="22"/>
  <c r="D22" i="22"/>
  <c r="B22" i="22"/>
  <c r="A22" i="22"/>
  <c r="A58" i="22" s="1"/>
  <c r="H21" i="22"/>
  <c r="G21" i="22"/>
  <c r="E21" i="22"/>
  <c r="D21" i="22"/>
  <c r="B21" i="22"/>
  <c r="A21" i="22"/>
  <c r="A57" i="22" s="1"/>
  <c r="AG57" i="22" s="1"/>
  <c r="AS57" i="22" s="1"/>
  <c r="BC57" i="22" s="1"/>
  <c r="H20" i="22"/>
  <c r="G20" i="22"/>
  <c r="E20" i="22"/>
  <c r="D20" i="22"/>
  <c r="B20" i="22"/>
  <c r="A20" i="22"/>
  <c r="A56" i="22" s="1"/>
  <c r="H19" i="22"/>
  <c r="G19" i="22"/>
  <c r="E19" i="22"/>
  <c r="D19" i="22"/>
  <c r="B19" i="22"/>
  <c r="A19" i="22"/>
  <c r="A55" i="22" s="1"/>
  <c r="H18" i="22"/>
  <c r="G18" i="22"/>
  <c r="E18" i="22"/>
  <c r="D18" i="22"/>
  <c r="B18" i="22"/>
  <c r="A18" i="22"/>
  <c r="A54" i="22" s="1"/>
  <c r="H17" i="22"/>
  <c r="G17" i="22"/>
  <c r="E17" i="22"/>
  <c r="D17" i="22"/>
  <c r="B17" i="22"/>
  <c r="A17" i="22"/>
  <c r="A53" i="22" s="1"/>
  <c r="H16" i="22"/>
  <c r="G16" i="22"/>
  <c r="E16" i="22"/>
  <c r="D16" i="22"/>
  <c r="B16" i="22"/>
  <c r="A16" i="22"/>
  <c r="A52" i="22" s="1"/>
  <c r="H15" i="22"/>
  <c r="G15" i="22"/>
  <c r="E15" i="22"/>
  <c r="D15" i="22"/>
  <c r="B15" i="22"/>
  <c r="A15" i="22"/>
  <c r="A51" i="22" s="1"/>
  <c r="R51" i="22" s="1"/>
  <c r="H14" i="22"/>
  <c r="G14" i="22"/>
  <c r="B14" i="22"/>
  <c r="A14" i="22"/>
  <c r="A50" i="22" s="1"/>
  <c r="H13" i="22"/>
  <c r="G13" i="22"/>
  <c r="B13" i="22"/>
  <c r="A13" i="22"/>
  <c r="A49" i="22" s="1"/>
  <c r="N49" i="22" s="1"/>
  <c r="H12" i="22"/>
  <c r="F12" i="22"/>
  <c r="C12" i="22"/>
  <c r="B12" i="22"/>
  <c r="A12" i="22"/>
  <c r="A48" i="22" s="1"/>
  <c r="AG48" i="22" s="1"/>
  <c r="AS48" i="22" s="1"/>
  <c r="BC48" i="22" s="1"/>
  <c r="H11" i="22"/>
  <c r="F11" i="22"/>
  <c r="C11" i="22"/>
  <c r="B11" i="22"/>
  <c r="A11" i="22"/>
  <c r="A47" i="22" s="1"/>
  <c r="H10" i="22"/>
  <c r="F10" i="22"/>
  <c r="C10" i="22"/>
  <c r="B10" i="22"/>
  <c r="A10" i="22"/>
  <c r="A46" i="22" s="1"/>
  <c r="H9" i="22"/>
  <c r="F9" i="22"/>
  <c r="C9" i="22"/>
  <c r="B9" i="22"/>
  <c r="A9" i="22"/>
  <c r="A45" i="22" s="1"/>
  <c r="N45" i="22" s="1"/>
  <c r="H8" i="22"/>
  <c r="F8" i="22"/>
  <c r="C8" i="22"/>
  <c r="B8" i="22"/>
  <c r="A8" i="22"/>
  <c r="A44" i="22" s="1"/>
  <c r="H7" i="22"/>
  <c r="F7" i="22"/>
  <c r="C7" i="22"/>
  <c r="B7" i="22"/>
  <c r="A7" i="22"/>
  <c r="A43" i="22" s="1"/>
  <c r="H6" i="22"/>
  <c r="F6" i="22"/>
  <c r="C6" i="22"/>
  <c r="B6" i="22"/>
  <c r="A6" i="22"/>
  <c r="A42" i="22" s="1"/>
  <c r="AG42" i="22" s="1"/>
  <c r="AS42" i="22" s="1"/>
  <c r="BC42" i="22" s="1"/>
  <c r="H5" i="22"/>
  <c r="F5" i="22"/>
  <c r="C5" i="22"/>
  <c r="B5" i="22"/>
  <c r="A5" i="22"/>
  <c r="A41" i="22" s="1"/>
  <c r="N41" i="22" s="1"/>
  <c r="H4" i="22"/>
  <c r="H40" i="22" s="1"/>
  <c r="F4" i="22"/>
  <c r="F40" i="22" s="1"/>
  <c r="C4" i="22"/>
  <c r="C40" i="22" s="1"/>
  <c r="B4" i="22"/>
  <c r="B40" i="22" s="1"/>
  <c r="A4" i="22"/>
  <c r="A40" i="22" s="1"/>
  <c r="AG40" i="22" s="1"/>
  <c r="AS40" i="22" s="1"/>
  <c r="BC40" i="22" s="1"/>
  <c r="N3" i="22"/>
  <c r="H3" i="22"/>
  <c r="H38" i="22" s="1"/>
  <c r="G3" i="22"/>
  <c r="G38" i="22" s="1"/>
  <c r="AM38" i="22" s="1"/>
  <c r="AY38" i="22" s="1"/>
  <c r="BI38" i="22" s="1"/>
  <c r="F3" i="22"/>
  <c r="F38" i="22" s="1"/>
  <c r="E3" i="22"/>
  <c r="E38" i="22" s="1"/>
  <c r="D3" i="22"/>
  <c r="D38" i="22" s="1"/>
  <c r="C3" i="22"/>
  <c r="C38" i="22" s="1"/>
  <c r="B3" i="22"/>
  <c r="B38" i="22" s="1"/>
  <c r="A3" i="22"/>
  <c r="H2" i="22"/>
  <c r="H37" i="22" s="1"/>
  <c r="AN37" i="22" s="1"/>
  <c r="AZ37" i="22" s="1"/>
  <c r="BJ37" i="22" s="1"/>
  <c r="G2" i="22"/>
  <c r="G37" i="22" s="1"/>
  <c r="F2" i="22"/>
  <c r="F37" i="22" s="1"/>
  <c r="E2" i="22"/>
  <c r="E37" i="22" s="1"/>
  <c r="AK37" i="22" s="1"/>
  <c r="AW37" i="22" s="1"/>
  <c r="BG37" i="22" s="1"/>
  <c r="D2" i="22"/>
  <c r="D37" i="22" s="1"/>
  <c r="U37" i="22" s="1"/>
  <c r="C2" i="22"/>
  <c r="C37" i="22" s="1"/>
  <c r="T37" i="22" s="1"/>
  <c r="B2" i="22"/>
  <c r="B37" i="22" s="1"/>
  <c r="Y39" i="21"/>
  <c r="X39" i="21"/>
  <c r="W39" i="21"/>
  <c r="V39" i="21"/>
  <c r="U39" i="21"/>
  <c r="T39" i="21"/>
  <c r="S39" i="21"/>
  <c r="R39" i="21"/>
  <c r="I39" i="21"/>
  <c r="Z39" i="21" s="1"/>
  <c r="AN39" i="21" s="1"/>
  <c r="Z38" i="21"/>
  <c r="R38" i="21"/>
  <c r="H33" i="21"/>
  <c r="G33" i="21"/>
  <c r="E33" i="21"/>
  <c r="D33" i="21"/>
  <c r="B33" i="21"/>
  <c r="A33" i="21"/>
  <c r="H32" i="21"/>
  <c r="G32" i="21"/>
  <c r="E32" i="21"/>
  <c r="D32" i="21"/>
  <c r="B32" i="21"/>
  <c r="A32" i="21"/>
  <c r="H31" i="21"/>
  <c r="G31" i="21"/>
  <c r="E31" i="21"/>
  <c r="D31" i="21"/>
  <c r="B31" i="21"/>
  <c r="A31" i="21"/>
  <c r="H30" i="21"/>
  <c r="G30" i="21"/>
  <c r="E30" i="21"/>
  <c r="D30" i="21"/>
  <c r="B30" i="21"/>
  <c r="A30" i="21"/>
  <c r="H29" i="21"/>
  <c r="G29" i="21"/>
  <c r="E29" i="21"/>
  <c r="D29" i="21"/>
  <c r="B29" i="21"/>
  <c r="A29" i="21"/>
  <c r="H28" i="21"/>
  <c r="G28" i="21"/>
  <c r="E28" i="21"/>
  <c r="D28" i="21"/>
  <c r="B28" i="21"/>
  <c r="A28" i="21"/>
  <c r="A64" i="21" s="1"/>
  <c r="H27" i="21"/>
  <c r="G27" i="21"/>
  <c r="E27" i="21"/>
  <c r="D27" i="21"/>
  <c r="B27" i="21"/>
  <c r="A27" i="21"/>
  <c r="A63" i="21" s="1"/>
  <c r="H26" i="21"/>
  <c r="G26" i="21"/>
  <c r="E26" i="21"/>
  <c r="D26" i="21"/>
  <c r="B26" i="21"/>
  <c r="A26" i="21"/>
  <c r="A62" i="21" s="1"/>
  <c r="H25" i="21"/>
  <c r="G25" i="21"/>
  <c r="E25" i="21"/>
  <c r="D25" i="21"/>
  <c r="B25" i="21"/>
  <c r="A25" i="21"/>
  <c r="A61" i="21" s="1"/>
  <c r="H24" i="21"/>
  <c r="G24" i="21"/>
  <c r="E24" i="21"/>
  <c r="D24" i="21"/>
  <c r="B24" i="21"/>
  <c r="A24" i="21"/>
  <c r="A60" i="21" s="1"/>
  <c r="H23" i="21"/>
  <c r="G23" i="21"/>
  <c r="E23" i="21"/>
  <c r="D23" i="21"/>
  <c r="B23" i="21"/>
  <c r="A23" i="21"/>
  <c r="A59" i="21" s="1"/>
  <c r="H22" i="21"/>
  <c r="G22" i="21"/>
  <c r="E22" i="21"/>
  <c r="D22" i="21"/>
  <c r="B22" i="21"/>
  <c r="A22" i="21"/>
  <c r="A58" i="21" s="1"/>
  <c r="H21" i="21"/>
  <c r="G21" i="21"/>
  <c r="E21" i="21"/>
  <c r="D21" i="21"/>
  <c r="B21" i="21"/>
  <c r="A21" i="21"/>
  <c r="A57" i="21" s="1"/>
  <c r="H20" i="21"/>
  <c r="G20" i="21"/>
  <c r="E20" i="21"/>
  <c r="D20" i="21"/>
  <c r="B20" i="21"/>
  <c r="A20" i="21"/>
  <c r="A56" i="21" s="1"/>
  <c r="H19" i="21"/>
  <c r="G19" i="21"/>
  <c r="E19" i="21"/>
  <c r="D19" i="21"/>
  <c r="B19" i="21"/>
  <c r="A19" i="21"/>
  <c r="A55" i="21" s="1"/>
  <c r="H18" i="21"/>
  <c r="G18" i="21"/>
  <c r="E18" i="21"/>
  <c r="D18" i="21"/>
  <c r="B18" i="21"/>
  <c r="A18" i="21"/>
  <c r="A54" i="21" s="1"/>
  <c r="H17" i="21"/>
  <c r="G17" i="21"/>
  <c r="E17" i="21"/>
  <c r="D17" i="21"/>
  <c r="B17" i="21"/>
  <c r="A17" i="21"/>
  <c r="A53" i="21" s="1"/>
  <c r="H16" i="21"/>
  <c r="G16" i="21"/>
  <c r="E16" i="21"/>
  <c r="D16" i="21"/>
  <c r="B16" i="21"/>
  <c r="A16" i="21"/>
  <c r="A52" i="21" s="1"/>
  <c r="H15" i="21"/>
  <c r="G15" i="21"/>
  <c r="E15" i="21"/>
  <c r="D15" i="21"/>
  <c r="B15" i="21"/>
  <c r="A15" i="21"/>
  <c r="A51" i="21" s="1"/>
  <c r="R51" i="21" s="1"/>
  <c r="H14" i="21"/>
  <c r="G14" i="21"/>
  <c r="C14" i="21"/>
  <c r="B14" i="21"/>
  <c r="A14" i="21"/>
  <c r="A50" i="21" s="1"/>
  <c r="H13" i="21"/>
  <c r="G13" i="21"/>
  <c r="C13" i="21"/>
  <c r="B13" i="21"/>
  <c r="A13" i="21"/>
  <c r="A49" i="21" s="1"/>
  <c r="H12" i="21"/>
  <c r="F12" i="21"/>
  <c r="C12" i="21"/>
  <c r="B12" i="21"/>
  <c r="A12" i="21"/>
  <c r="A48" i="21" s="1"/>
  <c r="N48" i="21" s="1"/>
  <c r="H11" i="21"/>
  <c r="F11" i="21"/>
  <c r="C11" i="21"/>
  <c r="B11" i="21"/>
  <c r="A11" i="21"/>
  <c r="A47" i="21" s="1"/>
  <c r="H10" i="21"/>
  <c r="F10" i="21"/>
  <c r="C10" i="21"/>
  <c r="B10" i="21"/>
  <c r="A10" i="21"/>
  <c r="A46" i="21" s="1"/>
  <c r="AF46" i="21" s="1"/>
  <c r="H9" i="21"/>
  <c r="F9" i="21"/>
  <c r="C9" i="21"/>
  <c r="B9" i="21"/>
  <c r="A9" i="21"/>
  <c r="A45" i="21" s="1"/>
  <c r="H8" i="21"/>
  <c r="F8" i="21"/>
  <c r="C8" i="21"/>
  <c r="B8" i="21"/>
  <c r="A8" i="21"/>
  <c r="A44" i="21" s="1"/>
  <c r="H7" i="21"/>
  <c r="F7" i="21"/>
  <c r="C7" i="21"/>
  <c r="B7" i="21"/>
  <c r="A7" i="21"/>
  <c r="A43" i="21" s="1"/>
  <c r="H6" i="21"/>
  <c r="F6" i="21"/>
  <c r="C6" i="21"/>
  <c r="B6" i="21"/>
  <c r="A6" i="21"/>
  <c r="A42" i="21" s="1"/>
  <c r="H5" i="21"/>
  <c r="F5" i="21"/>
  <c r="C5" i="21"/>
  <c r="B5" i="21"/>
  <c r="A5" i="21"/>
  <c r="A41" i="21" s="1"/>
  <c r="N41" i="21" s="1"/>
  <c r="H4" i="21"/>
  <c r="H40" i="21" s="1"/>
  <c r="F4" i="21"/>
  <c r="F40" i="21" s="1"/>
  <c r="C4" i="21"/>
  <c r="C40" i="21" s="1"/>
  <c r="B4" i="21"/>
  <c r="B40" i="21" s="1"/>
  <c r="A4" i="21"/>
  <c r="A40" i="21" s="1"/>
  <c r="H3" i="21"/>
  <c r="H38" i="21" s="1"/>
  <c r="G3" i="21"/>
  <c r="G38" i="21" s="1"/>
  <c r="F3" i="21"/>
  <c r="F38" i="21" s="1"/>
  <c r="E3" i="21"/>
  <c r="E38" i="21" s="1"/>
  <c r="D3" i="21"/>
  <c r="D38" i="21" s="1"/>
  <c r="C3" i="21"/>
  <c r="C38" i="21" s="1"/>
  <c r="B3" i="21"/>
  <c r="B38" i="21" s="1"/>
  <c r="A3" i="21"/>
  <c r="H2" i="21"/>
  <c r="H37" i="21" s="1"/>
  <c r="Y37" i="21" s="1"/>
  <c r="G2" i="21"/>
  <c r="G37" i="21" s="1"/>
  <c r="X37" i="21" s="1"/>
  <c r="F2" i="21"/>
  <c r="F37" i="21" s="1"/>
  <c r="W37" i="21" s="1"/>
  <c r="E2" i="21"/>
  <c r="E37" i="21" s="1"/>
  <c r="AJ37" i="21" s="1"/>
  <c r="D2" i="21"/>
  <c r="D37" i="21" s="1"/>
  <c r="C2" i="21"/>
  <c r="C37" i="21" s="1"/>
  <c r="T37" i="21" s="1"/>
  <c r="B2" i="21"/>
  <c r="B37" i="21" s="1"/>
  <c r="AG37" i="21" s="1"/>
  <c r="A32" i="7"/>
  <c r="B32" i="7"/>
  <c r="D32" i="7"/>
  <c r="E32" i="7"/>
  <c r="G32" i="7"/>
  <c r="H32" i="7"/>
  <c r="A33" i="7"/>
  <c r="B33" i="7"/>
  <c r="D33" i="7"/>
  <c r="E33" i="7"/>
  <c r="G33" i="7"/>
  <c r="H33" i="7"/>
  <c r="A32" i="19"/>
  <c r="B32" i="19"/>
  <c r="D32" i="19"/>
  <c r="E32" i="19"/>
  <c r="G32" i="19"/>
  <c r="H32" i="19"/>
  <c r="A33" i="19"/>
  <c r="B33" i="19"/>
  <c r="D33" i="19"/>
  <c r="E33" i="19"/>
  <c r="G33" i="19"/>
  <c r="H33" i="19"/>
  <c r="A32" i="4"/>
  <c r="D32" i="4"/>
  <c r="E32" i="4"/>
  <c r="A33" i="4"/>
  <c r="D33" i="4"/>
  <c r="E33" i="4"/>
  <c r="Q40" i="26" l="1"/>
  <c r="P40" i="26"/>
  <c r="S40" i="26"/>
  <c r="AL39" i="24"/>
  <c r="BS39" i="24" s="1"/>
  <c r="AX39" i="24" s="1"/>
  <c r="AI39" i="24"/>
  <c r="BP39" i="24" s="1"/>
  <c r="AU39" i="24" s="1"/>
  <c r="Y38" i="21"/>
  <c r="AM38" i="21"/>
  <c r="S37" i="22"/>
  <c r="AH37" i="22"/>
  <c r="AT37" i="22" s="1"/>
  <c r="BD37" i="22" s="1"/>
  <c r="V37" i="24"/>
  <c r="AK37" i="24"/>
  <c r="BR37" i="24" s="1"/>
  <c r="AW37" i="24" s="1"/>
  <c r="V38" i="24"/>
  <c r="AK38" i="24"/>
  <c r="BR38" i="24" s="1"/>
  <c r="AW38" i="24" s="1"/>
  <c r="S38" i="21"/>
  <c r="AG38" i="21"/>
  <c r="AF45" i="21"/>
  <c r="R45" i="21"/>
  <c r="W37" i="23"/>
  <c r="AL37" i="23"/>
  <c r="AX37" i="23" s="1"/>
  <c r="BH37" i="23" s="1"/>
  <c r="N40" i="23"/>
  <c r="R40" i="23"/>
  <c r="AH37" i="24"/>
  <c r="BO37" i="24" s="1"/>
  <c r="AT37" i="24" s="1"/>
  <c r="S37" i="24"/>
  <c r="AH38" i="24"/>
  <c r="BO38" i="24" s="1"/>
  <c r="AT38" i="24" s="1"/>
  <c r="S38" i="24"/>
  <c r="X38" i="21"/>
  <c r="AL38" i="21"/>
  <c r="U38" i="22"/>
  <c r="AJ38" i="22"/>
  <c r="AV38" i="22" s="1"/>
  <c r="BF38" i="22" s="1"/>
  <c r="R43" i="21"/>
  <c r="AF43" i="21"/>
  <c r="N43" i="21"/>
  <c r="AG48" i="23"/>
  <c r="AS48" i="23" s="1"/>
  <c r="BC48" i="23" s="1"/>
  <c r="R48" i="23"/>
  <c r="N48" i="23"/>
  <c r="R48" i="21"/>
  <c r="X38" i="22"/>
  <c r="AG43" i="24"/>
  <c r="BN43" i="24" s="1"/>
  <c r="R49" i="24"/>
  <c r="S37" i="21"/>
  <c r="AF48" i="21"/>
  <c r="V37" i="22"/>
  <c r="AS49" i="24"/>
  <c r="N46" i="21"/>
  <c r="Y37" i="22"/>
  <c r="R40" i="22"/>
  <c r="N48" i="22"/>
  <c r="N57" i="22"/>
  <c r="V37" i="23"/>
  <c r="N54" i="24"/>
  <c r="R46" i="21"/>
  <c r="R48" i="22"/>
  <c r="R57" i="22"/>
  <c r="AM37" i="24"/>
  <c r="BT37" i="24" s="1"/>
  <c r="AY37" i="24" s="1"/>
  <c r="N49" i="24"/>
  <c r="O41" i="29"/>
  <c r="J42" i="28"/>
  <c r="K42" i="28" s="1"/>
  <c r="L42" i="28" s="1"/>
  <c r="T42" i="28"/>
  <c r="P42" i="28"/>
  <c r="Q42" i="28"/>
  <c r="W41" i="28"/>
  <c r="X41" i="28"/>
  <c r="F44" i="28"/>
  <c r="B44" i="28"/>
  <c r="X40" i="28"/>
  <c r="W40" i="28"/>
  <c r="C44" i="28"/>
  <c r="H43" i="28"/>
  <c r="I43" i="28" s="1"/>
  <c r="J43" i="28" s="1"/>
  <c r="K43" i="28" s="1"/>
  <c r="L43" i="28" s="1"/>
  <c r="V42" i="28"/>
  <c r="J40" i="26"/>
  <c r="K40" i="26" s="1"/>
  <c r="L40" i="26" s="1"/>
  <c r="I40" i="25"/>
  <c r="AJ40" i="25" s="1"/>
  <c r="AC39" i="25"/>
  <c r="AM39" i="25" s="1"/>
  <c r="W39" i="25"/>
  <c r="AJ39" i="25" s="1"/>
  <c r="AT39" i="25" s="1"/>
  <c r="Q39" i="25"/>
  <c r="AD39" i="25" s="1"/>
  <c r="AN39" i="25" s="1"/>
  <c r="T39" i="25"/>
  <c r="AG39" i="25" s="1"/>
  <c r="AQ39" i="25" s="1"/>
  <c r="V39" i="25"/>
  <c r="AI39" i="25" s="1"/>
  <c r="AS39" i="25" s="1"/>
  <c r="N8" i="23"/>
  <c r="O8" i="23"/>
  <c r="O3" i="22"/>
  <c r="O3" i="24"/>
  <c r="N10" i="24"/>
  <c r="O11" i="24"/>
  <c r="AF40" i="21"/>
  <c r="R40" i="21"/>
  <c r="N40" i="21"/>
  <c r="R54" i="22"/>
  <c r="N54" i="22"/>
  <c r="AG54" i="22"/>
  <c r="AS54" i="22" s="1"/>
  <c r="BC54" i="22" s="1"/>
  <c r="AH39" i="21"/>
  <c r="U37" i="21"/>
  <c r="AI37" i="21"/>
  <c r="AI38" i="21"/>
  <c r="U38" i="21"/>
  <c r="N57" i="21"/>
  <c r="AF57" i="21"/>
  <c r="R57" i="21"/>
  <c r="N61" i="21"/>
  <c r="AF61" i="21"/>
  <c r="R61" i="21"/>
  <c r="N44" i="21"/>
  <c r="R44" i="21"/>
  <c r="AF44" i="21"/>
  <c r="R49" i="21"/>
  <c r="N49" i="21"/>
  <c r="AF49" i="21"/>
  <c r="N52" i="21"/>
  <c r="AF52" i="21"/>
  <c r="R52" i="21"/>
  <c r="N56" i="21"/>
  <c r="AF56" i="21"/>
  <c r="R56" i="21"/>
  <c r="AH37" i="23"/>
  <c r="AT37" i="23" s="1"/>
  <c r="BD37" i="23" s="1"/>
  <c r="S37" i="23"/>
  <c r="W38" i="22"/>
  <c r="AL38" i="22"/>
  <c r="AX38" i="22" s="1"/>
  <c r="BH38" i="22" s="1"/>
  <c r="AH38" i="21"/>
  <c r="T38" i="21"/>
  <c r="AH37" i="21"/>
  <c r="N53" i="21"/>
  <c r="AF53" i="21"/>
  <c r="N62" i="21"/>
  <c r="AF62" i="21"/>
  <c r="R62" i="21"/>
  <c r="R47" i="21"/>
  <c r="AF47" i="21"/>
  <c r="N55" i="21"/>
  <c r="AF55" i="21"/>
  <c r="N47" i="22"/>
  <c r="R47" i="22"/>
  <c r="AG47" i="22"/>
  <c r="AS47" i="22" s="1"/>
  <c r="BC47" i="22" s="1"/>
  <c r="AL37" i="21"/>
  <c r="AM39" i="21"/>
  <c r="W37" i="22"/>
  <c r="AL37" i="22"/>
  <c r="AX37" i="22" s="1"/>
  <c r="BH37" i="22" s="1"/>
  <c r="N64" i="21"/>
  <c r="AF64" i="21"/>
  <c r="R64" i="21"/>
  <c r="AM37" i="21"/>
  <c r="R42" i="21"/>
  <c r="N42" i="21"/>
  <c r="N47" i="21"/>
  <c r="N59" i="21"/>
  <c r="AF59" i="21"/>
  <c r="X37" i="22"/>
  <c r="AM37" i="22"/>
  <c r="AY37" i="22" s="1"/>
  <c r="BI37" i="22" s="1"/>
  <c r="AG44" i="22"/>
  <c r="AS44" i="22" s="1"/>
  <c r="BC44" i="22" s="1"/>
  <c r="N44" i="22"/>
  <c r="N51" i="22"/>
  <c r="AG51" i="22"/>
  <c r="AS51" i="22" s="1"/>
  <c r="BC51" i="22" s="1"/>
  <c r="AJ37" i="23"/>
  <c r="AV37" i="23" s="1"/>
  <c r="BF37" i="23" s="1"/>
  <c r="V37" i="21"/>
  <c r="AG39" i="21"/>
  <c r="R53" i="21"/>
  <c r="AN38" i="22"/>
  <c r="AZ38" i="22" s="1"/>
  <c r="BJ38" i="22" s="1"/>
  <c r="Y38" i="22"/>
  <c r="N52" i="22"/>
  <c r="AG52" i="22"/>
  <c r="AS52" i="22" s="1"/>
  <c r="BC52" i="22" s="1"/>
  <c r="R52" i="22"/>
  <c r="R53" i="22"/>
  <c r="AG53" i="22"/>
  <c r="AS53" i="22" s="1"/>
  <c r="BC53" i="22" s="1"/>
  <c r="N53" i="22"/>
  <c r="R55" i="22"/>
  <c r="AG55" i="22"/>
  <c r="AS55" i="22" s="1"/>
  <c r="BC55" i="22" s="1"/>
  <c r="N55" i="22"/>
  <c r="AG56" i="22"/>
  <c r="AS56" i="22" s="1"/>
  <c r="BC56" i="22" s="1"/>
  <c r="R56" i="22"/>
  <c r="N56" i="22"/>
  <c r="R58" i="22"/>
  <c r="AG58" i="22"/>
  <c r="AS58" i="22" s="1"/>
  <c r="BC58" i="22" s="1"/>
  <c r="N58" i="22"/>
  <c r="AG59" i="22"/>
  <c r="AS59" i="22" s="1"/>
  <c r="BC59" i="22" s="1"/>
  <c r="N59" i="22"/>
  <c r="R59" i="22"/>
  <c r="AG60" i="22"/>
  <c r="AS60" i="22" s="1"/>
  <c r="BC60" i="22" s="1"/>
  <c r="R60" i="22"/>
  <c r="N60" i="22"/>
  <c r="N62" i="22"/>
  <c r="AG62" i="22"/>
  <c r="AS62" i="22" s="1"/>
  <c r="BC62" i="22" s="1"/>
  <c r="R62" i="22"/>
  <c r="AG63" i="22"/>
  <c r="AS63" i="22" s="1"/>
  <c r="BC63" i="22" s="1"/>
  <c r="N63" i="22"/>
  <c r="R63" i="22"/>
  <c r="AG64" i="22"/>
  <c r="AS64" i="22" s="1"/>
  <c r="BC64" i="22" s="1"/>
  <c r="R64" i="22"/>
  <c r="N64" i="22"/>
  <c r="AL38" i="23"/>
  <c r="AX38" i="23" s="1"/>
  <c r="BH38" i="23" s="1"/>
  <c r="AH38" i="23"/>
  <c r="AT38" i="23" s="1"/>
  <c r="BD38" i="23" s="1"/>
  <c r="S38" i="23"/>
  <c r="R49" i="23"/>
  <c r="AG49" i="23"/>
  <c r="AS49" i="23" s="1"/>
  <c r="BC49" i="23" s="1"/>
  <c r="N49" i="23"/>
  <c r="AK37" i="21"/>
  <c r="R46" i="22"/>
  <c r="N46" i="22"/>
  <c r="AG46" i="22"/>
  <c r="AS46" i="22" s="1"/>
  <c r="BC46" i="22" s="1"/>
  <c r="N43" i="22"/>
  <c r="AG43" i="22"/>
  <c r="AS43" i="22" s="1"/>
  <c r="BC43" i="22" s="1"/>
  <c r="R43" i="22"/>
  <c r="AJ38" i="21"/>
  <c r="V38" i="21"/>
  <c r="AN38" i="23"/>
  <c r="AZ38" i="23" s="1"/>
  <c r="BJ38" i="23" s="1"/>
  <c r="AF41" i="21"/>
  <c r="R44" i="22"/>
  <c r="AG61" i="22"/>
  <c r="AS61" i="22" s="1"/>
  <c r="BC61" i="22" s="1"/>
  <c r="N61" i="22"/>
  <c r="Y37" i="23"/>
  <c r="AN37" i="23"/>
  <c r="AZ37" i="23" s="1"/>
  <c r="BJ37" i="23" s="1"/>
  <c r="R43" i="23"/>
  <c r="N43" i="23"/>
  <c r="AG43" i="23"/>
  <c r="AS43" i="23" s="1"/>
  <c r="BC43" i="23" s="1"/>
  <c r="AG51" i="23"/>
  <c r="AS51" i="23" s="1"/>
  <c r="BC51" i="23" s="1"/>
  <c r="N51" i="23"/>
  <c r="R51" i="23"/>
  <c r="AG52" i="23"/>
  <c r="AS52" i="23" s="1"/>
  <c r="BC52" i="23" s="1"/>
  <c r="N52" i="23"/>
  <c r="R52" i="23"/>
  <c r="R53" i="23"/>
  <c r="N53" i="23"/>
  <c r="AG53" i="23"/>
  <c r="AS53" i="23" s="1"/>
  <c r="BC53" i="23" s="1"/>
  <c r="N54" i="23"/>
  <c r="AG54" i="23"/>
  <c r="AS54" i="23" s="1"/>
  <c r="BC54" i="23" s="1"/>
  <c r="R54" i="23"/>
  <c r="AG55" i="23"/>
  <c r="AS55" i="23" s="1"/>
  <c r="BC55" i="23" s="1"/>
  <c r="R55" i="23"/>
  <c r="N55" i="23"/>
  <c r="R56" i="23"/>
  <c r="N56" i="23"/>
  <c r="AG56" i="23"/>
  <c r="AS56" i="23" s="1"/>
  <c r="BC56" i="23" s="1"/>
  <c r="R57" i="23"/>
  <c r="AG57" i="23"/>
  <c r="AS57" i="23" s="1"/>
  <c r="BC57" i="23" s="1"/>
  <c r="AG58" i="23"/>
  <c r="AS58" i="23" s="1"/>
  <c r="BC58" i="23" s="1"/>
  <c r="R58" i="23"/>
  <c r="N58" i="23"/>
  <c r="AG59" i="23"/>
  <c r="AS59" i="23" s="1"/>
  <c r="BC59" i="23" s="1"/>
  <c r="N59" i="23"/>
  <c r="R59" i="23"/>
  <c r="AG60" i="23"/>
  <c r="AS60" i="23" s="1"/>
  <c r="BC60" i="23" s="1"/>
  <c r="N60" i="23"/>
  <c r="R60" i="23"/>
  <c r="N61" i="23"/>
  <c r="AG61" i="23"/>
  <c r="AS61" i="23" s="1"/>
  <c r="BC61" i="23" s="1"/>
  <c r="R61" i="23"/>
  <c r="N62" i="23"/>
  <c r="R62" i="23"/>
  <c r="AG62" i="23"/>
  <c r="AS62" i="23" s="1"/>
  <c r="BC62" i="23" s="1"/>
  <c r="R63" i="23"/>
  <c r="AG63" i="23"/>
  <c r="AS63" i="23" s="1"/>
  <c r="BC63" i="23" s="1"/>
  <c r="N63" i="23"/>
  <c r="R64" i="23"/>
  <c r="N64" i="23"/>
  <c r="AG64" i="23"/>
  <c r="AS64" i="23" s="1"/>
  <c r="BC64" i="23" s="1"/>
  <c r="R50" i="21"/>
  <c r="AF50" i="21"/>
  <c r="N50" i="21"/>
  <c r="AK39" i="21"/>
  <c r="N60" i="21"/>
  <c r="AF60" i="21"/>
  <c r="R60" i="21"/>
  <c r="R50" i="22"/>
  <c r="N50" i="22"/>
  <c r="AG50" i="22"/>
  <c r="AS50" i="22" s="1"/>
  <c r="BC50" i="22" s="1"/>
  <c r="AG41" i="23"/>
  <c r="AS41" i="23" s="1"/>
  <c r="BC41" i="23" s="1"/>
  <c r="R41" i="23"/>
  <c r="N41" i="23"/>
  <c r="X38" i="23"/>
  <c r="AM38" i="23"/>
  <c r="AY38" i="23" s="1"/>
  <c r="BI38" i="23" s="1"/>
  <c r="AO39" i="22"/>
  <c r="BA39" i="22" s="1"/>
  <c r="BK39" i="22" s="1"/>
  <c r="AN39" i="22"/>
  <c r="AZ39" i="22" s="1"/>
  <c r="BJ39" i="22" s="1"/>
  <c r="AL39" i="22"/>
  <c r="AX39" i="22" s="1"/>
  <c r="BH39" i="22" s="1"/>
  <c r="AI39" i="22"/>
  <c r="AU39" i="22" s="1"/>
  <c r="BE39" i="22" s="1"/>
  <c r="N63" i="21"/>
  <c r="AF63" i="21"/>
  <c r="AG45" i="22"/>
  <c r="AS45" i="22" s="1"/>
  <c r="BC45" i="22" s="1"/>
  <c r="R45" i="22"/>
  <c r="I40" i="22"/>
  <c r="AG47" i="23"/>
  <c r="AS47" i="23" s="1"/>
  <c r="BC47" i="23" s="1"/>
  <c r="R47" i="23"/>
  <c r="N47" i="23"/>
  <c r="AN39" i="23"/>
  <c r="AZ39" i="23" s="1"/>
  <c r="BJ39" i="23" s="1"/>
  <c r="AO39" i="23"/>
  <c r="BA39" i="23" s="1"/>
  <c r="BK39" i="23" s="1"/>
  <c r="AL39" i="23"/>
  <c r="AX39" i="23" s="1"/>
  <c r="BH39" i="23" s="1"/>
  <c r="AK38" i="21"/>
  <c r="W38" i="21"/>
  <c r="N54" i="21"/>
  <c r="AF54" i="21"/>
  <c r="R54" i="21"/>
  <c r="R55" i="21"/>
  <c r="R63" i="21"/>
  <c r="V38" i="22"/>
  <c r="AK38" i="22"/>
  <c r="AW38" i="22" s="1"/>
  <c r="BG38" i="22" s="1"/>
  <c r="I40" i="21"/>
  <c r="O40" i="21" s="1"/>
  <c r="R41" i="21"/>
  <c r="AF42" i="21"/>
  <c r="N45" i="21"/>
  <c r="N51" i="21"/>
  <c r="AF51" i="21"/>
  <c r="N58" i="21"/>
  <c r="AF58" i="21"/>
  <c r="R58" i="21"/>
  <c r="R59" i="21"/>
  <c r="AG42" i="23"/>
  <c r="AS42" i="23" s="1"/>
  <c r="BC42" i="23" s="1"/>
  <c r="R42" i="23"/>
  <c r="N42" i="23"/>
  <c r="N50" i="23"/>
  <c r="AG50" i="23"/>
  <c r="AS50" i="23" s="1"/>
  <c r="BC50" i="23" s="1"/>
  <c r="R50" i="23"/>
  <c r="T37" i="23"/>
  <c r="AI37" i="23"/>
  <c r="AU37" i="23" s="1"/>
  <c r="BE37" i="23" s="1"/>
  <c r="N57" i="23"/>
  <c r="AI37" i="22"/>
  <c r="AU37" i="22" s="1"/>
  <c r="BE37" i="22" s="1"/>
  <c r="AG41" i="22"/>
  <c r="AS41" i="22" s="1"/>
  <c r="BC41" i="22" s="1"/>
  <c r="R41" i="22"/>
  <c r="AH39" i="23"/>
  <c r="AT39" i="23" s="1"/>
  <c r="BD39" i="23" s="1"/>
  <c r="R45" i="23"/>
  <c r="AG45" i="23"/>
  <c r="AS45" i="23" s="1"/>
  <c r="BC45" i="23" s="1"/>
  <c r="N45" i="23"/>
  <c r="AH38" i="22"/>
  <c r="AT38" i="22" s="1"/>
  <c r="BD38" i="22" s="1"/>
  <c r="S38" i="22"/>
  <c r="AJ37" i="22"/>
  <c r="AV37" i="22" s="1"/>
  <c r="BF37" i="22" s="1"/>
  <c r="AJ38" i="23"/>
  <c r="AV38" i="23" s="1"/>
  <c r="BF38" i="23" s="1"/>
  <c r="U38" i="23"/>
  <c r="I40" i="23"/>
  <c r="T38" i="23"/>
  <c r="R47" i="24"/>
  <c r="N47" i="24"/>
  <c r="AG47" i="24"/>
  <c r="BN47" i="24" s="1"/>
  <c r="AS47" i="24"/>
  <c r="N40" i="22"/>
  <c r="R42" i="22"/>
  <c r="N42" i="22"/>
  <c r="X37" i="23"/>
  <c r="AI38" i="22"/>
  <c r="AU38" i="22" s="1"/>
  <c r="BE38" i="22" s="1"/>
  <c r="T38" i="22"/>
  <c r="AG49" i="22"/>
  <c r="AS49" i="22" s="1"/>
  <c r="BC49" i="22" s="1"/>
  <c r="R49" i="22"/>
  <c r="AG44" i="23"/>
  <c r="AS44" i="23" s="1"/>
  <c r="BC44" i="23" s="1"/>
  <c r="R44" i="23"/>
  <c r="AG40" i="23"/>
  <c r="AS40" i="23" s="1"/>
  <c r="BC40" i="23" s="1"/>
  <c r="AI37" i="24"/>
  <c r="BP37" i="24" s="1"/>
  <c r="AU37" i="24" s="1"/>
  <c r="AI39" i="23"/>
  <c r="AU39" i="23" s="1"/>
  <c r="BE39" i="23" s="1"/>
  <c r="AL37" i="24"/>
  <c r="BS37" i="24" s="1"/>
  <c r="AX37" i="24" s="1"/>
  <c r="W37" i="24"/>
  <c r="AL38" i="24"/>
  <c r="BS38" i="24" s="1"/>
  <c r="AX38" i="24" s="1"/>
  <c r="W38" i="24"/>
  <c r="AS45" i="24"/>
  <c r="AG45" i="24"/>
  <c r="BN45" i="24" s="1"/>
  <c r="R45" i="24"/>
  <c r="N45" i="24"/>
  <c r="AS41" i="24"/>
  <c r="AG41" i="24"/>
  <c r="BN41" i="24" s="1"/>
  <c r="R41" i="24"/>
  <c r="N41" i="24"/>
  <c r="AK38" i="23"/>
  <c r="AW38" i="23" s="1"/>
  <c r="BG38" i="23" s="1"/>
  <c r="V38" i="23"/>
  <c r="N46" i="23"/>
  <c r="R46" i="23"/>
  <c r="AS40" i="24"/>
  <c r="R40" i="24"/>
  <c r="N40" i="24"/>
  <c r="AG40" i="24"/>
  <c r="BN40" i="24" s="1"/>
  <c r="Y37" i="24"/>
  <c r="AN37" i="24"/>
  <c r="BU37" i="24" s="1"/>
  <c r="AZ37" i="24" s="1"/>
  <c r="N44" i="24"/>
  <c r="AG44" i="24"/>
  <c r="BN44" i="24" s="1"/>
  <c r="R44" i="24"/>
  <c r="AI38" i="24"/>
  <c r="BP38" i="24" s="1"/>
  <c r="AU38" i="24" s="1"/>
  <c r="T38" i="24"/>
  <c r="N48" i="24"/>
  <c r="AS48" i="24"/>
  <c r="R48" i="24"/>
  <c r="R63" i="24"/>
  <c r="AG63" i="24"/>
  <c r="BN63" i="24" s="1"/>
  <c r="N63" i="24"/>
  <c r="AS63" i="24"/>
  <c r="AJ38" i="24"/>
  <c r="BQ38" i="24" s="1"/>
  <c r="AV38" i="24" s="1"/>
  <c r="U38" i="24"/>
  <c r="I40" i="24"/>
  <c r="O40" i="24" s="1"/>
  <c r="U37" i="24"/>
  <c r="R42" i="24"/>
  <c r="N42" i="24"/>
  <c r="AS42" i="24"/>
  <c r="N50" i="24"/>
  <c r="AS50" i="24"/>
  <c r="R50" i="24"/>
  <c r="X38" i="24"/>
  <c r="AM38" i="24"/>
  <c r="BT38" i="24" s="1"/>
  <c r="AY38" i="24" s="1"/>
  <c r="AG42" i="24"/>
  <c r="BN42" i="24" s="1"/>
  <c r="AN38" i="24"/>
  <c r="BU38" i="24" s="1"/>
  <c r="AZ38" i="24" s="1"/>
  <c r="AS46" i="24"/>
  <c r="AG46" i="24"/>
  <c r="BN46" i="24" s="1"/>
  <c r="R46" i="24"/>
  <c r="AH39" i="24"/>
  <c r="BO39" i="24" s="1"/>
  <c r="AT39" i="24" s="1"/>
  <c r="N46" i="24"/>
  <c r="R43" i="24"/>
  <c r="N43" i="24"/>
  <c r="AS51" i="24"/>
  <c r="R51" i="24"/>
  <c r="N51" i="24"/>
  <c r="N52" i="24"/>
  <c r="AG52" i="24"/>
  <c r="BN52" i="24" s="1"/>
  <c r="R52" i="24"/>
  <c r="AS52" i="24"/>
  <c r="N53" i="24"/>
  <c r="AS53" i="24"/>
  <c r="R54" i="24"/>
  <c r="AS54" i="24"/>
  <c r="AG55" i="24"/>
  <c r="BN55" i="24" s="1"/>
  <c r="AS55" i="24"/>
  <c r="N55" i="24"/>
  <c r="R56" i="24"/>
  <c r="AS56" i="24"/>
  <c r="AG56" i="24"/>
  <c r="BN56" i="24" s="1"/>
  <c r="N56" i="24"/>
  <c r="AS57" i="24"/>
  <c r="AG57" i="24"/>
  <c r="BN57" i="24" s="1"/>
  <c r="R57" i="24"/>
  <c r="AG58" i="24"/>
  <c r="BN58" i="24" s="1"/>
  <c r="N58" i="24"/>
  <c r="R58" i="24"/>
  <c r="AS58" i="24"/>
  <c r="AS59" i="24"/>
  <c r="AG59" i="24"/>
  <c r="BN59" i="24" s="1"/>
  <c r="R59" i="24"/>
  <c r="AS60" i="24"/>
  <c r="R60" i="24"/>
  <c r="AG60" i="24"/>
  <c r="BN60" i="24" s="1"/>
  <c r="AS61" i="24"/>
  <c r="AG61" i="24"/>
  <c r="BN61" i="24" s="1"/>
  <c r="R61" i="24"/>
  <c r="N61" i="24"/>
  <c r="N62" i="24"/>
  <c r="R62" i="24"/>
  <c r="AG62" i="24"/>
  <c r="BN62" i="24" s="1"/>
  <c r="AS62" i="24"/>
  <c r="R64" i="24"/>
  <c r="AS64" i="24"/>
  <c r="N64" i="24"/>
  <c r="AG53" i="24"/>
  <c r="BN53" i="24" s="1"/>
  <c r="N57" i="24"/>
  <c r="I20" i="8"/>
  <c r="AB39" i="19"/>
  <c r="AL39" i="19" s="1"/>
  <c r="U39" i="19"/>
  <c r="AH39" i="19" s="1"/>
  <c r="AR39" i="19" s="1"/>
  <c r="S39" i="19"/>
  <c r="AF39" i="19" s="1"/>
  <c r="AP39" i="19" s="1"/>
  <c r="R39" i="19"/>
  <c r="AE39" i="19" s="1"/>
  <c r="AO39" i="19" s="1"/>
  <c r="H39" i="19"/>
  <c r="F39" i="19"/>
  <c r="C39" i="19"/>
  <c r="B39" i="19"/>
  <c r="AJ38" i="19"/>
  <c r="AT38" i="19" s="1"/>
  <c r="AB38" i="19"/>
  <c r="H31" i="19"/>
  <c r="G31" i="19"/>
  <c r="E31" i="19"/>
  <c r="D31" i="19"/>
  <c r="B31" i="19"/>
  <c r="A31" i="19"/>
  <c r="H30" i="19"/>
  <c r="G30" i="19"/>
  <c r="E30" i="19"/>
  <c r="D30" i="19"/>
  <c r="B30" i="19"/>
  <c r="A30" i="19"/>
  <c r="H29" i="19"/>
  <c r="G29" i="19"/>
  <c r="E29" i="19"/>
  <c r="D29" i="19"/>
  <c r="B29" i="19"/>
  <c r="A29" i="19"/>
  <c r="H28" i="19"/>
  <c r="G28" i="19"/>
  <c r="E28" i="19"/>
  <c r="D28" i="19"/>
  <c r="B28" i="19"/>
  <c r="A28" i="19"/>
  <c r="A64" i="19" s="1"/>
  <c r="H27" i="19"/>
  <c r="G27" i="19"/>
  <c r="E27" i="19"/>
  <c r="D27" i="19"/>
  <c r="B27" i="19"/>
  <c r="A27" i="19"/>
  <c r="A63" i="19" s="1"/>
  <c r="O63" i="19" s="1"/>
  <c r="AB63" i="19" s="1"/>
  <c r="H26" i="19"/>
  <c r="G26" i="19"/>
  <c r="E26" i="19"/>
  <c r="D26" i="19"/>
  <c r="B26" i="19"/>
  <c r="A26" i="19"/>
  <c r="A62" i="19" s="1"/>
  <c r="H25" i="19"/>
  <c r="G25" i="19"/>
  <c r="E25" i="19"/>
  <c r="D25" i="19"/>
  <c r="B25" i="19"/>
  <c r="A25" i="19"/>
  <c r="A61" i="19" s="1"/>
  <c r="H24" i="19"/>
  <c r="G24" i="19"/>
  <c r="E24" i="19"/>
  <c r="D24" i="19"/>
  <c r="B24" i="19"/>
  <c r="A24" i="19"/>
  <c r="A60" i="19" s="1"/>
  <c r="H23" i="19"/>
  <c r="G23" i="19"/>
  <c r="E23" i="19"/>
  <c r="D23" i="19"/>
  <c r="B23" i="19"/>
  <c r="A23" i="19"/>
  <c r="A59" i="19" s="1"/>
  <c r="AL59" i="19" s="1"/>
  <c r="H22" i="19"/>
  <c r="G22" i="19"/>
  <c r="E22" i="19"/>
  <c r="D22" i="19"/>
  <c r="B22" i="19"/>
  <c r="A22" i="19"/>
  <c r="A58" i="19" s="1"/>
  <c r="H21" i="19"/>
  <c r="G21" i="19"/>
  <c r="E21" i="19"/>
  <c r="D21" i="19"/>
  <c r="B21" i="19"/>
  <c r="A21" i="19"/>
  <c r="A57" i="19" s="1"/>
  <c r="H20" i="19"/>
  <c r="G20" i="19"/>
  <c r="E20" i="19"/>
  <c r="D20" i="19"/>
  <c r="B20" i="19"/>
  <c r="A20" i="19"/>
  <c r="A56" i="19" s="1"/>
  <c r="H19" i="19"/>
  <c r="G19" i="19"/>
  <c r="E19" i="19"/>
  <c r="D19" i="19"/>
  <c r="B19" i="19"/>
  <c r="A19" i="19"/>
  <c r="A55" i="19" s="1"/>
  <c r="O55" i="19" s="1"/>
  <c r="AB55" i="19" s="1"/>
  <c r="H18" i="19"/>
  <c r="G18" i="19"/>
  <c r="E18" i="19"/>
  <c r="D18" i="19"/>
  <c r="B18" i="19"/>
  <c r="A18" i="19"/>
  <c r="A54" i="19" s="1"/>
  <c r="H17" i="19"/>
  <c r="G17" i="19"/>
  <c r="E17" i="19"/>
  <c r="D17" i="19"/>
  <c r="B17" i="19"/>
  <c r="A17" i="19"/>
  <c r="A53" i="19" s="1"/>
  <c r="AL53" i="19" s="1"/>
  <c r="H16" i="19"/>
  <c r="G16" i="19"/>
  <c r="E16" i="19"/>
  <c r="D16" i="19"/>
  <c r="B16" i="19"/>
  <c r="A16" i="19"/>
  <c r="A52" i="19" s="1"/>
  <c r="H15" i="19"/>
  <c r="G15" i="19"/>
  <c r="E15" i="19"/>
  <c r="D15" i="19"/>
  <c r="B15" i="19"/>
  <c r="A15" i="19"/>
  <c r="A51" i="19" s="1"/>
  <c r="H14" i="19"/>
  <c r="G14" i="19"/>
  <c r="C14" i="19"/>
  <c r="B14" i="19"/>
  <c r="A14" i="19"/>
  <c r="A50" i="19" s="1"/>
  <c r="H13" i="19"/>
  <c r="G13" i="19"/>
  <c r="C13" i="19"/>
  <c r="B13" i="19"/>
  <c r="A13" i="19"/>
  <c r="A49" i="19" s="1"/>
  <c r="O49" i="19" s="1"/>
  <c r="AB49" i="19" s="1"/>
  <c r="H12" i="19"/>
  <c r="F12" i="19"/>
  <c r="C12" i="19"/>
  <c r="B12" i="19"/>
  <c r="A12" i="19"/>
  <c r="A48" i="19" s="1"/>
  <c r="AL48" i="19" s="1"/>
  <c r="H11" i="19"/>
  <c r="F11" i="19"/>
  <c r="C11" i="19"/>
  <c r="B11" i="19"/>
  <c r="A11" i="19"/>
  <c r="A47" i="19" s="1"/>
  <c r="H10" i="19"/>
  <c r="F10" i="19"/>
  <c r="C10" i="19"/>
  <c r="B10" i="19"/>
  <c r="A10" i="19"/>
  <c r="A46" i="19" s="1"/>
  <c r="H9" i="19"/>
  <c r="F9" i="19"/>
  <c r="C9" i="19"/>
  <c r="B9" i="19"/>
  <c r="A9" i="19"/>
  <c r="A45" i="19" s="1"/>
  <c r="O45" i="19" s="1"/>
  <c r="AB45" i="19" s="1"/>
  <c r="H8" i="19"/>
  <c r="F8" i="19"/>
  <c r="C8" i="19"/>
  <c r="B8" i="19"/>
  <c r="A8" i="19"/>
  <c r="A44" i="19" s="1"/>
  <c r="AL44" i="19" s="1"/>
  <c r="H7" i="19"/>
  <c r="F7" i="19"/>
  <c r="C7" i="19"/>
  <c r="B7" i="19"/>
  <c r="A7" i="19"/>
  <c r="A43" i="19" s="1"/>
  <c r="H6" i="19"/>
  <c r="F6" i="19"/>
  <c r="C6" i="19"/>
  <c r="B6" i="19"/>
  <c r="A6" i="19"/>
  <c r="A42" i="19" s="1"/>
  <c r="AL42" i="19" s="1"/>
  <c r="H5" i="19"/>
  <c r="F5" i="19"/>
  <c r="C5" i="19"/>
  <c r="B5" i="19"/>
  <c r="A5" i="19"/>
  <c r="A41" i="19" s="1"/>
  <c r="H4" i="19"/>
  <c r="F4" i="19"/>
  <c r="C4" i="19"/>
  <c r="B4" i="19"/>
  <c r="A4" i="19"/>
  <c r="A40" i="19" s="1"/>
  <c r="H3" i="19"/>
  <c r="H38" i="19" s="1"/>
  <c r="V38" i="19" s="1"/>
  <c r="AI38" i="19" s="1"/>
  <c r="AS38" i="19" s="1"/>
  <c r="G3" i="19"/>
  <c r="G38" i="19" s="1"/>
  <c r="U38" i="19" s="1"/>
  <c r="AH38" i="19" s="1"/>
  <c r="AR38" i="19" s="1"/>
  <c r="F3" i="19"/>
  <c r="F38" i="19" s="1"/>
  <c r="T38" i="19" s="1"/>
  <c r="AG38" i="19" s="1"/>
  <c r="AQ38" i="19" s="1"/>
  <c r="E3" i="19"/>
  <c r="E38" i="19" s="1"/>
  <c r="S38" i="19" s="1"/>
  <c r="AF38" i="19" s="1"/>
  <c r="AP38" i="19" s="1"/>
  <c r="D3" i="19"/>
  <c r="D38" i="19" s="1"/>
  <c r="R38" i="19" s="1"/>
  <c r="AE38" i="19" s="1"/>
  <c r="AO38" i="19" s="1"/>
  <c r="C3" i="19"/>
  <c r="C38" i="19" s="1"/>
  <c r="Q38" i="19" s="1"/>
  <c r="AD38" i="19" s="1"/>
  <c r="AN38" i="19" s="1"/>
  <c r="B3" i="19"/>
  <c r="B38" i="19" s="1"/>
  <c r="P38" i="19" s="1"/>
  <c r="AC38" i="19" s="1"/>
  <c r="AM38" i="19" s="1"/>
  <c r="A3" i="19"/>
  <c r="H2" i="19"/>
  <c r="H37" i="19" s="1"/>
  <c r="V37" i="19" s="1"/>
  <c r="AI37" i="19" s="1"/>
  <c r="AS37" i="19" s="1"/>
  <c r="G2" i="19"/>
  <c r="G37" i="19" s="1"/>
  <c r="U37" i="19" s="1"/>
  <c r="AH37" i="19" s="1"/>
  <c r="AR37" i="19" s="1"/>
  <c r="F2" i="19"/>
  <c r="F37" i="19" s="1"/>
  <c r="T37" i="19" s="1"/>
  <c r="AG37" i="19" s="1"/>
  <c r="AQ37" i="19" s="1"/>
  <c r="E2" i="19"/>
  <c r="E37" i="19" s="1"/>
  <c r="S37" i="19" s="1"/>
  <c r="AF37" i="19" s="1"/>
  <c r="AP37" i="19" s="1"/>
  <c r="D2" i="19"/>
  <c r="D37" i="19" s="1"/>
  <c r="R37" i="19" s="1"/>
  <c r="AE37" i="19" s="1"/>
  <c r="AO37" i="19" s="1"/>
  <c r="C2" i="19"/>
  <c r="C37" i="19" s="1"/>
  <c r="Q37" i="19" s="1"/>
  <c r="AD37" i="19" s="1"/>
  <c r="AN37" i="19" s="1"/>
  <c r="B2" i="19"/>
  <c r="B37" i="19" s="1"/>
  <c r="P37" i="19" s="1"/>
  <c r="AC37" i="19" s="1"/>
  <c r="AM37" i="19" s="1"/>
  <c r="O40" i="22" l="1"/>
  <c r="Q41" i="26"/>
  <c r="O42" i="29"/>
  <c r="O43" i="29" s="1"/>
  <c r="O44" i="29" s="1"/>
  <c r="O45" i="29" s="1"/>
  <c r="O46" i="29" s="1"/>
  <c r="O47" i="29" s="1"/>
  <c r="O48" i="29" s="1"/>
  <c r="O49" i="29" s="1"/>
  <c r="O50" i="29" s="1"/>
  <c r="O51" i="29" s="1"/>
  <c r="O52" i="29" s="1"/>
  <c r="O53" i="29" s="1"/>
  <c r="O54" i="29" s="1"/>
  <c r="O55" i="29" s="1"/>
  <c r="O56" i="29" s="1"/>
  <c r="O57" i="29" s="1"/>
  <c r="O58" i="29" s="1"/>
  <c r="O59" i="29" s="1"/>
  <c r="O60" i="29" s="1"/>
  <c r="O61" i="29" s="1"/>
  <c r="O62" i="29" s="1"/>
  <c r="O63" i="29" s="1"/>
  <c r="O64" i="29" s="1"/>
  <c r="O65" i="29" s="1"/>
  <c r="F41" i="29"/>
  <c r="W41" i="29" s="1"/>
  <c r="H41" i="29"/>
  <c r="Y41" i="29" s="1"/>
  <c r="C41" i="29"/>
  <c r="T41" i="29" s="1"/>
  <c r="B41" i="29"/>
  <c r="S41" i="29" s="1"/>
  <c r="Z40" i="29"/>
  <c r="AM40" i="29" s="1"/>
  <c r="Y40" i="28"/>
  <c r="Q43" i="28"/>
  <c r="X42" i="28"/>
  <c r="W42" i="28"/>
  <c r="C45" i="28"/>
  <c r="P43" i="28"/>
  <c r="F45" i="28"/>
  <c r="H44" i="28"/>
  <c r="I44" i="28" s="1"/>
  <c r="J44" i="28" s="1"/>
  <c r="K44" i="28" s="1"/>
  <c r="L44" i="28" s="1"/>
  <c r="V43" i="28"/>
  <c r="B45" i="28"/>
  <c r="Y41" i="28"/>
  <c r="T43" i="28"/>
  <c r="O41" i="26"/>
  <c r="O42" i="26" s="1"/>
  <c r="O43" i="26" s="1"/>
  <c r="O44" i="26" s="1"/>
  <c r="O45" i="26" s="1"/>
  <c r="O46" i="26" s="1"/>
  <c r="O47" i="26" s="1"/>
  <c r="O48" i="26" s="1"/>
  <c r="O49" i="26" s="1"/>
  <c r="O50" i="26" s="1"/>
  <c r="O51" i="26" s="1"/>
  <c r="O52" i="26" s="1"/>
  <c r="O53" i="26" s="1"/>
  <c r="O54" i="26" s="1"/>
  <c r="O55" i="26" s="1"/>
  <c r="O56" i="26" s="1"/>
  <c r="O57" i="26" s="1"/>
  <c r="O58" i="26" s="1"/>
  <c r="O59" i="26" s="1"/>
  <c r="O60" i="26" s="1"/>
  <c r="O61" i="26" s="1"/>
  <c r="O62" i="26" s="1"/>
  <c r="O63" i="26" s="1"/>
  <c r="O64" i="26" s="1"/>
  <c r="O65" i="26" s="1"/>
  <c r="AN40" i="25"/>
  <c r="C41" i="25" s="1"/>
  <c r="AI40" i="25"/>
  <c r="AD40" i="25"/>
  <c r="AS40" i="25"/>
  <c r="H41" i="25" s="1"/>
  <c r="Q40" i="25"/>
  <c r="AM40" i="25"/>
  <c r="V40" i="25"/>
  <c r="AQ40" i="25"/>
  <c r="F41" i="25" s="1"/>
  <c r="P40" i="25"/>
  <c r="AG40" i="25"/>
  <c r="AC40" i="25"/>
  <c r="T40" i="25"/>
  <c r="J40" i="25"/>
  <c r="K40" i="25" s="1"/>
  <c r="L40" i="25" s="1"/>
  <c r="J40" i="24"/>
  <c r="K40" i="24" s="1"/>
  <c r="L40" i="24" s="1"/>
  <c r="O40" i="23"/>
  <c r="J40" i="23"/>
  <c r="K40" i="23" s="1"/>
  <c r="L40" i="23" s="1"/>
  <c r="J40" i="21"/>
  <c r="K40" i="21" s="1"/>
  <c r="L40" i="21" s="1"/>
  <c r="J40" i="22"/>
  <c r="K40" i="22" s="1"/>
  <c r="L40" i="22" s="1"/>
  <c r="B40" i="19"/>
  <c r="H40" i="19"/>
  <c r="O51" i="19"/>
  <c r="AB51" i="19" s="1"/>
  <c r="AL51" i="19"/>
  <c r="AL40" i="19"/>
  <c r="O40" i="19"/>
  <c r="AB40" i="19" s="1"/>
  <c r="O59" i="19"/>
  <c r="AB59" i="19" s="1"/>
  <c r="AL55" i="19"/>
  <c r="AL45" i="19"/>
  <c r="O53" i="19"/>
  <c r="AB53" i="19" s="1"/>
  <c r="O44" i="19"/>
  <c r="AB44" i="19" s="1"/>
  <c r="O42" i="19"/>
  <c r="AB42" i="19" s="1"/>
  <c r="O43" i="19"/>
  <c r="AB43" i="19" s="1"/>
  <c r="AL43" i="19"/>
  <c r="O47" i="19"/>
  <c r="AB47" i="19" s="1"/>
  <c r="AL47" i="19"/>
  <c r="O57" i="19"/>
  <c r="AB57" i="19" s="1"/>
  <c r="AL57" i="19"/>
  <c r="AL61" i="19"/>
  <c r="O61" i="19"/>
  <c r="AB61" i="19" s="1"/>
  <c r="I39" i="19"/>
  <c r="T39" i="19" s="1"/>
  <c r="AG39" i="19" s="1"/>
  <c r="AQ39" i="19" s="1"/>
  <c r="O56" i="19"/>
  <c r="AB56" i="19" s="1"/>
  <c r="AL56" i="19"/>
  <c r="O60" i="19"/>
  <c r="AB60" i="19" s="1"/>
  <c r="AL60" i="19"/>
  <c r="AL64" i="19"/>
  <c r="O64" i="19"/>
  <c r="AB64" i="19" s="1"/>
  <c r="AL49" i="19"/>
  <c r="AL46" i="19"/>
  <c r="O46" i="19"/>
  <c r="AB46" i="19" s="1"/>
  <c r="C40" i="19"/>
  <c r="O52" i="19"/>
  <c r="AB52" i="19" s="1"/>
  <c r="AL52" i="19"/>
  <c r="AL50" i="19"/>
  <c r="O50" i="19"/>
  <c r="AB50" i="19" s="1"/>
  <c r="AL54" i="19"/>
  <c r="O54" i="19"/>
  <c r="AB54" i="19" s="1"/>
  <c r="AL62" i="19"/>
  <c r="O62" i="19"/>
  <c r="AB62" i="19" s="1"/>
  <c r="F40" i="19"/>
  <c r="AL41" i="19"/>
  <c r="O41" i="19"/>
  <c r="AB41" i="19" s="1"/>
  <c r="O48" i="19"/>
  <c r="AB48" i="19" s="1"/>
  <c r="AL63" i="19"/>
  <c r="AL58" i="19"/>
  <c r="O58" i="19"/>
  <c r="AB58" i="19" s="1"/>
  <c r="Y42" i="28" l="1"/>
  <c r="O66" i="29"/>
  <c r="I71" i="29" s="1"/>
  <c r="I74" i="29" s="1"/>
  <c r="I41" i="29"/>
  <c r="H42" i="29"/>
  <c r="Y42" i="29" s="1"/>
  <c r="AA40" i="29"/>
  <c r="AB40" i="29" s="1"/>
  <c r="AC40" i="29" s="1"/>
  <c r="AD40" i="29"/>
  <c r="AH40" i="29"/>
  <c r="AK40" i="29"/>
  <c r="AG40" i="29"/>
  <c r="C42" i="29"/>
  <c r="T42" i="29" s="1"/>
  <c r="F42" i="29"/>
  <c r="W42" i="29" s="1"/>
  <c r="P44" i="28"/>
  <c r="T44" i="28"/>
  <c r="X43" i="28"/>
  <c r="W43" i="28"/>
  <c r="B46" i="28"/>
  <c r="H45" i="28"/>
  <c r="V44" i="28"/>
  <c r="Q44" i="28"/>
  <c r="F46" i="28"/>
  <c r="C46" i="28"/>
  <c r="Z40" i="26"/>
  <c r="AN40" i="26" s="1"/>
  <c r="AT40" i="25"/>
  <c r="AU40" i="25" s="1"/>
  <c r="B41" i="25"/>
  <c r="I41" i="25" s="1"/>
  <c r="AC41" i="25" s="1"/>
  <c r="X40" i="25"/>
  <c r="W40" i="25"/>
  <c r="T40" i="23"/>
  <c r="O41" i="23"/>
  <c r="O42" i="23" s="1"/>
  <c r="O43" i="23" s="1"/>
  <c r="O44" i="23" s="1"/>
  <c r="O45" i="23" s="1"/>
  <c r="O46" i="23" s="1"/>
  <c r="O47" i="23" s="1"/>
  <c r="O48" i="23" s="1"/>
  <c r="O49" i="23" s="1"/>
  <c r="O50" i="23" s="1"/>
  <c r="O51" i="23" s="1"/>
  <c r="O52" i="23" s="1"/>
  <c r="O53" i="23" s="1"/>
  <c r="O54" i="23" s="1"/>
  <c r="O55" i="23" s="1"/>
  <c r="O56" i="23" s="1"/>
  <c r="O57" i="23" s="1"/>
  <c r="O58" i="23" s="1"/>
  <c r="O59" i="23" s="1"/>
  <c r="O60" i="23" s="1"/>
  <c r="O61" i="23" s="1"/>
  <c r="O62" i="23" s="1"/>
  <c r="O63" i="23" s="1"/>
  <c r="O64" i="23" s="1"/>
  <c r="O65" i="23" s="1"/>
  <c r="W40" i="23"/>
  <c r="Y40" i="23"/>
  <c r="S40" i="23"/>
  <c r="O41" i="22"/>
  <c r="O42" i="22" s="1"/>
  <c r="O43" i="22" s="1"/>
  <c r="O44" i="22" s="1"/>
  <c r="O45" i="22" s="1"/>
  <c r="O46" i="22" s="1"/>
  <c r="O47" i="22" s="1"/>
  <c r="O48" i="22" s="1"/>
  <c r="O49" i="22" s="1"/>
  <c r="O50" i="22" s="1"/>
  <c r="O51" i="22" s="1"/>
  <c r="O52" i="22" s="1"/>
  <c r="O53" i="22" s="1"/>
  <c r="O54" i="22" s="1"/>
  <c r="O55" i="22" s="1"/>
  <c r="O56" i="22" s="1"/>
  <c r="O57" i="22" s="1"/>
  <c r="O58" i="22" s="1"/>
  <c r="O59" i="22" s="1"/>
  <c r="O60" i="22" s="1"/>
  <c r="O61" i="22" s="1"/>
  <c r="O62" i="22" s="1"/>
  <c r="O63" i="22" s="1"/>
  <c r="O64" i="22" s="1"/>
  <c r="O65" i="22" s="1"/>
  <c r="S40" i="22"/>
  <c r="T40" i="22"/>
  <c r="Y40" i="22"/>
  <c r="W40" i="22"/>
  <c r="O41" i="24"/>
  <c r="O42" i="24" s="1"/>
  <c r="O43" i="24" s="1"/>
  <c r="O44" i="24" s="1"/>
  <c r="O45" i="24" s="1"/>
  <c r="O46" i="24" s="1"/>
  <c r="O47" i="24" s="1"/>
  <c r="O48" i="24" s="1"/>
  <c r="O49" i="24" s="1"/>
  <c r="O50" i="24" s="1"/>
  <c r="O51" i="24" s="1"/>
  <c r="O52" i="24" s="1"/>
  <c r="O53" i="24" s="1"/>
  <c r="O54" i="24" s="1"/>
  <c r="O55" i="24" s="1"/>
  <c r="O56" i="24" s="1"/>
  <c r="O57" i="24" s="1"/>
  <c r="O58" i="24" s="1"/>
  <c r="O59" i="24" s="1"/>
  <c r="O60" i="24" s="1"/>
  <c r="O61" i="24" s="1"/>
  <c r="O62" i="24" s="1"/>
  <c r="O63" i="24" s="1"/>
  <c r="O64" i="24" s="1"/>
  <c r="O65" i="24" s="1"/>
  <c r="T40" i="24"/>
  <c r="Y40" i="24"/>
  <c r="S40" i="24"/>
  <c r="W40" i="24"/>
  <c r="O41" i="21"/>
  <c r="O42" i="21" s="1"/>
  <c r="O43" i="21" s="1"/>
  <c r="O44" i="21" s="1"/>
  <c r="O45" i="21" s="1"/>
  <c r="O46" i="21" s="1"/>
  <c r="O47" i="21" s="1"/>
  <c r="O48" i="21" s="1"/>
  <c r="O49" i="21" s="1"/>
  <c r="O50" i="21" s="1"/>
  <c r="O51" i="21" s="1"/>
  <c r="O52" i="21" s="1"/>
  <c r="O53" i="21" s="1"/>
  <c r="O54" i="21" s="1"/>
  <c r="O55" i="21" s="1"/>
  <c r="O56" i="21" s="1"/>
  <c r="O57" i="21" s="1"/>
  <c r="O58" i="21" s="1"/>
  <c r="O59" i="21" s="1"/>
  <c r="O60" i="21" s="1"/>
  <c r="O61" i="21" s="1"/>
  <c r="O62" i="21" s="1"/>
  <c r="O63" i="21" s="1"/>
  <c r="O64" i="21" s="1"/>
  <c r="O65" i="21" s="1"/>
  <c r="W40" i="21"/>
  <c r="T40" i="21"/>
  <c r="S40" i="21"/>
  <c r="Y40" i="21"/>
  <c r="P39" i="19"/>
  <c r="AC39" i="19" s="1"/>
  <c r="AM39" i="19" s="1"/>
  <c r="I40" i="19"/>
  <c r="Q40" i="19" s="1"/>
  <c r="V39" i="19"/>
  <c r="AI39" i="19" s="1"/>
  <c r="AS39" i="19" s="1"/>
  <c r="Q39" i="19"/>
  <c r="AD39" i="19" s="1"/>
  <c r="AN39" i="19" s="1"/>
  <c r="W39" i="19"/>
  <c r="AJ39" i="19" s="1"/>
  <c r="AT39" i="19" s="1"/>
  <c r="Y40" i="25" l="1"/>
  <c r="W44" i="28"/>
  <c r="Y43" i="28"/>
  <c r="H43" i="29"/>
  <c r="Y43" i="29" s="1"/>
  <c r="C43" i="29"/>
  <c r="T43" i="29" s="1"/>
  <c r="J41" i="29"/>
  <c r="K41" i="29" s="1"/>
  <c r="L41" i="29" s="1"/>
  <c r="F43" i="29"/>
  <c r="W43" i="29" s="1"/>
  <c r="AO40" i="29"/>
  <c r="AN40" i="29"/>
  <c r="Z41" i="29"/>
  <c r="B42" i="29"/>
  <c r="S42" i="29" s="1"/>
  <c r="X44" i="28"/>
  <c r="B47" i="28"/>
  <c r="C47" i="28"/>
  <c r="H46" i="28"/>
  <c r="F47" i="28"/>
  <c r="I45" i="28"/>
  <c r="O66" i="26"/>
  <c r="I71" i="26" s="1"/>
  <c r="AI40" i="26"/>
  <c r="BA40" i="26"/>
  <c r="AA40" i="26"/>
  <c r="AB40" i="26" s="1"/>
  <c r="AC40" i="26" s="1"/>
  <c r="BK40" i="26"/>
  <c r="AD40" i="26"/>
  <c r="AZ40" i="26"/>
  <c r="AU40" i="26"/>
  <c r="AH40" i="26"/>
  <c r="AL40" i="26"/>
  <c r="AT40" i="26"/>
  <c r="AX40" i="26"/>
  <c r="P41" i="25"/>
  <c r="AT41" i="25"/>
  <c r="AU41" i="25" s="1"/>
  <c r="AM41" i="25"/>
  <c r="B42" i="25" s="1"/>
  <c r="AS41" i="25"/>
  <c r="H42" i="25" s="1"/>
  <c r="AN41" i="25"/>
  <c r="C42" i="25" s="1"/>
  <c r="AQ41" i="25"/>
  <c r="F42" i="25" s="1"/>
  <c r="AJ41" i="25"/>
  <c r="J41" i="25"/>
  <c r="K41" i="25" s="1"/>
  <c r="L41" i="25" s="1"/>
  <c r="AD41" i="25"/>
  <c r="Q41" i="25"/>
  <c r="AI41" i="25"/>
  <c r="AG41" i="25"/>
  <c r="V41" i="25"/>
  <c r="T41" i="25"/>
  <c r="B41" i="21"/>
  <c r="Z40" i="21"/>
  <c r="AM40" i="21" s="1"/>
  <c r="AU40" i="24"/>
  <c r="C41" i="24" s="1"/>
  <c r="T41" i="24" s="1"/>
  <c r="C41" i="21"/>
  <c r="T41" i="21" s="1"/>
  <c r="Z40" i="23"/>
  <c r="AT40" i="23" s="1"/>
  <c r="F41" i="21"/>
  <c r="W41" i="21" s="1"/>
  <c r="O66" i="24"/>
  <c r="I71" i="24" s="1"/>
  <c r="I74" i="24" s="1"/>
  <c r="BH40" i="22"/>
  <c r="F41" i="22" s="1"/>
  <c r="W41" i="22" s="1"/>
  <c r="O66" i="21"/>
  <c r="I71" i="21" s="1"/>
  <c r="AX40" i="24"/>
  <c r="F41" i="24" s="1"/>
  <c r="W41" i="24" s="1"/>
  <c r="BE40" i="22"/>
  <c r="C41" i="22" s="1"/>
  <c r="T41" i="22" s="1"/>
  <c r="H41" i="21"/>
  <c r="Y41" i="21" s="1"/>
  <c r="AZ40" i="24"/>
  <c r="H41" i="24" s="1"/>
  <c r="Y41" i="24" s="1"/>
  <c r="BJ40" i="22"/>
  <c r="H41" i="22" s="1"/>
  <c r="Y41" i="22" s="1"/>
  <c r="AT40" i="24"/>
  <c r="B41" i="24" s="1"/>
  <c r="Z40" i="24"/>
  <c r="AN40" i="24" s="1"/>
  <c r="Z40" i="22"/>
  <c r="AX40" i="22" s="1"/>
  <c r="BD40" i="22"/>
  <c r="B41" i="22" s="1"/>
  <c r="V40" i="19"/>
  <c r="AG40" i="19"/>
  <c r="P40" i="19"/>
  <c r="J40" i="19"/>
  <c r="K40" i="19" s="1"/>
  <c r="L40" i="19" s="1"/>
  <c r="AD40" i="19"/>
  <c r="AS40" i="19"/>
  <c r="AC40" i="19"/>
  <c r="AJ40" i="19"/>
  <c r="AM40" i="19"/>
  <c r="AI40" i="19"/>
  <c r="T40" i="19"/>
  <c r="AQ40" i="19"/>
  <c r="AN40" i="19"/>
  <c r="H31" i="7"/>
  <c r="G31" i="7"/>
  <c r="E31" i="7"/>
  <c r="D31" i="7"/>
  <c r="B31" i="7"/>
  <c r="A31" i="7"/>
  <c r="E31" i="4"/>
  <c r="D31" i="4"/>
  <c r="A31" i="4"/>
  <c r="I74" i="21" l="1"/>
  <c r="C27" i="8"/>
  <c r="I74" i="26"/>
  <c r="D27" i="8"/>
  <c r="Y44" i="28"/>
  <c r="BS40" i="24"/>
  <c r="AI40" i="23"/>
  <c r="AL40" i="23"/>
  <c r="O66" i="22"/>
  <c r="I71" i="22" s="1"/>
  <c r="AX40" i="23"/>
  <c r="AU40" i="23"/>
  <c r="AT40" i="22"/>
  <c r="AH40" i="22"/>
  <c r="AN40" i="23"/>
  <c r="AP40" i="29"/>
  <c r="F44" i="29"/>
  <c r="W44" i="29" s="1"/>
  <c r="C44" i="29"/>
  <c r="T44" i="29" s="1"/>
  <c r="AD41" i="29"/>
  <c r="AA41" i="29"/>
  <c r="AB41" i="29" s="1"/>
  <c r="AC41" i="29" s="1"/>
  <c r="AK41" i="29"/>
  <c r="AH41" i="29"/>
  <c r="AM41" i="29"/>
  <c r="AG41" i="29"/>
  <c r="I42" i="29"/>
  <c r="H44" i="29"/>
  <c r="Y44" i="29" s="1"/>
  <c r="H47" i="28"/>
  <c r="I46" i="28"/>
  <c r="J45" i="28"/>
  <c r="K45" i="28" s="1"/>
  <c r="L45" i="28" s="1"/>
  <c r="Q45" i="28"/>
  <c r="T45" i="28"/>
  <c r="P45" i="28"/>
  <c r="F48" i="28"/>
  <c r="C48" i="28"/>
  <c r="V45" i="28"/>
  <c r="B48" i="28"/>
  <c r="I47" i="28"/>
  <c r="BH40" i="26"/>
  <c r="F41" i="26" s="1"/>
  <c r="BE40" i="26"/>
  <c r="C41" i="26" s="1"/>
  <c r="BD40" i="26"/>
  <c r="BJ40" i="26"/>
  <c r="H41" i="26" s="1"/>
  <c r="Y41" i="26" s="1"/>
  <c r="AO40" i="26"/>
  <c r="AP40" i="26"/>
  <c r="X41" i="25"/>
  <c r="I42" i="25"/>
  <c r="P42" i="25" s="1"/>
  <c r="W41" i="25"/>
  <c r="BP40" i="24"/>
  <c r="AZ40" i="22"/>
  <c r="BE41" i="22"/>
  <c r="C42" i="22" s="1"/>
  <c r="T42" i="22" s="1"/>
  <c r="AL40" i="22"/>
  <c r="AZ40" i="23"/>
  <c r="AI40" i="24"/>
  <c r="AH40" i="24"/>
  <c r="AZ41" i="24"/>
  <c r="H42" i="24" s="1"/>
  <c r="Y42" i="24" s="1"/>
  <c r="AI40" i="22"/>
  <c r="AH40" i="23"/>
  <c r="AU41" i="24"/>
  <c r="C42" i="24" s="1"/>
  <c r="T42" i="24" s="1"/>
  <c r="C42" i="21"/>
  <c r="T42" i="21" s="1"/>
  <c r="AA40" i="21"/>
  <c r="AB40" i="21" s="1"/>
  <c r="AC40" i="21" s="1"/>
  <c r="AD40" i="21"/>
  <c r="O66" i="23"/>
  <c r="I71" i="23" s="1"/>
  <c r="BO40" i="24"/>
  <c r="AX41" i="24"/>
  <c r="F42" i="24" s="1"/>
  <c r="W42" i="24" s="1"/>
  <c r="F42" i="21"/>
  <c r="W42" i="21" s="1"/>
  <c r="AG40" i="21"/>
  <c r="BJ41" i="22"/>
  <c r="H42" i="22" s="1"/>
  <c r="Y42" i="22" s="1"/>
  <c r="BK40" i="22"/>
  <c r="BA40" i="22"/>
  <c r="AD40" i="22"/>
  <c r="AA40" i="22"/>
  <c r="AB40" i="22" s="1"/>
  <c r="AC40" i="22" s="1"/>
  <c r="BL40" i="22"/>
  <c r="BH41" i="22"/>
  <c r="F42" i="22" s="1"/>
  <c r="W42" i="22" s="1"/>
  <c r="AD40" i="24"/>
  <c r="BB40" i="24"/>
  <c r="AA40" i="24"/>
  <c r="AB40" i="24" s="1"/>
  <c r="AC40" i="24" s="1"/>
  <c r="BV40" i="24"/>
  <c r="BA40" i="24"/>
  <c r="I41" i="24"/>
  <c r="S41" i="24"/>
  <c r="BU40" i="24"/>
  <c r="AU40" i="22"/>
  <c r="BA40" i="23"/>
  <c r="AA40" i="23"/>
  <c r="AB40" i="23" s="1"/>
  <c r="AC40" i="23" s="1"/>
  <c r="AD40" i="23"/>
  <c r="BK40" i="23"/>
  <c r="I41" i="22"/>
  <c r="S41" i="22"/>
  <c r="AN40" i="22"/>
  <c r="H42" i="21"/>
  <c r="Y42" i="21" s="1"/>
  <c r="AL40" i="24"/>
  <c r="AK40" i="21"/>
  <c r="AH40" i="21"/>
  <c r="S41" i="21"/>
  <c r="I41" i="21"/>
  <c r="W40" i="19"/>
  <c r="X40" i="19"/>
  <c r="A5" i="7"/>
  <c r="A6" i="7"/>
  <c r="A7" i="7"/>
  <c r="A8" i="7"/>
  <c r="A9" i="7"/>
  <c r="A10" i="7"/>
  <c r="A11" i="7"/>
  <c r="A12" i="7"/>
  <c r="A13" i="7"/>
  <c r="A14" i="7"/>
  <c r="A15" i="7"/>
  <c r="A16" i="7"/>
  <c r="A17" i="7"/>
  <c r="A18" i="7"/>
  <c r="A19" i="7"/>
  <c r="A20" i="7"/>
  <c r="A21" i="7"/>
  <c r="A22" i="7"/>
  <c r="A23" i="7"/>
  <c r="A24" i="7"/>
  <c r="A25" i="7"/>
  <c r="A26" i="7"/>
  <c r="A27" i="7"/>
  <c r="A28" i="7"/>
  <c r="A29" i="7"/>
  <c r="A30" i="7"/>
  <c r="B30" i="7"/>
  <c r="D30" i="7"/>
  <c r="E30" i="7"/>
  <c r="G30" i="7"/>
  <c r="H30" i="7"/>
  <c r="A30" i="4"/>
  <c r="D30" i="4"/>
  <c r="E30" i="4"/>
  <c r="I74" i="23" l="1"/>
  <c r="I27" i="8"/>
  <c r="I74" i="22"/>
  <c r="B27" i="8"/>
  <c r="Y40" i="19"/>
  <c r="J47" i="28"/>
  <c r="K47" i="28" s="1"/>
  <c r="L47" i="28" s="1"/>
  <c r="AP40" i="22"/>
  <c r="J42" i="29"/>
  <c r="K42" i="29" s="1"/>
  <c r="L42" i="29" s="1"/>
  <c r="C45" i="29"/>
  <c r="T45" i="29" s="1"/>
  <c r="AO41" i="29"/>
  <c r="AN41" i="29"/>
  <c r="Z42" i="29"/>
  <c r="B43" i="29"/>
  <c r="S43" i="29" s="1"/>
  <c r="H45" i="29"/>
  <c r="Y45" i="29" s="1"/>
  <c r="F45" i="29"/>
  <c r="W45" i="29" s="1"/>
  <c r="C49" i="28"/>
  <c r="J46" i="28"/>
  <c r="K46" i="28" s="1"/>
  <c r="L46" i="28" s="1"/>
  <c r="T46" i="28"/>
  <c r="P46" i="28"/>
  <c r="Q46" i="28"/>
  <c r="P47" i="28"/>
  <c r="B49" i="28"/>
  <c r="T47" i="28"/>
  <c r="V46" i="28"/>
  <c r="Q47" i="28"/>
  <c r="W45" i="28"/>
  <c r="X45" i="28"/>
  <c r="G49" i="28"/>
  <c r="H48" i="28"/>
  <c r="V47" i="28"/>
  <c r="B41" i="26"/>
  <c r="S41" i="26" s="1"/>
  <c r="BL40" i="26"/>
  <c r="AQ40" i="26"/>
  <c r="AI42" i="25"/>
  <c r="V42" i="25"/>
  <c r="Y41" i="25"/>
  <c r="T42" i="25"/>
  <c r="AD42" i="25"/>
  <c r="Q42" i="25"/>
  <c r="AQ42" i="25"/>
  <c r="F43" i="25" s="1"/>
  <c r="AJ42" i="25"/>
  <c r="J42" i="25"/>
  <c r="K42" i="25" s="1"/>
  <c r="L42" i="25" s="1"/>
  <c r="AN42" i="25"/>
  <c r="C43" i="25" s="1"/>
  <c r="AS42" i="25"/>
  <c r="H43" i="25" s="1"/>
  <c r="AT42" i="25"/>
  <c r="AU42" i="25" s="1"/>
  <c r="AM42" i="25"/>
  <c r="B43" i="25" s="1"/>
  <c r="AG42" i="25"/>
  <c r="AC42" i="25"/>
  <c r="J41" i="22"/>
  <c r="K41" i="22" s="1"/>
  <c r="L41" i="22" s="1"/>
  <c r="J41" i="24"/>
  <c r="K41" i="24" s="1"/>
  <c r="L41" i="24" s="1"/>
  <c r="AO40" i="21"/>
  <c r="AN40" i="21"/>
  <c r="Z41" i="22"/>
  <c r="AH41" i="22" s="1"/>
  <c r="BD41" i="22"/>
  <c r="B42" i="22" s="1"/>
  <c r="Z41" i="21"/>
  <c r="AG41" i="21" s="1"/>
  <c r="B42" i="21"/>
  <c r="BJ40" i="23"/>
  <c r="H41" i="23" s="1"/>
  <c r="Y41" i="23" s="1"/>
  <c r="BH40" i="23"/>
  <c r="F41" i="23" s="1"/>
  <c r="W41" i="23" s="1"/>
  <c r="BE40" i="23"/>
  <c r="C41" i="23" s="1"/>
  <c r="T41" i="23" s="1"/>
  <c r="BD40" i="23"/>
  <c r="F43" i="21"/>
  <c r="W43" i="21" s="1"/>
  <c r="H43" i="21"/>
  <c r="Y43" i="21" s="1"/>
  <c r="AZ42" i="24"/>
  <c r="H43" i="24" s="1"/>
  <c r="Y43" i="24" s="1"/>
  <c r="AO40" i="22"/>
  <c r="J41" i="21"/>
  <c r="K41" i="21" s="1"/>
  <c r="L41" i="21" s="1"/>
  <c r="AT41" i="24"/>
  <c r="B42" i="24" s="1"/>
  <c r="Z41" i="24"/>
  <c r="BO41" i="24" s="1"/>
  <c r="AO40" i="23"/>
  <c r="AP40" i="23"/>
  <c r="C43" i="21"/>
  <c r="T43" i="21" s="1"/>
  <c r="AX42" i="24"/>
  <c r="F43" i="24" s="1"/>
  <c r="W43" i="24" s="1"/>
  <c r="AU42" i="24"/>
  <c r="C43" i="24" s="1"/>
  <c r="T43" i="24" s="1"/>
  <c r="AO40" i="24"/>
  <c r="AP40" i="24"/>
  <c r="B1" i="14"/>
  <c r="C1" i="14"/>
  <c r="D1" i="14"/>
  <c r="AQ40" i="22" l="1"/>
  <c r="AP40" i="21"/>
  <c r="AP41" i="29"/>
  <c r="AA42" i="29"/>
  <c r="AB42" i="29" s="1"/>
  <c r="AC42" i="29" s="1"/>
  <c r="AD42" i="29"/>
  <c r="AK42" i="29"/>
  <c r="AM42" i="29"/>
  <c r="AH42" i="29"/>
  <c r="H46" i="29"/>
  <c r="Y46" i="29" s="1"/>
  <c r="C46" i="29"/>
  <c r="T46" i="29" s="1"/>
  <c r="AG42" i="29"/>
  <c r="F46" i="29"/>
  <c r="W46" i="29" s="1"/>
  <c r="I43" i="29"/>
  <c r="H49" i="28"/>
  <c r="I49" i="28" s="1"/>
  <c r="U49" i="28" s="1"/>
  <c r="X47" i="28"/>
  <c r="W47" i="28"/>
  <c r="Y47" i="28" s="1"/>
  <c r="I48" i="28"/>
  <c r="V48" i="28" s="1"/>
  <c r="Y45" i="28"/>
  <c r="G50" i="28"/>
  <c r="B50" i="28"/>
  <c r="X46" i="28"/>
  <c r="W46" i="28"/>
  <c r="C50" i="28"/>
  <c r="I41" i="26"/>
  <c r="W42" i="25"/>
  <c r="X42" i="25"/>
  <c r="I43" i="25"/>
  <c r="AD43" i="25" s="1"/>
  <c r="AH41" i="24"/>
  <c r="AU43" i="24"/>
  <c r="C44" i="24" s="1"/>
  <c r="T44" i="24" s="1"/>
  <c r="AQ40" i="23"/>
  <c r="S42" i="22"/>
  <c r="I42" i="22"/>
  <c r="B41" i="23"/>
  <c r="BL40" i="23"/>
  <c r="BL41" i="22"/>
  <c r="AA41" i="22"/>
  <c r="AB41" i="22" s="1"/>
  <c r="AC41" i="22" s="1"/>
  <c r="BK41" i="22"/>
  <c r="BA41" i="22"/>
  <c r="AD41" i="22"/>
  <c r="AN41" i="22"/>
  <c r="AX41" i="22"/>
  <c r="AL41" i="22"/>
  <c r="AU41" i="22"/>
  <c r="AI41" i="22"/>
  <c r="AZ41" i="22"/>
  <c r="C44" i="21"/>
  <c r="T44" i="21" s="1"/>
  <c r="AQ40" i="24"/>
  <c r="S42" i="21"/>
  <c r="I42" i="21"/>
  <c r="AX43" i="24"/>
  <c r="F44" i="24" s="1"/>
  <c r="W44" i="24" s="1"/>
  <c r="AT41" i="22"/>
  <c r="AZ43" i="24"/>
  <c r="H44" i="24" s="1"/>
  <c r="Y44" i="24" s="1"/>
  <c r="S42" i="24"/>
  <c r="I42" i="24"/>
  <c r="H44" i="21"/>
  <c r="Y44" i="21" s="1"/>
  <c r="AA41" i="21"/>
  <c r="AB41" i="21" s="1"/>
  <c r="AC41" i="21" s="1"/>
  <c r="AD41" i="21"/>
  <c r="AM41" i="21"/>
  <c r="AH41" i="21"/>
  <c r="AK41" i="21"/>
  <c r="BV41" i="24"/>
  <c r="AD41" i="24"/>
  <c r="AA41" i="24"/>
  <c r="AB41" i="24" s="1"/>
  <c r="AC41" i="24" s="1"/>
  <c r="BA41" i="24"/>
  <c r="BB41" i="24"/>
  <c r="BU41" i="24"/>
  <c r="AI41" i="24"/>
  <c r="BS41" i="24"/>
  <c r="AL41" i="24"/>
  <c r="AN41" i="24"/>
  <c r="BP41" i="24"/>
  <c r="F44" i="21"/>
  <c r="W44" i="21" s="1"/>
  <c r="A29" i="8"/>
  <c r="A30" i="8"/>
  <c r="A28" i="8"/>
  <c r="B40" i="1"/>
  <c r="B41" i="1" s="1"/>
  <c r="C40" i="1"/>
  <c r="F40" i="1"/>
  <c r="F41" i="1" s="1"/>
  <c r="H40" i="1"/>
  <c r="I39" i="1"/>
  <c r="W39" i="1" s="1"/>
  <c r="A64" i="1"/>
  <c r="O64" i="1" s="1"/>
  <c r="A59" i="1"/>
  <c r="O59" i="1" s="1"/>
  <c r="A60" i="1"/>
  <c r="O60" i="1" s="1"/>
  <c r="A61" i="1"/>
  <c r="O61" i="1" s="1"/>
  <c r="A62" i="1"/>
  <c r="O62" i="1" s="1"/>
  <c r="A63" i="1"/>
  <c r="O63" i="1" s="1"/>
  <c r="A41" i="1"/>
  <c r="O41" i="1" s="1"/>
  <c r="A42" i="1"/>
  <c r="O42" i="1" s="1"/>
  <c r="A43" i="1"/>
  <c r="O43" i="1" s="1"/>
  <c r="A44" i="1"/>
  <c r="O44" i="1" s="1"/>
  <c r="A45" i="1"/>
  <c r="O45" i="1" s="1"/>
  <c r="A46" i="1"/>
  <c r="O46" i="1" s="1"/>
  <c r="A47" i="1"/>
  <c r="O47" i="1" s="1"/>
  <c r="A48" i="1"/>
  <c r="O48" i="1" s="1"/>
  <c r="A49" i="1"/>
  <c r="O49" i="1" s="1"/>
  <c r="A50" i="1"/>
  <c r="O50" i="1" s="1"/>
  <c r="A51" i="1"/>
  <c r="O51" i="1" s="1"/>
  <c r="A52" i="1"/>
  <c r="O52" i="1" s="1"/>
  <c r="A53" i="1"/>
  <c r="O53" i="1" s="1"/>
  <c r="A54" i="1"/>
  <c r="O54" i="1" s="1"/>
  <c r="A55" i="1"/>
  <c r="O55" i="1" s="1"/>
  <c r="A56" i="1"/>
  <c r="O56" i="1" s="1"/>
  <c r="A57" i="1"/>
  <c r="O57" i="1" s="1"/>
  <c r="A58" i="1"/>
  <c r="O58" i="1" s="1"/>
  <c r="A40" i="1"/>
  <c r="O40" i="1" s="1"/>
  <c r="H38" i="1"/>
  <c r="V38" i="1" s="1"/>
  <c r="G38" i="1"/>
  <c r="U38" i="1" s="1"/>
  <c r="F38" i="1"/>
  <c r="T38" i="1" s="1"/>
  <c r="E38" i="1"/>
  <c r="S38" i="1" s="1"/>
  <c r="D38" i="1"/>
  <c r="R38" i="1" s="1"/>
  <c r="C38" i="1"/>
  <c r="Q38" i="1" s="1"/>
  <c r="H37" i="1"/>
  <c r="V37" i="1" s="1"/>
  <c r="G37" i="1"/>
  <c r="U37" i="1" s="1"/>
  <c r="F37" i="1"/>
  <c r="T37" i="1" s="1"/>
  <c r="E37" i="1"/>
  <c r="S37" i="1" s="1"/>
  <c r="D37" i="1"/>
  <c r="R37" i="1" s="1"/>
  <c r="C37" i="1"/>
  <c r="Q37" i="1" s="1"/>
  <c r="B38" i="1"/>
  <c r="P38" i="1" s="1"/>
  <c r="B37" i="1"/>
  <c r="P37" i="1" s="1"/>
  <c r="A22" i="3"/>
  <c r="B25" i="7"/>
  <c r="D25" i="7"/>
  <c r="E25" i="7"/>
  <c r="G25" i="7"/>
  <c r="B19" i="7"/>
  <c r="D19" i="7"/>
  <c r="E19" i="7"/>
  <c r="G19" i="7"/>
  <c r="B39" i="7"/>
  <c r="AB39" i="7" s="1"/>
  <c r="B4" i="7"/>
  <c r="B5" i="7"/>
  <c r="B6" i="7"/>
  <c r="B7" i="7"/>
  <c r="B8" i="7"/>
  <c r="B9" i="7"/>
  <c r="B10" i="7"/>
  <c r="B11" i="7"/>
  <c r="B12" i="7"/>
  <c r="B13" i="7"/>
  <c r="B14" i="7"/>
  <c r="B15" i="7"/>
  <c r="B16" i="7"/>
  <c r="B17" i="7"/>
  <c r="B18" i="7"/>
  <c r="C39" i="7"/>
  <c r="AC39" i="7" s="1"/>
  <c r="C4" i="7"/>
  <c r="C5" i="7"/>
  <c r="C6" i="7"/>
  <c r="C7" i="7"/>
  <c r="C8" i="7"/>
  <c r="C9" i="7"/>
  <c r="C10" i="7"/>
  <c r="C11" i="7"/>
  <c r="C12" i="7"/>
  <c r="C13" i="7"/>
  <c r="D15" i="7"/>
  <c r="D16" i="7"/>
  <c r="D17" i="7"/>
  <c r="D18" i="7"/>
  <c r="E15" i="7"/>
  <c r="E16" i="7"/>
  <c r="E17" i="7"/>
  <c r="E18" i="7"/>
  <c r="F39" i="7"/>
  <c r="AF39" i="7" s="1"/>
  <c r="F4" i="7"/>
  <c r="F5" i="7"/>
  <c r="F6" i="7"/>
  <c r="F7" i="7"/>
  <c r="F8" i="7"/>
  <c r="F9" i="7"/>
  <c r="F10" i="7"/>
  <c r="F11" i="7"/>
  <c r="G13" i="7"/>
  <c r="G14" i="7"/>
  <c r="G15" i="7"/>
  <c r="G16" i="7"/>
  <c r="G17" i="7"/>
  <c r="G18" i="7"/>
  <c r="H39" i="7"/>
  <c r="AH39" i="7" s="1"/>
  <c r="H4" i="7"/>
  <c r="H5" i="7"/>
  <c r="H6" i="7"/>
  <c r="H7" i="7"/>
  <c r="H8" i="7"/>
  <c r="H9" i="7"/>
  <c r="H10" i="7"/>
  <c r="H11" i="7"/>
  <c r="H12" i="7"/>
  <c r="H13" i="7"/>
  <c r="H14" i="7"/>
  <c r="H15" i="7"/>
  <c r="H16" i="7"/>
  <c r="H17" i="7"/>
  <c r="H18" i="7"/>
  <c r="H19" i="7"/>
  <c r="B20" i="7"/>
  <c r="B21" i="7"/>
  <c r="B22" i="7"/>
  <c r="B23" i="7"/>
  <c r="B24" i="7"/>
  <c r="R39" i="7"/>
  <c r="D20" i="7"/>
  <c r="D21" i="7"/>
  <c r="D22" i="7"/>
  <c r="D23" i="7"/>
  <c r="D24" i="7"/>
  <c r="S39" i="7"/>
  <c r="E20" i="7"/>
  <c r="E21" i="7"/>
  <c r="E22" i="7"/>
  <c r="E23" i="7"/>
  <c r="E24" i="7"/>
  <c r="U39" i="7"/>
  <c r="G20" i="7"/>
  <c r="G21" i="7"/>
  <c r="G22" i="7"/>
  <c r="G23" i="7"/>
  <c r="G24" i="7"/>
  <c r="H20" i="7"/>
  <c r="H21" i="7"/>
  <c r="H22" i="7"/>
  <c r="H23" i="7"/>
  <c r="H24" i="7"/>
  <c r="H25" i="7"/>
  <c r="H26" i="7"/>
  <c r="H27" i="7"/>
  <c r="H28" i="7"/>
  <c r="H29" i="7"/>
  <c r="G26" i="7"/>
  <c r="G27" i="7"/>
  <c r="G28" i="7"/>
  <c r="G29" i="7"/>
  <c r="E26" i="7"/>
  <c r="E27" i="7"/>
  <c r="E28" i="7"/>
  <c r="E29" i="7"/>
  <c r="D26" i="7"/>
  <c r="D27" i="7"/>
  <c r="D28" i="7"/>
  <c r="D29" i="7"/>
  <c r="B26" i="7"/>
  <c r="B27" i="7"/>
  <c r="B28" i="7"/>
  <c r="B29" i="7"/>
  <c r="A41" i="7"/>
  <c r="O41" i="7" s="1"/>
  <c r="AA41" i="7" s="1"/>
  <c r="A42" i="7"/>
  <c r="O42" i="7" s="1"/>
  <c r="AA42" i="7" s="1"/>
  <c r="A43" i="7"/>
  <c r="O43" i="7" s="1"/>
  <c r="AA43" i="7" s="1"/>
  <c r="A44" i="7"/>
  <c r="O44" i="7" s="1"/>
  <c r="AA44" i="7" s="1"/>
  <c r="A45" i="7"/>
  <c r="O45" i="7" s="1"/>
  <c r="AA45" i="7" s="1"/>
  <c r="A46" i="7"/>
  <c r="O46" i="7" s="1"/>
  <c r="AA46" i="7" s="1"/>
  <c r="A47" i="7"/>
  <c r="O47" i="7" s="1"/>
  <c r="AA47" i="7" s="1"/>
  <c r="A48" i="7"/>
  <c r="O48" i="7" s="1"/>
  <c r="AA48" i="7" s="1"/>
  <c r="A49" i="7"/>
  <c r="O49" i="7" s="1"/>
  <c r="AA49" i="7" s="1"/>
  <c r="A50" i="7"/>
  <c r="O50" i="7" s="1"/>
  <c r="AA50" i="7" s="1"/>
  <c r="A51" i="7"/>
  <c r="O51" i="7" s="1"/>
  <c r="AA51" i="7" s="1"/>
  <c r="A52" i="7"/>
  <c r="O52" i="7" s="1"/>
  <c r="AA52" i="7" s="1"/>
  <c r="A53" i="7"/>
  <c r="O53" i="7" s="1"/>
  <c r="AA53" i="7" s="1"/>
  <c r="A54" i="7"/>
  <c r="O54" i="7" s="1"/>
  <c r="AA54" i="7" s="1"/>
  <c r="A55" i="7"/>
  <c r="O55" i="7" s="1"/>
  <c r="AA55" i="7" s="1"/>
  <c r="A56" i="7"/>
  <c r="O56" i="7" s="1"/>
  <c r="AA56" i="7" s="1"/>
  <c r="A57" i="7"/>
  <c r="O57" i="7" s="1"/>
  <c r="AA57" i="7" s="1"/>
  <c r="A58" i="7"/>
  <c r="O58" i="7" s="1"/>
  <c r="AA58" i="7" s="1"/>
  <c r="A59" i="7"/>
  <c r="O59" i="7" s="1"/>
  <c r="AA59" i="7" s="1"/>
  <c r="A60" i="7"/>
  <c r="O60" i="7" s="1"/>
  <c r="AA60" i="7" s="1"/>
  <c r="A61" i="7"/>
  <c r="O61" i="7" s="1"/>
  <c r="AA61" i="7" s="1"/>
  <c r="A62" i="7"/>
  <c r="O62" i="7" s="1"/>
  <c r="AA62" i="7" s="1"/>
  <c r="A63" i="7"/>
  <c r="O63" i="7" s="1"/>
  <c r="AA63" i="7" s="1"/>
  <c r="A64" i="7"/>
  <c r="O64" i="7" s="1"/>
  <c r="AA64" i="7" s="1"/>
  <c r="A4" i="7"/>
  <c r="A40" i="7" s="1"/>
  <c r="O40" i="7" s="1"/>
  <c r="AA40" i="7" s="1"/>
  <c r="AA39" i="7"/>
  <c r="AA38" i="7"/>
  <c r="C2" i="7"/>
  <c r="C37" i="7" s="1"/>
  <c r="Q37" i="7" s="1"/>
  <c r="AC37" i="7" s="1"/>
  <c r="D2" i="7"/>
  <c r="D37" i="7" s="1"/>
  <c r="R37" i="7" s="1"/>
  <c r="AD37" i="7" s="1"/>
  <c r="E2" i="7"/>
  <c r="E37" i="7" s="1"/>
  <c r="S37" i="7" s="1"/>
  <c r="AE37" i="7" s="1"/>
  <c r="F2" i="7"/>
  <c r="F37" i="7" s="1"/>
  <c r="T37" i="7" s="1"/>
  <c r="AF37" i="7" s="1"/>
  <c r="G2" i="7"/>
  <c r="G37" i="7" s="1"/>
  <c r="U37" i="7" s="1"/>
  <c r="AG37" i="7" s="1"/>
  <c r="H2" i="7"/>
  <c r="H37" i="7" s="1"/>
  <c r="V37" i="7" s="1"/>
  <c r="AH37" i="7" s="1"/>
  <c r="C3" i="7"/>
  <c r="C38" i="7" s="1"/>
  <c r="Q38" i="7" s="1"/>
  <c r="AC38" i="7" s="1"/>
  <c r="D3" i="7"/>
  <c r="D38" i="7" s="1"/>
  <c r="R38" i="7" s="1"/>
  <c r="AD38" i="7" s="1"/>
  <c r="E3" i="7"/>
  <c r="E38" i="7" s="1"/>
  <c r="S38" i="7" s="1"/>
  <c r="AE38" i="7" s="1"/>
  <c r="F3" i="7"/>
  <c r="F38" i="7" s="1"/>
  <c r="T38" i="7" s="1"/>
  <c r="AF38" i="7" s="1"/>
  <c r="G3" i="7"/>
  <c r="G38" i="7" s="1"/>
  <c r="U38" i="7" s="1"/>
  <c r="AG38" i="7" s="1"/>
  <c r="H3" i="7"/>
  <c r="H38" i="7" s="1"/>
  <c r="V38" i="7" s="1"/>
  <c r="AH38" i="7" s="1"/>
  <c r="AI38" i="7"/>
  <c r="B3" i="7"/>
  <c r="B38" i="7" s="1"/>
  <c r="P38" i="7" s="1"/>
  <c r="AB38" i="7" s="1"/>
  <c r="B2" i="7"/>
  <c r="B37" i="7" s="1"/>
  <c r="P37" i="7" s="1"/>
  <c r="AB37" i="7" s="1"/>
  <c r="F12" i="7"/>
  <c r="C14" i="7"/>
  <c r="A3" i="7"/>
  <c r="B39" i="4"/>
  <c r="C39" i="4"/>
  <c r="F39" i="4"/>
  <c r="H39" i="4"/>
  <c r="D15" i="4"/>
  <c r="E15" i="4"/>
  <c r="U39" i="4"/>
  <c r="AH39" i="4" s="1"/>
  <c r="AR39" i="4" s="1"/>
  <c r="D16" i="4"/>
  <c r="E16" i="4"/>
  <c r="D17" i="4"/>
  <c r="E17" i="4"/>
  <c r="D18" i="4"/>
  <c r="E18" i="4"/>
  <c r="R39" i="4"/>
  <c r="AE39" i="4" s="1"/>
  <c r="AO39" i="4" s="1"/>
  <c r="D19" i="4"/>
  <c r="S39" i="4"/>
  <c r="AF39" i="4" s="1"/>
  <c r="AP39" i="4" s="1"/>
  <c r="E19" i="4"/>
  <c r="D20" i="4"/>
  <c r="E20" i="4"/>
  <c r="D21" i="4"/>
  <c r="E21" i="4"/>
  <c r="D22" i="4"/>
  <c r="E22" i="4"/>
  <c r="D23" i="4"/>
  <c r="E23" i="4"/>
  <c r="D24" i="4"/>
  <c r="E24" i="4"/>
  <c r="D25" i="4"/>
  <c r="E25" i="4"/>
  <c r="D26" i="4"/>
  <c r="E26" i="4"/>
  <c r="D27" i="4"/>
  <c r="E27" i="4"/>
  <c r="D28" i="4"/>
  <c r="E28" i="4"/>
  <c r="D29" i="4"/>
  <c r="E29" i="4"/>
  <c r="AB39" i="4"/>
  <c r="AL39" i="4" s="1"/>
  <c r="AB38" i="4"/>
  <c r="AJ38" i="4"/>
  <c r="AT38" i="4" s="1"/>
  <c r="A5" i="4"/>
  <c r="A41" i="4" s="1"/>
  <c r="A6" i="4"/>
  <c r="A42" i="4" s="1"/>
  <c r="A7" i="4"/>
  <c r="A43" i="4" s="1"/>
  <c r="A6" i="14" s="1"/>
  <c r="A8" i="4"/>
  <c r="A44" i="4" s="1"/>
  <c r="A7" i="14" s="1"/>
  <c r="A9" i="4"/>
  <c r="A45" i="4" s="1"/>
  <c r="A10" i="4"/>
  <c r="A46" i="4" s="1"/>
  <c r="A11" i="4"/>
  <c r="A47" i="4" s="1"/>
  <c r="A10" i="14" s="1"/>
  <c r="A12" i="4"/>
  <c r="A48" i="4" s="1"/>
  <c r="A11" i="14" s="1"/>
  <c r="A13" i="4"/>
  <c r="A49" i="4" s="1"/>
  <c r="A12" i="14" s="1"/>
  <c r="A14" i="4"/>
  <c r="A50" i="4" s="1"/>
  <c r="A13" i="14" s="1"/>
  <c r="A15" i="4"/>
  <c r="A51" i="4" s="1"/>
  <c r="A16" i="4"/>
  <c r="A52" i="4" s="1"/>
  <c r="A17" i="4"/>
  <c r="A53" i="4" s="1"/>
  <c r="A16" i="14" s="1"/>
  <c r="A18" i="4"/>
  <c r="A54" i="4" s="1"/>
  <c r="A17" i="14" s="1"/>
  <c r="A19" i="4"/>
  <c r="A55" i="4" s="1"/>
  <c r="A20" i="4"/>
  <c r="A56" i="4" s="1"/>
  <c r="A21" i="4"/>
  <c r="A57" i="4" s="1"/>
  <c r="A20" i="14" s="1"/>
  <c r="A22" i="4"/>
  <c r="A58" i="4" s="1"/>
  <c r="A21" i="14" s="1"/>
  <c r="A23" i="4"/>
  <c r="A59" i="4" s="1"/>
  <c r="A24" i="4"/>
  <c r="A60" i="4" s="1"/>
  <c r="A25" i="4"/>
  <c r="A61" i="4" s="1"/>
  <c r="A24" i="14" s="1"/>
  <c r="A26" i="4"/>
  <c r="A62" i="4" s="1"/>
  <c r="A25" i="14" s="1"/>
  <c r="A27" i="4"/>
  <c r="A63" i="4" s="1"/>
  <c r="A28" i="4"/>
  <c r="A64" i="4" s="1"/>
  <c r="A29" i="4"/>
  <c r="A4" i="4"/>
  <c r="A40" i="4" s="1"/>
  <c r="O40" i="4" s="1"/>
  <c r="AB40" i="4" s="1"/>
  <c r="H3" i="4"/>
  <c r="H38" i="4" s="1"/>
  <c r="V38" i="4" s="1"/>
  <c r="AI38" i="4" s="1"/>
  <c r="AS38" i="4" s="1"/>
  <c r="G3" i="4"/>
  <c r="G38" i="4" s="1"/>
  <c r="U38" i="4" s="1"/>
  <c r="AH38" i="4" s="1"/>
  <c r="AR38" i="4" s="1"/>
  <c r="F3" i="4"/>
  <c r="F38" i="4" s="1"/>
  <c r="T38" i="4" s="1"/>
  <c r="AG38" i="4" s="1"/>
  <c r="AQ38" i="4" s="1"/>
  <c r="E3" i="4"/>
  <c r="E38" i="4" s="1"/>
  <c r="S38" i="4" s="1"/>
  <c r="AF38" i="4" s="1"/>
  <c r="AP38" i="4" s="1"/>
  <c r="D3" i="4"/>
  <c r="D38" i="4" s="1"/>
  <c r="R38" i="4" s="1"/>
  <c r="AE38" i="4" s="1"/>
  <c r="AO38" i="4" s="1"/>
  <c r="C3" i="4"/>
  <c r="C38" i="4" s="1"/>
  <c r="Q38" i="4" s="1"/>
  <c r="AD38" i="4" s="1"/>
  <c r="AN38" i="4" s="1"/>
  <c r="H2" i="4"/>
  <c r="H37" i="4" s="1"/>
  <c r="V37" i="4" s="1"/>
  <c r="AI37" i="4" s="1"/>
  <c r="AS37" i="4" s="1"/>
  <c r="G2" i="4"/>
  <c r="G37" i="4" s="1"/>
  <c r="U37" i="4" s="1"/>
  <c r="AH37" i="4" s="1"/>
  <c r="AR37" i="4" s="1"/>
  <c r="F2" i="4"/>
  <c r="F37" i="4" s="1"/>
  <c r="T37" i="4" s="1"/>
  <c r="AG37" i="4" s="1"/>
  <c r="AQ37" i="4" s="1"/>
  <c r="E2" i="4"/>
  <c r="E37" i="4" s="1"/>
  <c r="S37" i="4" s="1"/>
  <c r="AF37" i="4" s="1"/>
  <c r="AP37" i="4" s="1"/>
  <c r="D2" i="4"/>
  <c r="D37" i="4" s="1"/>
  <c r="R37" i="4" s="1"/>
  <c r="AE37" i="4" s="1"/>
  <c r="AO37" i="4" s="1"/>
  <c r="C2" i="4"/>
  <c r="C37" i="4" s="1"/>
  <c r="Q37" i="4" s="1"/>
  <c r="AD37" i="4" s="1"/>
  <c r="AN37" i="4" s="1"/>
  <c r="B3" i="4"/>
  <c r="B38" i="4" s="1"/>
  <c r="P38" i="4" s="1"/>
  <c r="AC38" i="4" s="1"/>
  <c r="AM38" i="4" s="1"/>
  <c r="B2" i="4"/>
  <c r="B37" i="4" s="1"/>
  <c r="P37" i="4" s="1"/>
  <c r="AC37" i="4" s="1"/>
  <c r="AM37" i="4" s="1"/>
  <c r="A3" i="4"/>
  <c r="AO41" i="22" l="1"/>
  <c r="Y42" i="25"/>
  <c r="C47" i="29"/>
  <c r="T47" i="29" s="1"/>
  <c r="F47" i="29"/>
  <c r="W47" i="29" s="1"/>
  <c r="B44" i="29"/>
  <c r="S44" i="29" s="1"/>
  <c r="Z43" i="29"/>
  <c r="AO42" i="29"/>
  <c r="AN42" i="29"/>
  <c r="H47" i="29"/>
  <c r="Y47" i="29" s="1"/>
  <c r="J43" i="29"/>
  <c r="K43" i="29" s="1"/>
  <c r="L43" i="29" s="1"/>
  <c r="J49" i="28"/>
  <c r="K49" i="28" s="1"/>
  <c r="L49" i="28" s="1"/>
  <c r="E51" i="28"/>
  <c r="D51" i="28"/>
  <c r="G51" i="28"/>
  <c r="Q49" i="28"/>
  <c r="P49" i="28"/>
  <c r="Y46" i="28"/>
  <c r="B51" i="28"/>
  <c r="J48" i="28"/>
  <c r="K48" i="28" s="1"/>
  <c r="L48" i="28" s="1"/>
  <c r="Q48" i="28"/>
  <c r="P48" i="28"/>
  <c r="T48" i="28"/>
  <c r="H50" i="28"/>
  <c r="V49" i="28"/>
  <c r="J41" i="26"/>
  <c r="K41" i="26" s="1"/>
  <c r="L41" i="26" s="1"/>
  <c r="Z41" i="26"/>
  <c r="AT41" i="26" s="1"/>
  <c r="AI43" i="25"/>
  <c r="V43" i="25"/>
  <c r="AC43" i="25"/>
  <c r="T43" i="25"/>
  <c r="Q43" i="25"/>
  <c r="AG43" i="25"/>
  <c r="P43" i="25"/>
  <c r="AT43" i="25"/>
  <c r="AU43" i="25" s="1"/>
  <c r="AM43" i="25"/>
  <c r="B44" i="25" s="1"/>
  <c r="AS43" i="25"/>
  <c r="H44" i="25" s="1"/>
  <c r="AN43" i="25"/>
  <c r="C44" i="25" s="1"/>
  <c r="J43" i="25"/>
  <c r="K43" i="25" s="1"/>
  <c r="L43" i="25" s="1"/>
  <c r="AQ43" i="25"/>
  <c r="F44" i="25" s="1"/>
  <c r="AJ43" i="25"/>
  <c r="AP41" i="24"/>
  <c r="AO41" i="21"/>
  <c r="Z42" i="21"/>
  <c r="AG42" i="21" s="1"/>
  <c r="B43" i="21"/>
  <c r="AZ44" i="24"/>
  <c r="H45" i="24" s="1"/>
  <c r="Y45" i="24" s="1"/>
  <c r="AP41" i="22"/>
  <c r="J42" i="22"/>
  <c r="K42" i="22" s="1"/>
  <c r="L42" i="22" s="1"/>
  <c r="Z42" i="22"/>
  <c r="AN41" i="21"/>
  <c r="AP41" i="21" s="1"/>
  <c r="AT42" i="24"/>
  <c r="B43" i="24" s="1"/>
  <c r="Z42" i="24"/>
  <c r="F45" i="21"/>
  <c r="W45" i="21" s="1"/>
  <c r="H45" i="21"/>
  <c r="Y45" i="21" s="1"/>
  <c r="AO41" i="24"/>
  <c r="J42" i="21"/>
  <c r="K42" i="21" s="1"/>
  <c r="L42" i="21" s="1"/>
  <c r="I41" i="23"/>
  <c r="S41" i="23"/>
  <c r="C45" i="21"/>
  <c r="T45" i="21" s="1"/>
  <c r="J42" i="24"/>
  <c r="K42" i="24" s="1"/>
  <c r="L42" i="24" s="1"/>
  <c r="AX44" i="24"/>
  <c r="F45" i="24" s="1"/>
  <c r="W45" i="24" s="1"/>
  <c r="AU44" i="24"/>
  <c r="C45" i="24" s="1"/>
  <c r="T45" i="24" s="1"/>
  <c r="P39" i="1"/>
  <c r="I39" i="4"/>
  <c r="W39" i="4" s="1"/>
  <c r="AJ39" i="4" s="1"/>
  <c r="AT39" i="4" s="1"/>
  <c r="C40" i="4"/>
  <c r="AN40" i="4" s="1"/>
  <c r="C41" i="4" s="1"/>
  <c r="AN41" i="4" s="1"/>
  <c r="C42" i="4" s="1"/>
  <c r="AL60" i="4"/>
  <c r="A23" i="14"/>
  <c r="O60" i="4"/>
  <c r="AB60" i="4" s="1"/>
  <c r="O41" i="4"/>
  <c r="AB41" i="4" s="1"/>
  <c r="A4" i="14"/>
  <c r="AL63" i="4"/>
  <c r="A26" i="14"/>
  <c r="O63" i="4"/>
  <c r="AL46" i="4"/>
  <c r="A9" i="14"/>
  <c r="O52" i="4"/>
  <c r="A15" i="14"/>
  <c r="AL55" i="4"/>
  <c r="A18" i="14"/>
  <c r="O55" i="4"/>
  <c r="AB55" i="4" s="1"/>
  <c r="B2" i="14"/>
  <c r="C2" i="14"/>
  <c r="AL40" i="4"/>
  <c r="A3" i="14"/>
  <c r="AL64" i="4"/>
  <c r="A27" i="14"/>
  <c r="O59" i="4"/>
  <c r="A22" i="14"/>
  <c r="O51" i="4"/>
  <c r="A14" i="14"/>
  <c r="AL45" i="4"/>
  <c r="A8" i="14"/>
  <c r="AL42" i="4"/>
  <c r="A5" i="14"/>
  <c r="T39" i="1"/>
  <c r="AL56" i="4"/>
  <c r="A19" i="14"/>
  <c r="H40" i="4"/>
  <c r="AS40" i="4" s="1"/>
  <c r="H41" i="4" s="1"/>
  <c r="AS41" i="4" s="1"/>
  <c r="H42" i="4" s="1"/>
  <c r="Q39" i="1"/>
  <c r="V39" i="1"/>
  <c r="C40" i="7"/>
  <c r="AC40" i="7" s="1"/>
  <c r="C41" i="7" s="1"/>
  <c r="AC41" i="7" s="1"/>
  <c r="C42" i="7" s="1"/>
  <c r="F40" i="7"/>
  <c r="AF40" i="7" s="1"/>
  <c r="F41" i="7" s="1"/>
  <c r="H40" i="7"/>
  <c r="AH40" i="7" s="1"/>
  <c r="H41" i="7" s="1"/>
  <c r="AI39" i="7"/>
  <c r="B40" i="7"/>
  <c r="AB40" i="7" s="1"/>
  <c r="O48" i="4"/>
  <c r="AB48" i="4" s="1"/>
  <c r="AL48" i="4"/>
  <c r="B40" i="4"/>
  <c r="AM40" i="4" s="1"/>
  <c r="O46" i="4"/>
  <c r="AB46" i="4" s="1"/>
  <c r="F40" i="4"/>
  <c r="AQ40" i="4" s="1"/>
  <c r="F41" i="4" s="1"/>
  <c r="O64" i="4"/>
  <c r="AL41" i="4"/>
  <c r="V39" i="4"/>
  <c r="AI39" i="4" s="1"/>
  <c r="AS39" i="4" s="1"/>
  <c r="AL59" i="4"/>
  <c r="O42" i="4"/>
  <c r="AB42" i="4" s="1"/>
  <c r="O56" i="4"/>
  <c r="AB56" i="4" s="1"/>
  <c r="AL51" i="4"/>
  <c r="O57" i="4"/>
  <c r="AL57" i="4"/>
  <c r="AL49" i="4"/>
  <c r="O49" i="4"/>
  <c r="AB49" i="4" s="1"/>
  <c r="AL43" i="4"/>
  <c r="O43" i="4"/>
  <c r="AB43" i="4" s="1"/>
  <c r="O62" i="4"/>
  <c r="AB62" i="4" s="1"/>
  <c r="AL62" i="4"/>
  <c r="O54" i="4"/>
  <c r="AB54" i="4" s="1"/>
  <c r="AL54" i="4"/>
  <c r="AL61" i="4"/>
  <c r="O61" i="4"/>
  <c r="AL53" i="4"/>
  <c r="O53" i="4"/>
  <c r="O47" i="4"/>
  <c r="AB47" i="4" s="1"/>
  <c r="AL47" i="4"/>
  <c r="AL58" i="4"/>
  <c r="O58" i="4"/>
  <c r="AB58" i="4" s="1"/>
  <c r="O50" i="4"/>
  <c r="AB50" i="4" s="1"/>
  <c r="AL50" i="4"/>
  <c r="AL44" i="4"/>
  <c r="O44" i="4"/>
  <c r="AB44" i="4" s="1"/>
  <c r="AL52" i="4"/>
  <c r="O45" i="4"/>
  <c r="AB45" i="4" s="1"/>
  <c r="F42" i="1"/>
  <c r="C41" i="1"/>
  <c r="I40" i="1"/>
  <c r="I39" i="7"/>
  <c r="D2" i="14" s="1"/>
  <c r="H41" i="1"/>
  <c r="B42" i="1"/>
  <c r="AQ41" i="22" l="1"/>
  <c r="AQ41" i="24"/>
  <c r="AP42" i="29"/>
  <c r="H48" i="29"/>
  <c r="Y48" i="29" s="1"/>
  <c r="AA43" i="29"/>
  <c r="AB43" i="29" s="1"/>
  <c r="AC43" i="29" s="1"/>
  <c r="AD43" i="29"/>
  <c r="AK43" i="29"/>
  <c r="AM43" i="29"/>
  <c r="AH43" i="29"/>
  <c r="F48" i="29"/>
  <c r="W48" i="29" s="1"/>
  <c r="AG43" i="29"/>
  <c r="I44" i="29"/>
  <c r="C48" i="29"/>
  <c r="T48" i="29" s="1"/>
  <c r="H51" i="28"/>
  <c r="I51" i="28" s="1"/>
  <c r="U51" i="28" s="1"/>
  <c r="G52" i="28"/>
  <c r="B52" i="28"/>
  <c r="W49" i="28"/>
  <c r="X49" i="28"/>
  <c r="X48" i="28"/>
  <c r="W48" i="28"/>
  <c r="D52" i="28"/>
  <c r="I50" i="28"/>
  <c r="E52" i="28"/>
  <c r="AH41" i="26"/>
  <c r="BK41" i="26"/>
  <c r="AD41" i="26"/>
  <c r="BA41" i="26"/>
  <c r="AA41" i="26"/>
  <c r="AB41" i="26" s="1"/>
  <c r="AC41" i="26" s="1"/>
  <c r="AN41" i="26"/>
  <c r="AX41" i="26"/>
  <c r="AU41" i="26"/>
  <c r="AL41" i="26"/>
  <c r="AI41" i="26"/>
  <c r="AZ41" i="26"/>
  <c r="W43" i="25"/>
  <c r="X43" i="25"/>
  <c r="I44" i="25"/>
  <c r="AI44" i="25" s="1"/>
  <c r="Z41" i="23"/>
  <c r="AT41" i="23" s="1"/>
  <c r="F46" i="21"/>
  <c r="W46" i="21" s="1"/>
  <c r="G47" i="21" s="1"/>
  <c r="X47" i="21" s="1"/>
  <c r="G48" i="21" s="1"/>
  <c r="AU45" i="24"/>
  <c r="C46" i="24" s="1"/>
  <c r="T46" i="24" s="1"/>
  <c r="BB42" i="24"/>
  <c r="AA42" i="24"/>
  <c r="AB42" i="24" s="1"/>
  <c r="AC42" i="24" s="1"/>
  <c r="BV42" i="24"/>
  <c r="AD42" i="24"/>
  <c r="BA42" i="24"/>
  <c r="BU42" i="24"/>
  <c r="AL42" i="24"/>
  <c r="AN42" i="24"/>
  <c r="BS42" i="24"/>
  <c r="AI42" i="24"/>
  <c r="BP42" i="24"/>
  <c r="AH42" i="24"/>
  <c r="S43" i="21"/>
  <c r="I43" i="21"/>
  <c r="AD42" i="22"/>
  <c r="AA42" i="22"/>
  <c r="AB42" i="22" s="1"/>
  <c r="AC42" i="22" s="1"/>
  <c r="BK42" i="22"/>
  <c r="BA42" i="22"/>
  <c r="AL42" i="22"/>
  <c r="AI42" i="22"/>
  <c r="AX42" i="22"/>
  <c r="AZ42" i="22"/>
  <c r="AU42" i="22"/>
  <c r="AN42" i="22"/>
  <c r="AT42" i="22"/>
  <c r="AH42" i="22"/>
  <c r="I43" i="24"/>
  <c r="S43" i="24"/>
  <c r="AD42" i="21"/>
  <c r="AA42" i="21"/>
  <c r="AB42" i="21" s="1"/>
  <c r="AC42" i="21" s="1"/>
  <c r="AM42" i="21"/>
  <c r="AK42" i="21"/>
  <c r="AH42" i="21"/>
  <c r="AX45" i="24"/>
  <c r="F46" i="24" s="1"/>
  <c r="W46" i="24" s="1"/>
  <c r="H46" i="21"/>
  <c r="Y46" i="21" s="1"/>
  <c r="BO42" i="24"/>
  <c r="J41" i="23"/>
  <c r="K41" i="23" s="1"/>
  <c r="L41" i="23" s="1"/>
  <c r="AZ45" i="24"/>
  <c r="H46" i="24" s="1"/>
  <c r="Y46" i="24" s="1"/>
  <c r="C46" i="21"/>
  <c r="T46" i="21" s="1"/>
  <c r="C3" i="14"/>
  <c r="AM68" i="4"/>
  <c r="AB52" i="4"/>
  <c r="AB61" i="4"/>
  <c r="AB59" i="4"/>
  <c r="AB53" i="4"/>
  <c r="AB51" i="4"/>
  <c r="AB64" i="4"/>
  <c r="AB63" i="4"/>
  <c r="AB57" i="4"/>
  <c r="P39" i="4"/>
  <c r="AC39" i="4" s="1"/>
  <c r="AM39" i="4" s="1"/>
  <c r="Q39" i="4"/>
  <c r="AD39" i="4" s="1"/>
  <c r="AN39" i="4" s="1"/>
  <c r="T39" i="4"/>
  <c r="AG39" i="4" s="1"/>
  <c r="AQ39" i="4" s="1"/>
  <c r="I41" i="1"/>
  <c r="C4" i="14" s="1"/>
  <c r="I40" i="4"/>
  <c r="I40" i="7"/>
  <c r="Q39" i="7"/>
  <c r="P39" i="7"/>
  <c r="V39" i="7"/>
  <c r="T39" i="7"/>
  <c r="W39" i="7"/>
  <c r="F43" i="1"/>
  <c r="AC42" i="7"/>
  <c r="C43" i="7" s="1"/>
  <c r="AF41" i="7"/>
  <c r="F42" i="7" s="1"/>
  <c r="B41" i="4"/>
  <c r="AT40" i="4"/>
  <c r="B43" i="1"/>
  <c r="P40" i="1"/>
  <c r="J40" i="1"/>
  <c r="K40" i="1" s="1"/>
  <c r="L40" i="1" s="1"/>
  <c r="T40" i="1"/>
  <c r="Q40" i="1"/>
  <c r="B41" i="7"/>
  <c r="AI40" i="7"/>
  <c r="AQ41" i="4"/>
  <c r="F42" i="4" s="1"/>
  <c r="H42" i="1"/>
  <c r="C42" i="1"/>
  <c r="AJ39" i="7"/>
  <c r="V40" i="1"/>
  <c r="AH41" i="7"/>
  <c r="H42" i="7" s="1"/>
  <c r="BH42" i="22" l="1"/>
  <c r="F43" i="22" s="1"/>
  <c r="W43" i="22" s="1"/>
  <c r="BH43" i="22" s="1"/>
  <c r="BE42" i="22"/>
  <c r="C43" i="22" s="1"/>
  <c r="T43" i="22" s="1"/>
  <c r="BE43" i="22" s="1"/>
  <c r="BD42" i="22"/>
  <c r="BJ42" i="22"/>
  <c r="H43" i="22" s="1"/>
  <c r="Y43" i="22" s="1"/>
  <c r="BJ43" i="22" s="1"/>
  <c r="AO42" i="21"/>
  <c r="AH41" i="23"/>
  <c r="Y43" i="25"/>
  <c r="Z44" i="29"/>
  <c r="B45" i="29"/>
  <c r="S45" i="29" s="1"/>
  <c r="G49" i="29"/>
  <c r="X49" i="29" s="1"/>
  <c r="J44" i="29"/>
  <c r="K44" i="29" s="1"/>
  <c r="L44" i="29" s="1"/>
  <c r="AN43" i="29"/>
  <c r="AO43" i="29"/>
  <c r="C49" i="29"/>
  <c r="T49" i="29" s="1"/>
  <c r="H49" i="29"/>
  <c r="Y49" i="29" s="1"/>
  <c r="Y48" i="28"/>
  <c r="R51" i="28"/>
  <c r="S51" i="28"/>
  <c r="Y49" i="28"/>
  <c r="D53" i="28"/>
  <c r="E53" i="28"/>
  <c r="J51" i="28"/>
  <c r="K51" i="28" s="1"/>
  <c r="L51" i="28" s="1"/>
  <c r="G53" i="28"/>
  <c r="J50" i="28"/>
  <c r="K50" i="28" s="1"/>
  <c r="L50" i="28" s="1"/>
  <c r="U50" i="28"/>
  <c r="P50" i="28"/>
  <c r="Q50" i="28"/>
  <c r="P51" i="28"/>
  <c r="V51" i="28"/>
  <c r="H52" i="28"/>
  <c r="I52" i="28" s="1"/>
  <c r="B53" i="28"/>
  <c r="V50" i="28"/>
  <c r="AP41" i="26"/>
  <c r="AO41" i="26"/>
  <c r="BD41" i="26"/>
  <c r="BJ41" i="26"/>
  <c r="H42" i="26" s="1"/>
  <c r="Y42" i="26" s="1"/>
  <c r="BH41" i="26"/>
  <c r="F42" i="26" s="1"/>
  <c r="BE41" i="26"/>
  <c r="C42" i="26" s="1"/>
  <c r="P44" i="25"/>
  <c r="V44" i="25"/>
  <c r="AD44" i="25"/>
  <c r="T44" i="25"/>
  <c r="AC44" i="25"/>
  <c r="AQ44" i="25"/>
  <c r="F45" i="25" s="1"/>
  <c r="AJ44" i="25"/>
  <c r="J44" i="25"/>
  <c r="K44" i="25" s="1"/>
  <c r="L44" i="25" s="1"/>
  <c r="AN44" i="25"/>
  <c r="C45" i="25" s="1"/>
  <c r="AT44" i="25"/>
  <c r="AU44" i="25" s="1"/>
  <c r="AS44" i="25"/>
  <c r="H45" i="25" s="1"/>
  <c r="AM44" i="25"/>
  <c r="B45" i="25" s="1"/>
  <c r="AG44" i="25"/>
  <c r="Q44" i="25"/>
  <c r="J43" i="24"/>
  <c r="K43" i="24" s="1"/>
  <c r="L43" i="24" s="1"/>
  <c r="AP42" i="24"/>
  <c r="AO42" i="24"/>
  <c r="AX46" i="24"/>
  <c r="G47" i="24" s="1"/>
  <c r="X47" i="24" s="1"/>
  <c r="AY47" i="24" s="1"/>
  <c r="G48" i="24" s="1"/>
  <c r="X48" i="24" s="1"/>
  <c r="AY48" i="24" s="1"/>
  <c r="G49" i="24" s="1"/>
  <c r="X49" i="24" s="1"/>
  <c r="AY49" i="24" s="1"/>
  <c r="X48" i="21"/>
  <c r="G49" i="21" s="1"/>
  <c r="X49" i="21" s="1"/>
  <c r="C47" i="21"/>
  <c r="T47" i="21" s="1"/>
  <c r="H47" i="21"/>
  <c r="Y47" i="21" s="1"/>
  <c r="J43" i="21"/>
  <c r="K43" i="21" s="1"/>
  <c r="L43" i="21" s="1"/>
  <c r="AN42" i="21"/>
  <c r="AP42" i="21" s="1"/>
  <c r="AU46" i="24"/>
  <c r="C47" i="24" s="1"/>
  <c r="T47" i="24" s="1"/>
  <c r="AP42" i="22"/>
  <c r="AO42" i="22"/>
  <c r="BK41" i="23"/>
  <c r="AA41" i="23"/>
  <c r="AB41" i="23" s="1"/>
  <c r="AC41" i="23" s="1"/>
  <c r="BA41" i="23"/>
  <c r="AD41" i="23"/>
  <c r="AN41" i="23"/>
  <c r="AL41" i="23"/>
  <c r="AX41" i="23"/>
  <c r="AZ41" i="23"/>
  <c r="AU41" i="23"/>
  <c r="AI41" i="23"/>
  <c r="AZ46" i="24"/>
  <c r="H47" i="24" s="1"/>
  <c r="Y47" i="24" s="1"/>
  <c r="AT43" i="24"/>
  <c r="B44" i="24" s="1"/>
  <c r="Z43" i="24"/>
  <c r="BO43" i="24" s="1"/>
  <c r="B44" i="21"/>
  <c r="Z43" i="21"/>
  <c r="AG43" i="21" s="1"/>
  <c r="T40" i="4"/>
  <c r="J41" i="1"/>
  <c r="K41" i="1" s="1"/>
  <c r="L41" i="1" s="1"/>
  <c r="T41" i="1"/>
  <c r="Q41" i="1"/>
  <c r="V41" i="1"/>
  <c r="P40" i="4"/>
  <c r="J40" i="4"/>
  <c r="K40" i="4" s="1"/>
  <c r="L40" i="4" s="1"/>
  <c r="AG40" i="4"/>
  <c r="AJ40" i="4"/>
  <c r="P41" i="1"/>
  <c r="AC40" i="4"/>
  <c r="V40" i="4"/>
  <c r="AI40" i="4"/>
  <c r="Q40" i="4"/>
  <c r="AU40" i="4"/>
  <c r="B3" i="14"/>
  <c r="AD40" i="4"/>
  <c r="I42" i="1"/>
  <c r="C5" i="14" s="1"/>
  <c r="J40" i="7"/>
  <c r="K40" i="7" s="1"/>
  <c r="L40" i="7" s="1"/>
  <c r="D3" i="14"/>
  <c r="X40" i="1"/>
  <c r="W40" i="1"/>
  <c r="T40" i="7"/>
  <c r="Q40" i="7"/>
  <c r="AJ40" i="7"/>
  <c r="V40" i="7"/>
  <c r="P40" i="7"/>
  <c r="AH42" i="7"/>
  <c r="H43" i="7" s="1"/>
  <c r="F44" i="1"/>
  <c r="H43" i="1"/>
  <c r="AB41" i="7"/>
  <c r="I41" i="7"/>
  <c r="AM41" i="4"/>
  <c r="B42" i="4" s="1"/>
  <c r="I41" i="4"/>
  <c r="C43" i="1"/>
  <c r="B44" i="1"/>
  <c r="AF42" i="7"/>
  <c r="F43" i="7" s="1"/>
  <c r="AC43" i="7"/>
  <c r="C44" i="7" s="1"/>
  <c r="B43" i="22" l="1"/>
  <c r="BL42" i="22"/>
  <c r="AQ42" i="22"/>
  <c r="AP41" i="23"/>
  <c r="AA44" i="29"/>
  <c r="AB44" i="29" s="1"/>
  <c r="AC44" i="29" s="1"/>
  <c r="AD44" i="29"/>
  <c r="AM44" i="29"/>
  <c r="AK44" i="29"/>
  <c r="AH44" i="29"/>
  <c r="H50" i="29"/>
  <c r="Y50" i="29" s="1"/>
  <c r="AP43" i="29"/>
  <c r="G50" i="29"/>
  <c r="X50" i="29" s="1"/>
  <c r="AG44" i="29"/>
  <c r="C50" i="29"/>
  <c r="T50" i="29" s="1"/>
  <c r="I45" i="29"/>
  <c r="J45" i="29" s="1"/>
  <c r="K45" i="29" s="1"/>
  <c r="L45" i="29" s="1"/>
  <c r="J52" i="28"/>
  <c r="K52" i="28" s="1"/>
  <c r="L52" i="28" s="1"/>
  <c r="R52" i="28"/>
  <c r="U52" i="28"/>
  <c r="P52" i="28"/>
  <c r="S52" i="28"/>
  <c r="W51" i="28"/>
  <c r="X51" i="28"/>
  <c r="E54" i="28"/>
  <c r="V52" i="28"/>
  <c r="H53" i="28"/>
  <c r="I53" i="28" s="1"/>
  <c r="X50" i="28"/>
  <c r="W50" i="28"/>
  <c r="G54" i="28"/>
  <c r="D54" i="28"/>
  <c r="B54" i="28"/>
  <c r="AQ41" i="26"/>
  <c r="B42" i="26"/>
  <c r="S42" i="26" s="1"/>
  <c r="BL41" i="26"/>
  <c r="W44" i="25"/>
  <c r="I45" i="25"/>
  <c r="T45" i="25" s="1"/>
  <c r="X44" i="25"/>
  <c r="AQ42" i="24"/>
  <c r="AH43" i="24"/>
  <c r="C48" i="21"/>
  <c r="T48" i="21" s="1"/>
  <c r="I44" i="21"/>
  <c r="S44" i="21"/>
  <c r="AO41" i="23"/>
  <c r="AQ41" i="23" s="1"/>
  <c r="AZ47" i="24"/>
  <c r="H48" i="24" s="1"/>
  <c r="Y48" i="24" s="1"/>
  <c r="H48" i="21"/>
  <c r="Y48" i="21" s="1"/>
  <c r="AD43" i="21"/>
  <c r="AA43" i="21"/>
  <c r="AB43" i="21" s="1"/>
  <c r="AC43" i="21" s="1"/>
  <c r="AM43" i="21"/>
  <c r="AK43" i="21"/>
  <c r="AH43" i="21"/>
  <c r="AU47" i="24"/>
  <c r="C48" i="24" s="1"/>
  <c r="T48" i="24" s="1"/>
  <c r="BB43" i="24"/>
  <c r="BV43" i="24"/>
  <c r="AA43" i="24"/>
  <c r="AB43" i="24" s="1"/>
  <c r="AC43" i="24" s="1"/>
  <c r="AD43" i="24"/>
  <c r="BA43" i="24"/>
  <c r="BU43" i="24"/>
  <c r="AI43" i="24"/>
  <c r="BS43" i="24"/>
  <c r="BP43" i="24"/>
  <c r="AL43" i="24"/>
  <c r="AN43" i="24"/>
  <c r="I44" i="24"/>
  <c r="S44" i="24"/>
  <c r="BJ41" i="23"/>
  <c r="H42" i="23" s="1"/>
  <c r="Y42" i="23" s="1"/>
  <c r="BE41" i="23"/>
  <c r="C42" i="23" s="1"/>
  <c r="T42" i="23" s="1"/>
  <c r="BD41" i="23"/>
  <c r="BH41" i="23"/>
  <c r="F42" i="23" s="1"/>
  <c r="W42" i="23" s="1"/>
  <c r="J42" i="1"/>
  <c r="K42" i="1" s="1"/>
  <c r="L42" i="1" s="1"/>
  <c r="X41" i="1"/>
  <c r="W41" i="1"/>
  <c r="P42" i="1"/>
  <c r="W40" i="4"/>
  <c r="X40" i="4"/>
  <c r="V42" i="1"/>
  <c r="Q42" i="1"/>
  <c r="T42" i="1"/>
  <c r="I43" i="1"/>
  <c r="P41" i="4"/>
  <c r="B4" i="14"/>
  <c r="Y40" i="1"/>
  <c r="P41" i="7"/>
  <c r="D4" i="14"/>
  <c r="W40" i="7"/>
  <c r="X40" i="7"/>
  <c r="AH43" i="7"/>
  <c r="H44" i="7" s="1"/>
  <c r="AC44" i="7"/>
  <c r="C45" i="7" s="1"/>
  <c r="B45" i="1"/>
  <c r="AJ41" i="4"/>
  <c r="J41" i="4"/>
  <c r="K41" i="4" s="1"/>
  <c r="L41" i="4" s="1"/>
  <c r="AT41" i="4"/>
  <c r="AU41" i="4" s="1"/>
  <c r="V41" i="4"/>
  <c r="Q41" i="4"/>
  <c r="AI41" i="4"/>
  <c r="AD41" i="4"/>
  <c r="AG41" i="4"/>
  <c r="T41" i="4"/>
  <c r="I42" i="4"/>
  <c r="J41" i="7"/>
  <c r="K41" i="7" s="1"/>
  <c r="L41" i="7" s="1"/>
  <c r="Q41" i="7"/>
  <c r="T41" i="7"/>
  <c r="V41" i="7"/>
  <c r="H44" i="1"/>
  <c r="F45" i="1"/>
  <c r="AF43" i="7"/>
  <c r="F44" i="7" s="1"/>
  <c r="C44" i="1"/>
  <c r="AC41" i="4"/>
  <c r="AI41" i="7"/>
  <c r="AJ41" i="7" s="1"/>
  <c r="B42" i="7"/>
  <c r="D49" i="21" l="1"/>
  <c r="U49" i="21" s="1"/>
  <c r="D50" i="21" s="1"/>
  <c r="U50" i="21" s="1"/>
  <c r="D51" i="21" s="1"/>
  <c r="E49" i="21"/>
  <c r="V49" i="21" s="1"/>
  <c r="E50" i="21" s="1"/>
  <c r="V50" i="21" s="1"/>
  <c r="E51" i="21" s="1"/>
  <c r="S43" i="22"/>
  <c r="I43" i="22"/>
  <c r="J43" i="22" s="1"/>
  <c r="K43" i="22" s="1"/>
  <c r="L43" i="22" s="1"/>
  <c r="F44" i="22"/>
  <c r="W44" i="22" s="1"/>
  <c r="C44" i="22"/>
  <c r="T44" i="22" s="1"/>
  <c r="H44" i="22"/>
  <c r="Y44" i="22" s="1"/>
  <c r="BJ44" i="22" s="1"/>
  <c r="AO43" i="21"/>
  <c r="G51" i="29"/>
  <c r="X51" i="29" s="1"/>
  <c r="E51" i="29"/>
  <c r="V51" i="29" s="1"/>
  <c r="D51" i="29"/>
  <c r="U51" i="29" s="1"/>
  <c r="AN44" i="29"/>
  <c r="AO44" i="29"/>
  <c r="Z45" i="29"/>
  <c r="B46" i="29"/>
  <c r="S46" i="29" s="1"/>
  <c r="H51" i="29"/>
  <c r="Y51" i="29" s="1"/>
  <c r="Y50" i="28"/>
  <c r="J53" i="28"/>
  <c r="K53" i="28" s="1"/>
  <c r="L53" i="28" s="1"/>
  <c r="U53" i="28"/>
  <c r="P53" i="28"/>
  <c r="S53" i="28"/>
  <c r="R53" i="28"/>
  <c r="X52" i="28"/>
  <c r="W52" i="28"/>
  <c r="H54" i="28"/>
  <c r="V53" i="28"/>
  <c r="B55" i="28"/>
  <c r="G55" i="28"/>
  <c r="Y51" i="28"/>
  <c r="D55" i="28"/>
  <c r="E55" i="28"/>
  <c r="I42" i="26"/>
  <c r="AI45" i="25"/>
  <c r="Y44" i="25"/>
  <c r="P45" i="25"/>
  <c r="AD45" i="25"/>
  <c r="V45" i="25"/>
  <c r="AC45" i="25"/>
  <c r="AT45" i="25"/>
  <c r="AU45" i="25" s="1"/>
  <c r="AM45" i="25"/>
  <c r="B46" i="25" s="1"/>
  <c r="AS45" i="25"/>
  <c r="H46" i="25" s="1"/>
  <c r="AN45" i="25"/>
  <c r="C46" i="25" s="1"/>
  <c r="AJ45" i="25"/>
  <c r="J45" i="25"/>
  <c r="K45" i="25" s="1"/>
  <c r="L45" i="25" s="1"/>
  <c r="AQ45" i="25"/>
  <c r="F46" i="25" s="1"/>
  <c r="AG45" i="25"/>
  <c r="Q45" i="25"/>
  <c r="AP43" i="24"/>
  <c r="AO43" i="24"/>
  <c r="AU48" i="24"/>
  <c r="AZ48" i="24"/>
  <c r="H49" i="24" s="1"/>
  <c r="Y49" i="24" s="1"/>
  <c r="AN43" i="21"/>
  <c r="AP43" i="21" s="1"/>
  <c r="H49" i="21"/>
  <c r="Y49" i="21" s="1"/>
  <c r="J44" i="21"/>
  <c r="K44" i="21" s="1"/>
  <c r="L44" i="21" s="1"/>
  <c r="AT44" i="24"/>
  <c r="B45" i="24" s="1"/>
  <c r="Z44" i="24"/>
  <c r="BO44" i="24" s="1"/>
  <c r="J44" i="24"/>
  <c r="K44" i="24" s="1"/>
  <c r="L44" i="24" s="1"/>
  <c r="B42" i="23"/>
  <c r="BL41" i="23"/>
  <c r="Z44" i="21"/>
  <c r="B45" i="21"/>
  <c r="Y41" i="1"/>
  <c r="V43" i="1"/>
  <c r="Y40" i="4"/>
  <c r="P43" i="1"/>
  <c r="X42" i="1"/>
  <c r="Q43" i="1"/>
  <c r="C6" i="14"/>
  <c r="T43" i="1"/>
  <c r="W42" i="1"/>
  <c r="J43" i="1"/>
  <c r="K43" i="1" s="1"/>
  <c r="L43" i="1" s="1"/>
  <c r="P42" i="4"/>
  <c r="B5" i="14"/>
  <c r="W41" i="4"/>
  <c r="Y40" i="7"/>
  <c r="X41" i="4"/>
  <c r="X41" i="7"/>
  <c r="W41" i="7"/>
  <c r="AC42" i="4"/>
  <c r="AB42" i="7"/>
  <c r="I42" i="7"/>
  <c r="H45" i="1"/>
  <c r="B46" i="1"/>
  <c r="AH44" i="7"/>
  <c r="H45" i="7" s="1"/>
  <c r="AF44" i="7"/>
  <c r="F45" i="7" s="1"/>
  <c r="C45" i="1"/>
  <c r="F46" i="1"/>
  <c r="G47" i="1" s="1"/>
  <c r="AJ42" i="4"/>
  <c r="J42" i="4"/>
  <c r="K42" i="4" s="1"/>
  <c r="L42" i="4" s="1"/>
  <c r="AT42" i="4"/>
  <c r="AI42" i="4"/>
  <c r="AD42" i="4"/>
  <c r="V42" i="4"/>
  <c r="Q42" i="4"/>
  <c r="AG42" i="4"/>
  <c r="T42" i="4"/>
  <c r="I44" i="1"/>
  <c r="C7" i="14" s="1"/>
  <c r="AC45" i="7"/>
  <c r="C46" i="7" s="1"/>
  <c r="E49" i="24" l="1"/>
  <c r="V49" i="24" s="1"/>
  <c r="AW49" i="24" s="1"/>
  <c r="E50" i="24" s="1"/>
  <c r="V50" i="24" s="1"/>
  <c r="AW50" i="24" s="1"/>
  <c r="E51" i="24" s="1"/>
  <c r="V51" i="24" s="1"/>
  <c r="D49" i="24"/>
  <c r="U49" i="24" s="1"/>
  <c r="AV49" i="24" s="1"/>
  <c r="D50" i="24" s="1"/>
  <c r="U50" i="24" s="1"/>
  <c r="AV50" i="24" s="1"/>
  <c r="D51" i="24" s="1"/>
  <c r="U51" i="24" s="1"/>
  <c r="G48" i="1"/>
  <c r="AQ43" i="24"/>
  <c r="BD43" i="22"/>
  <c r="B44" i="22" s="1"/>
  <c r="Z43" i="22"/>
  <c r="AT43" i="22" s="1"/>
  <c r="AH43" i="22"/>
  <c r="AU42" i="4"/>
  <c r="AS42" i="4"/>
  <c r="H43" i="4" s="1"/>
  <c r="AS43" i="4" s="1"/>
  <c r="AN42" i="4"/>
  <c r="C43" i="4" s="1"/>
  <c r="AN43" i="4" s="1"/>
  <c r="AM42" i="4"/>
  <c r="AQ42" i="4"/>
  <c r="F43" i="4" s="1"/>
  <c r="BE44" i="22"/>
  <c r="BH44" i="22"/>
  <c r="Y52" i="28"/>
  <c r="AP44" i="29"/>
  <c r="AD45" i="29"/>
  <c r="AA45" i="29"/>
  <c r="AB45" i="29" s="1"/>
  <c r="AC45" i="29" s="1"/>
  <c r="AH45" i="29"/>
  <c r="AM45" i="29"/>
  <c r="AK45" i="29"/>
  <c r="D52" i="29"/>
  <c r="U52" i="29" s="1"/>
  <c r="H52" i="29"/>
  <c r="Y52" i="29" s="1"/>
  <c r="E52" i="29"/>
  <c r="V52" i="29" s="1"/>
  <c r="G52" i="29"/>
  <c r="X52" i="29" s="1"/>
  <c r="AG45" i="29"/>
  <c r="I46" i="29"/>
  <c r="J46" i="29" s="1"/>
  <c r="K46" i="29" s="1"/>
  <c r="L46" i="29" s="1"/>
  <c r="D56" i="28"/>
  <c r="H55" i="28"/>
  <c r="I55" i="28" s="1"/>
  <c r="E56" i="28"/>
  <c r="I54" i="28"/>
  <c r="V54" i="28" s="1"/>
  <c r="W53" i="28"/>
  <c r="X53" i="28"/>
  <c r="B56" i="28"/>
  <c r="G56" i="28"/>
  <c r="Z42" i="26"/>
  <c r="J42" i="26"/>
  <c r="K42" i="26" s="1"/>
  <c r="L42" i="26" s="1"/>
  <c r="X45" i="25"/>
  <c r="W45" i="25"/>
  <c r="I46" i="25"/>
  <c r="V46" i="25" s="1"/>
  <c r="AH44" i="24"/>
  <c r="H50" i="21"/>
  <c r="Y50" i="21" s="1"/>
  <c r="I45" i="21"/>
  <c r="J45" i="21" s="1"/>
  <c r="K45" i="21" s="1"/>
  <c r="L45" i="21" s="1"/>
  <c r="S45" i="21"/>
  <c r="BA44" i="24"/>
  <c r="BV44" i="24"/>
  <c r="AA44" i="24"/>
  <c r="AB44" i="24" s="1"/>
  <c r="AC44" i="24" s="1"/>
  <c r="AD44" i="24"/>
  <c r="BB44" i="24"/>
  <c r="BS44" i="24"/>
  <c r="AN44" i="24"/>
  <c r="AL44" i="24"/>
  <c r="BP44" i="24"/>
  <c r="AI44" i="24"/>
  <c r="BU44" i="24"/>
  <c r="G50" i="24"/>
  <c r="X50" i="24" s="1"/>
  <c r="AZ49" i="24"/>
  <c r="H50" i="24" s="1"/>
  <c r="Y50" i="24" s="1"/>
  <c r="AA44" i="21"/>
  <c r="AB44" i="21" s="1"/>
  <c r="AC44" i="21" s="1"/>
  <c r="AD44" i="21"/>
  <c r="AM44" i="21"/>
  <c r="AH44" i="21"/>
  <c r="AK44" i="21"/>
  <c r="I42" i="23"/>
  <c r="S42" i="23"/>
  <c r="AG44" i="21"/>
  <c r="I45" i="24"/>
  <c r="J45" i="24" s="1"/>
  <c r="K45" i="24" s="1"/>
  <c r="L45" i="24" s="1"/>
  <c r="S45" i="24"/>
  <c r="G50" i="21"/>
  <c r="X50" i="21" s="1"/>
  <c r="Y42" i="1"/>
  <c r="D5" i="14"/>
  <c r="X43" i="1"/>
  <c r="W43" i="1"/>
  <c r="I45" i="1"/>
  <c r="C8" i="14" s="1"/>
  <c r="Y41" i="4"/>
  <c r="P42" i="7"/>
  <c r="W42" i="4"/>
  <c r="X42" i="4"/>
  <c r="Y41" i="7"/>
  <c r="AH45" i="7"/>
  <c r="H46" i="7" s="1"/>
  <c r="J44" i="1"/>
  <c r="K44" i="1" s="1"/>
  <c r="L44" i="1" s="1"/>
  <c r="P44" i="1"/>
  <c r="T44" i="1"/>
  <c r="Q44" i="1"/>
  <c r="AC46" i="7"/>
  <c r="C47" i="7" s="1"/>
  <c r="C46" i="1"/>
  <c r="B47" i="1"/>
  <c r="H46" i="1"/>
  <c r="J42" i="7"/>
  <c r="K42" i="7" s="1"/>
  <c r="L42" i="7" s="1"/>
  <c r="Q42" i="7"/>
  <c r="V42" i="7"/>
  <c r="T42" i="7"/>
  <c r="AF45" i="7"/>
  <c r="F46" i="7" s="1"/>
  <c r="V44" i="1"/>
  <c r="AI42" i="7"/>
  <c r="AJ42" i="7" s="1"/>
  <c r="B43" i="7"/>
  <c r="G49" i="1" l="1"/>
  <c r="B43" i="4"/>
  <c r="I43" i="4" s="1"/>
  <c r="AA43" i="22"/>
  <c r="AB43" i="22" s="1"/>
  <c r="AC43" i="22" s="1"/>
  <c r="AX43" i="22"/>
  <c r="AL43" i="22"/>
  <c r="AD43" i="22"/>
  <c r="AI43" i="22"/>
  <c r="BK43" i="22"/>
  <c r="AZ43" i="22"/>
  <c r="BA43" i="22"/>
  <c r="AU43" i="22"/>
  <c r="AN43" i="22"/>
  <c r="BL43" i="22"/>
  <c r="AM43" i="4"/>
  <c r="B44" i="4" s="1"/>
  <c r="AQ43" i="4"/>
  <c r="F44" i="4" s="1"/>
  <c r="I44" i="22"/>
  <c r="J44" i="22" s="1"/>
  <c r="K44" i="22" s="1"/>
  <c r="L44" i="22" s="1"/>
  <c r="S44" i="22"/>
  <c r="C44" i="4"/>
  <c r="AN44" i="4" s="1"/>
  <c r="H44" i="4"/>
  <c r="AS44" i="4" s="1"/>
  <c r="E53" i="29"/>
  <c r="V53" i="29" s="1"/>
  <c r="D53" i="29"/>
  <c r="U53" i="29" s="1"/>
  <c r="G53" i="29"/>
  <c r="X53" i="29" s="1"/>
  <c r="H53" i="29"/>
  <c r="Y53" i="29" s="1"/>
  <c r="AO45" i="29"/>
  <c r="AN45" i="29"/>
  <c r="Z46" i="29"/>
  <c r="AG46" i="29" s="1"/>
  <c r="B47" i="29"/>
  <c r="S47" i="29" s="1"/>
  <c r="J55" i="28"/>
  <c r="K55" i="28" s="1"/>
  <c r="L55" i="28" s="1"/>
  <c r="Y53" i="28"/>
  <c r="P55" i="28"/>
  <c r="B57" i="28"/>
  <c r="J54" i="28"/>
  <c r="K54" i="28" s="1"/>
  <c r="L54" i="28" s="1"/>
  <c r="R54" i="28"/>
  <c r="U54" i="28"/>
  <c r="S54" i="28"/>
  <c r="P54" i="28"/>
  <c r="H56" i="28"/>
  <c r="I56" i="28" s="1"/>
  <c r="V55" i="28"/>
  <c r="G57" i="28"/>
  <c r="S55" i="28"/>
  <c r="R55" i="28"/>
  <c r="U55" i="28"/>
  <c r="E57" i="28"/>
  <c r="D57" i="28"/>
  <c r="BA42" i="26"/>
  <c r="AA42" i="26"/>
  <c r="AB42" i="26" s="1"/>
  <c r="AC42" i="26" s="1"/>
  <c r="BK42" i="26"/>
  <c r="AD42" i="26"/>
  <c r="AX42" i="26"/>
  <c r="AU42" i="26"/>
  <c r="AL42" i="26"/>
  <c r="AI42" i="26"/>
  <c r="AZ42" i="26"/>
  <c r="AN42" i="26"/>
  <c r="AH42" i="26"/>
  <c r="AT42" i="26"/>
  <c r="Y45" i="25"/>
  <c r="T46" i="25"/>
  <c r="Q46" i="25"/>
  <c r="P46" i="25"/>
  <c r="AQ46" i="25"/>
  <c r="F47" i="25" s="1"/>
  <c r="AJ46" i="25"/>
  <c r="J46" i="25"/>
  <c r="K46" i="25" s="1"/>
  <c r="L46" i="25" s="1"/>
  <c r="AN46" i="25"/>
  <c r="C47" i="25" s="1"/>
  <c r="AS46" i="25"/>
  <c r="H47" i="25" s="1"/>
  <c r="AT46" i="25"/>
  <c r="AU46" i="25" s="1"/>
  <c r="AM46" i="25"/>
  <c r="B47" i="25" s="1"/>
  <c r="AI46" i="25"/>
  <c r="AD46" i="25"/>
  <c r="AC46" i="25"/>
  <c r="AG46" i="25"/>
  <c r="AO44" i="24"/>
  <c r="AP44" i="24"/>
  <c r="AQ44" i="24" s="1"/>
  <c r="Z42" i="23"/>
  <c r="AH42" i="23" s="1"/>
  <c r="J42" i="23"/>
  <c r="K42" i="23" s="1"/>
  <c r="L42" i="23" s="1"/>
  <c r="G51" i="21"/>
  <c r="X51" i="21" s="1"/>
  <c r="U51" i="21"/>
  <c r="V51" i="21"/>
  <c r="AN44" i="21"/>
  <c r="AO44" i="21"/>
  <c r="AZ50" i="24"/>
  <c r="H51" i="24" s="1"/>
  <c r="Y51" i="24" s="1"/>
  <c r="AY50" i="24"/>
  <c r="G51" i="24" s="1"/>
  <c r="X51" i="24" s="1"/>
  <c r="Z45" i="24"/>
  <c r="AH45" i="24" s="1"/>
  <c r="AT45" i="24"/>
  <c r="B46" i="24" s="1"/>
  <c r="H51" i="21"/>
  <c r="Y51" i="21" s="1"/>
  <c r="B46" i="21"/>
  <c r="Z45" i="21"/>
  <c r="AG45" i="21" s="1"/>
  <c r="H45" i="22"/>
  <c r="Y45" i="22" s="1"/>
  <c r="C45" i="22"/>
  <c r="T45" i="22" s="1"/>
  <c r="F45" i="22"/>
  <c r="W45" i="22" s="1"/>
  <c r="Y43" i="1"/>
  <c r="J45" i="1"/>
  <c r="K45" i="1" s="1"/>
  <c r="L45" i="1" s="1"/>
  <c r="V45" i="1"/>
  <c r="Q45" i="1"/>
  <c r="P45" i="1"/>
  <c r="T45" i="1"/>
  <c r="Y42" i="4"/>
  <c r="W42" i="7"/>
  <c r="I46" i="1"/>
  <c r="C9" i="14" s="1"/>
  <c r="X44" i="1"/>
  <c r="W44" i="1"/>
  <c r="X42" i="7"/>
  <c r="AF46" i="7"/>
  <c r="G47" i="7" s="1"/>
  <c r="AH46" i="7"/>
  <c r="H47" i="7" s="1"/>
  <c r="I43" i="7"/>
  <c r="AB43" i="7"/>
  <c r="AC47" i="7"/>
  <c r="C48" i="7" s="1"/>
  <c r="H47" i="1"/>
  <c r="B48" i="1"/>
  <c r="C47" i="1"/>
  <c r="AC43" i="4" l="1"/>
  <c r="AG47" i="7"/>
  <c r="G48" i="7" s="1"/>
  <c r="AO43" i="22"/>
  <c r="AP43" i="22"/>
  <c r="B6" i="14"/>
  <c r="J43" i="4"/>
  <c r="K43" i="4" s="1"/>
  <c r="L43" i="4" s="1"/>
  <c r="V43" i="4"/>
  <c r="P43" i="4"/>
  <c r="Q43" i="4"/>
  <c r="AD43" i="4"/>
  <c r="T43" i="4"/>
  <c r="AT43" i="4"/>
  <c r="AU43" i="4" s="1"/>
  <c r="AJ43" i="4"/>
  <c r="AI43" i="4"/>
  <c r="AG43" i="4"/>
  <c r="AQ44" i="4"/>
  <c r="BD44" i="22"/>
  <c r="Z44" i="22"/>
  <c r="AP45" i="29"/>
  <c r="AM44" i="4"/>
  <c r="B45" i="4" s="1"/>
  <c r="I44" i="4"/>
  <c r="P44" i="4" s="1"/>
  <c r="BO45" i="24"/>
  <c r="G54" i="29"/>
  <c r="X54" i="29" s="1"/>
  <c r="E54" i="29"/>
  <c r="V54" i="29" s="1"/>
  <c r="I47" i="29"/>
  <c r="J47" i="29" s="1"/>
  <c r="K47" i="29" s="1"/>
  <c r="L47" i="29" s="1"/>
  <c r="AD46" i="29"/>
  <c r="AA46" i="29"/>
  <c r="AB46" i="29" s="1"/>
  <c r="AC46" i="29" s="1"/>
  <c r="AH46" i="29"/>
  <c r="AM46" i="29"/>
  <c r="AK46" i="29"/>
  <c r="H54" i="29"/>
  <c r="Y54" i="29" s="1"/>
  <c r="D54" i="29"/>
  <c r="U54" i="29" s="1"/>
  <c r="X55" i="28"/>
  <c r="J56" i="28"/>
  <c r="K56" i="28" s="1"/>
  <c r="L56" i="28" s="1"/>
  <c r="R56" i="28"/>
  <c r="U56" i="28"/>
  <c r="P56" i="28"/>
  <c r="S56" i="28"/>
  <c r="D58" i="28"/>
  <c r="V56" i="28"/>
  <c r="H57" i="28"/>
  <c r="E58" i="28"/>
  <c r="X54" i="28"/>
  <c r="W54" i="28"/>
  <c r="W55" i="28"/>
  <c r="Y55" i="28" s="1"/>
  <c r="G58" i="28"/>
  <c r="B58" i="28"/>
  <c r="AO42" i="26"/>
  <c r="AP42" i="26"/>
  <c r="BH42" i="26"/>
  <c r="F43" i="26" s="1"/>
  <c r="BE42" i="26"/>
  <c r="C43" i="26" s="1"/>
  <c r="BD42" i="26"/>
  <c r="BJ42" i="26"/>
  <c r="H43" i="26" s="1"/>
  <c r="Y43" i="26" s="1"/>
  <c r="X46" i="25"/>
  <c r="W46" i="25"/>
  <c r="I47" i="25"/>
  <c r="AC47" i="25" s="1"/>
  <c r="B45" i="22"/>
  <c r="BL44" i="22"/>
  <c r="E52" i="21"/>
  <c r="V52" i="21" s="1"/>
  <c r="BH45" i="22"/>
  <c r="F46" i="22" s="1"/>
  <c r="W46" i="22" s="1"/>
  <c r="BK42" i="23"/>
  <c r="BA42" i="23"/>
  <c r="AD42" i="23"/>
  <c r="AA42" i="23"/>
  <c r="AB42" i="23" s="1"/>
  <c r="AC42" i="23" s="1"/>
  <c r="AI42" i="23"/>
  <c r="AX42" i="23"/>
  <c r="AL42" i="23"/>
  <c r="AU42" i="23"/>
  <c r="AN42" i="23"/>
  <c r="AZ42" i="23"/>
  <c r="I46" i="21"/>
  <c r="J46" i="21" s="1"/>
  <c r="K46" i="21" s="1"/>
  <c r="L46" i="21" s="1"/>
  <c r="S46" i="21"/>
  <c r="AP44" i="21"/>
  <c r="H52" i="21"/>
  <c r="Y52" i="21" s="1"/>
  <c r="D52" i="21"/>
  <c r="U52" i="21" s="1"/>
  <c r="BJ45" i="22"/>
  <c r="H46" i="22" s="1"/>
  <c r="Y46" i="22" s="1"/>
  <c r="AZ51" i="24"/>
  <c r="H52" i="24" s="1"/>
  <c r="Y52" i="24" s="1"/>
  <c r="G52" i="21"/>
  <c r="X52" i="21" s="1"/>
  <c r="AT42" i="23"/>
  <c r="AA45" i="24"/>
  <c r="AB45" i="24" s="1"/>
  <c r="AC45" i="24" s="1"/>
  <c r="BV45" i="24"/>
  <c r="BA45" i="24"/>
  <c r="BB45" i="24"/>
  <c r="AD45" i="24"/>
  <c r="AI45" i="24"/>
  <c r="BS45" i="24"/>
  <c r="BU45" i="24"/>
  <c r="AN45" i="24"/>
  <c r="BP45" i="24"/>
  <c r="AL45" i="24"/>
  <c r="BE45" i="22"/>
  <c r="C46" i="22" s="1"/>
  <c r="T46" i="22" s="1"/>
  <c r="AY51" i="24"/>
  <c r="G52" i="24" s="1"/>
  <c r="X52" i="24" s="1"/>
  <c r="AD45" i="21"/>
  <c r="AA45" i="21"/>
  <c r="AB45" i="21" s="1"/>
  <c r="AC45" i="21" s="1"/>
  <c r="AK45" i="21"/>
  <c r="AH45" i="21"/>
  <c r="AM45" i="21"/>
  <c r="I46" i="24"/>
  <c r="J46" i="24" s="1"/>
  <c r="K46" i="24" s="1"/>
  <c r="L46" i="24" s="1"/>
  <c r="S46" i="24"/>
  <c r="X45" i="1"/>
  <c r="W45" i="1"/>
  <c r="F27" i="8"/>
  <c r="Q46" i="1"/>
  <c r="T46" i="1"/>
  <c r="V46" i="1"/>
  <c r="P46" i="1"/>
  <c r="G27" i="8"/>
  <c r="J46" i="1"/>
  <c r="K46" i="1" s="1"/>
  <c r="L46" i="1" s="1"/>
  <c r="Y44" i="1"/>
  <c r="I47" i="1"/>
  <c r="Y42" i="7"/>
  <c r="P43" i="7"/>
  <c r="D6" i="14"/>
  <c r="H48" i="1"/>
  <c r="AC48" i="7"/>
  <c r="C45" i="4"/>
  <c r="H45" i="4"/>
  <c r="F45" i="4"/>
  <c r="AQ45" i="4" s="1"/>
  <c r="B49" i="1"/>
  <c r="B44" i="7"/>
  <c r="AI43" i="7"/>
  <c r="AJ43" i="7" s="1"/>
  <c r="AH47" i="7"/>
  <c r="H48" i="7" s="1"/>
  <c r="C48" i="1"/>
  <c r="J43" i="7"/>
  <c r="K43" i="7" s="1"/>
  <c r="L43" i="7" s="1"/>
  <c r="Q43" i="7"/>
  <c r="T43" i="7"/>
  <c r="V43" i="7"/>
  <c r="D49" i="7" l="1"/>
  <c r="E49" i="7"/>
  <c r="E49" i="1"/>
  <c r="D49" i="1"/>
  <c r="C10" i="14"/>
  <c r="U47" i="1"/>
  <c r="AG48" i="7"/>
  <c r="G49" i="7" s="1"/>
  <c r="AQ43" i="22"/>
  <c r="X43" i="4"/>
  <c r="W43" i="4"/>
  <c r="Y43" i="4" s="1"/>
  <c r="AU44" i="22"/>
  <c r="BA44" i="22"/>
  <c r="AZ44" i="22"/>
  <c r="AD44" i="22"/>
  <c r="AL44" i="22"/>
  <c r="AX44" i="22"/>
  <c r="AA44" i="22"/>
  <c r="AB44" i="22" s="1"/>
  <c r="AC44" i="22" s="1"/>
  <c r="AI44" i="22"/>
  <c r="BK44" i="22"/>
  <c r="AN44" i="22"/>
  <c r="AH44" i="22"/>
  <c r="AG44" i="4"/>
  <c r="AT44" i="22"/>
  <c r="AC44" i="4"/>
  <c r="V44" i="4"/>
  <c r="T44" i="4"/>
  <c r="B7" i="14"/>
  <c r="AT44" i="4"/>
  <c r="AU44" i="4" s="1"/>
  <c r="AI44" i="4"/>
  <c r="J44" i="4"/>
  <c r="K44" i="4" s="1"/>
  <c r="L44" i="4" s="1"/>
  <c r="AD44" i="4"/>
  <c r="AJ44" i="4"/>
  <c r="Q44" i="4"/>
  <c r="Y54" i="28"/>
  <c r="AP42" i="23"/>
  <c r="AP45" i="24"/>
  <c r="AO42" i="23"/>
  <c r="AO46" i="29"/>
  <c r="H55" i="29"/>
  <c r="Y55" i="29" s="1"/>
  <c r="G55" i="29"/>
  <c r="X55" i="29" s="1"/>
  <c r="D55" i="29"/>
  <c r="U55" i="29" s="1"/>
  <c r="B48" i="29"/>
  <c r="S48" i="29" s="1"/>
  <c r="Z47" i="29"/>
  <c r="AN46" i="29"/>
  <c r="E55" i="29"/>
  <c r="V55" i="29" s="1"/>
  <c r="E59" i="28"/>
  <c r="B59" i="28"/>
  <c r="X56" i="28"/>
  <c r="W56" i="28"/>
  <c r="H58" i="28"/>
  <c r="I58" i="28" s="1"/>
  <c r="P58" i="28" s="1"/>
  <c r="I57" i="28"/>
  <c r="G59" i="28"/>
  <c r="D59" i="28"/>
  <c r="B43" i="26"/>
  <c r="S43" i="26" s="1"/>
  <c r="BL42" i="26"/>
  <c r="AQ42" i="26"/>
  <c r="Y46" i="25"/>
  <c r="AI47" i="25"/>
  <c r="V47" i="25"/>
  <c r="T47" i="25"/>
  <c r="AT47" i="25"/>
  <c r="AU47" i="25" s="1"/>
  <c r="AM47" i="25"/>
  <c r="B48" i="25" s="1"/>
  <c r="AS47" i="25"/>
  <c r="H48" i="25" s="1"/>
  <c r="AN47" i="25"/>
  <c r="C48" i="25" s="1"/>
  <c r="AQ47" i="25"/>
  <c r="F48" i="25" s="1"/>
  <c r="AJ47" i="25"/>
  <c r="J47" i="25"/>
  <c r="K47" i="25" s="1"/>
  <c r="L47" i="25" s="1"/>
  <c r="Q47" i="25"/>
  <c r="AG47" i="25"/>
  <c r="P47" i="25"/>
  <c r="AD47" i="25"/>
  <c r="AN45" i="21"/>
  <c r="E53" i="21"/>
  <c r="V53" i="21" s="1"/>
  <c r="BH42" i="23"/>
  <c r="F43" i="23" s="1"/>
  <c r="W43" i="23" s="1"/>
  <c r="BE42" i="23"/>
  <c r="C43" i="23" s="1"/>
  <c r="T43" i="23" s="1"/>
  <c r="BJ42" i="23"/>
  <c r="H43" i="23" s="1"/>
  <c r="Y43" i="23" s="1"/>
  <c r="BD42" i="23"/>
  <c r="AW51" i="24"/>
  <c r="E52" i="24" s="1"/>
  <c r="V52" i="24" s="1"/>
  <c r="H53" i="21"/>
  <c r="Y53" i="21" s="1"/>
  <c r="G53" i="21"/>
  <c r="X53" i="21" s="1"/>
  <c r="AO45" i="21"/>
  <c r="AP45" i="21" s="1"/>
  <c r="AO45" i="24"/>
  <c r="G53" i="24"/>
  <c r="Z46" i="21"/>
  <c r="AG46" i="21" s="1"/>
  <c r="B47" i="21"/>
  <c r="D53" i="21"/>
  <c r="U53" i="21" s="1"/>
  <c r="AV51" i="24"/>
  <c r="D52" i="24" s="1"/>
  <c r="U52" i="24" s="1"/>
  <c r="I45" i="22"/>
  <c r="J45" i="22" s="1"/>
  <c r="K45" i="22" s="1"/>
  <c r="L45" i="22" s="1"/>
  <c r="S45" i="22"/>
  <c r="AT46" i="24"/>
  <c r="B47" i="24" s="1"/>
  <c r="Z46" i="24"/>
  <c r="BO46" i="24" s="1"/>
  <c r="Y45" i="1"/>
  <c r="X46" i="1"/>
  <c r="W46" i="1"/>
  <c r="H27" i="8"/>
  <c r="V47" i="1"/>
  <c r="I48" i="1"/>
  <c r="Q47" i="1"/>
  <c r="P47" i="1"/>
  <c r="J47" i="1"/>
  <c r="K47" i="1" s="1"/>
  <c r="L47" i="1" s="1"/>
  <c r="X43" i="7"/>
  <c r="W43" i="7"/>
  <c r="B50" i="1"/>
  <c r="AM45" i="4"/>
  <c r="B46" i="4" s="1"/>
  <c r="I45" i="4"/>
  <c r="AC45" i="4" s="1"/>
  <c r="AB44" i="7"/>
  <c r="I44" i="7"/>
  <c r="AS45" i="4"/>
  <c r="H46" i="4" s="1"/>
  <c r="G50" i="1"/>
  <c r="H49" i="1"/>
  <c r="AH48" i="7"/>
  <c r="H49" i="7" s="1"/>
  <c r="AN45" i="4"/>
  <c r="C46" i="4" s="1"/>
  <c r="F46" i="4"/>
  <c r="E50" i="1" l="1"/>
  <c r="S49" i="1"/>
  <c r="D50" i="1"/>
  <c r="R49" i="1"/>
  <c r="AE49" i="7"/>
  <c r="E50" i="7" s="1"/>
  <c r="C11" i="14"/>
  <c r="U48" i="1"/>
  <c r="AD49" i="7"/>
  <c r="D50" i="7" s="1"/>
  <c r="AQ45" i="24"/>
  <c r="AO44" i="22"/>
  <c r="AP44" i="22"/>
  <c r="AQ42" i="23"/>
  <c r="W44" i="4"/>
  <c r="X44" i="4"/>
  <c r="AP46" i="29"/>
  <c r="AA47" i="29"/>
  <c r="AB47" i="29" s="1"/>
  <c r="AC47" i="29" s="1"/>
  <c r="AD47" i="29"/>
  <c r="AK47" i="29"/>
  <c r="AM47" i="29"/>
  <c r="AH47" i="29"/>
  <c r="H56" i="29"/>
  <c r="Y56" i="29" s="1"/>
  <c r="AG47" i="29"/>
  <c r="D56" i="29"/>
  <c r="U56" i="29" s="1"/>
  <c r="E56" i="29"/>
  <c r="V56" i="29" s="1"/>
  <c r="I48" i="29"/>
  <c r="J48" i="29" s="1"/>
  <c r="K48" i="29" s="1"/>
  <c r="L48" i="29" s="1"/>
  <c r="G56" i="29"/>
  <c r="X56" i="29" s="1"/>
  <c r="R58" i="28"/>
  <c r="U58" i="28"/>
  <c r="H59" i="28"/>
  <c r="V58" i="28"/>
  <c r="G60" i="28"/>
  <c r="Y56" i="28"/>
  <c r="I59" i="28"/>
  <c r="J59" i="28" s="1"/>
  <c r="K59" i="28" s="1"/>
  <c r="L59" i="28" s="1"/>
  <c r="B60" i="28"/>
  <c r="J57" i="28"/>
  <c r="K57" i="28" s="1"/>
  <c r="L57" i="28" s="1"/>
  <c r="S57" i="28"/>
  <c r="U57" i="28"/>
  <c r="R57" i="28"/>
  <c r="P57" i="28"/>
  <c r="E60" i="28"/>
  <c r="D60" i="28"/>
  <c r="V57" i="28"/>
  <c r="J58" i="28"/>
  <c r="K58" i="28" s="1"/>
  <c r="L58" i="28" s="1"/>
  <c r="S58" i="28"/>
  <c r="I43" i="26"/>
  <c r="X47" i="25"/>
  <c r="W47" i="25"/>
  <c r="I48" i="25"/>
  <c r="AD48" i="25" s="1"/>
  <c r="S47" i="24"/>
  <c r="I47" i="24"/>
  <c r="J47" i="24" s="1"/>
  <c r="K47" i="24" s="1"/>
  <c r="L47" i="24" s="1"/>
  <c r="D53" i="24"/>
  <c r="BB46" i="24"/>
  <c r="AD46" i="24"/>
  <c r="BA46" i="24"/>
  <c r="BV46" i="24"/>
  <c r="AA46" i="24"/>
  <c r="AB46" i="24" s="1"/>
  <c r="AC46" i="24" s="1"/>
  <c r="BS46" i="24"/>
  <c r="AI46" i="24"/>
  <c r="AL46" i="24"/>
  <c r="BU46" i="24"/>
  <c r="BP46" i="24"/>
  <c r="AN46" i="24"/>
  <c r="S47" i="21"/>
  <c r="I47" i="21"/>
  <c r="J47" i="21" s="1"/>
  <c r="K47" i="21" s="1"/>
  <c r="L47" i="21" s="1"/>
  <c r="H54" i="21"/>
  <c r="Y54" i="21" s="1"/>
  <c r="B43" i="23"/>
  <c r="BL42" i="23"/>
  <c r="Z45" i="22"/>
  <c r="BD45" i="22"/>
  <c r="B46" i="22" s="1"/>
  <c r="AD46" i="21"/>
  <c r="AA46" i="21"/>
  <c r="AB46" i="21" s="1"/>
  <c r="AC46" i="21" s="1"/>
  <c r="AH46" i="21"/>
  <c r="AK46" i="21"/>
  <c r="AM46" i="21"/>
  <c r="E54" i="21"/>
  <c r="V54" i="21" s="1"/>
  <c r="G54" i="21"/>
  <c r="X54" i="21" s="1"/>
  <c r="E53" i="24"/>
  <c r="AH46" i="24"/>
  <c r="D54" i="21"/>
  <c r="U54" i="21" s="1"/>
  <c r="Y46" i="1"/>
  <c r="J48" i="1"/>
  <c r="K48" i="1" s="1"/>
  <c r="L48" i="1" s="1"/>
  <c r="X47" i="1"/>
  <c r="V48" i="1"/>
  <c r="Q48" i="1"/>
  <c r="W47" i="1"/>
  <c r="P48" i="1"/>
  <c r="AI45" i="4"/>
  <c r="T45" i="4"/>
  <c r="Y43" i="7"/>
  <c r="AD45" i="4"/>
  <c r="AG45" i="4"/>
  <c r="Q45" i="4"/>
  <c r="I49" i="1"/>
  <c r="C12" i="14" s="1"/>
  <c r="P45" i="4"/>
  <c r="B8" i="14"/>
  <c r="P44" i="7"/>
  <c r="D7" i="14"/>
  <c r="AH49" i="7"/>
  <c r="H50" i="7" s="1"/>
  <c r="B45" i="7"/>
  <c r="AI44" i="7"/>
  <c r="AJ44" i="7" s="1"/>
  <c r="AG49" i="7"/>
  <c r="G50" i="7" s="1"/>
  <c r="AT45" i="4"/>
  <c r="AU45" i="4" s="1"/>
  <c r="AJ45" i="4"/>
  <c r="J45" i="4"/>
  <c r="K45" i="4" s="1"/>
  <c r="L45" i="4" s="1"/>
  <c r="H50" i="1"/>
  <c r="G51" i="1"/>
  <c r="V45" i="4"/>
  <c r="I46" i="4"/>
  <c r="AI46" i="4" s="1"/>
  <c r="J44" i="7"/>
  <c r="K44" i="7" s="1"/>
  <c r="L44" i="7" s="1"/>
  <c r="Q44" i="7"/>
  <c r="T44" i="7"/>
  <c r="V44" i="7"/>
  <c r="B51" i="1"/>
  <c r="S59" i="28" l="1"/>
  <c r="AD50" i="7"/>
  <c r="D51" i="7" s="1"/>
  <c r="D51" i="1"/>
  <c r="AE50" i="7"/>
  <c r="E51" i="7" s="1"/>
  <c r="E51" i="1"/>
  <c r="Y44" i="4"/>
  <c r="AQ44" i="22"/>
  <c r="X58" i="28"/>
  <c r="AO46" i="21"/>
  <c r="E57" i="29"/>
  <c r="V57" i="29" s="1"/>
  <c r="AO47" i="29"/>
  <c r="AN47" i="29"/>
  <c r="G57" i="29"/>
  <c r="X57" i="29" s="1"/>
  <c r="B49" i="29"/>
  <c r="S49" i="29" s="1"/>
  <c r="Z48" i="29"/>
  <c r="AG48" i="29" s="1"/>
  <c r="H57" i="29"/>
  <c r="Y57" i="29" s="1"/>
  <c r="D57" i="29"/>
  <c r="U57" i="29" s="1"/>
  <c r="U59" i="28"/>
  <c r="W58" i="28"/>
  <c r="E61" i="28"/>
  <c r="R59" i="28"/>
  <c r="W57" i="28"/>
  <c r="X57" i="28"/>
  <c r="H60" i="28"/>
  <c r="I60" i="28" s="1"/>
  <c r="J60" i="28" s="1"/>
  <c r="V59" i="28"/>
  <c r="B61" i="28"/>
  <c r="D61" i="28"/>
  <c r="P59" i="28"/>
  <c r="G61" i="28"/>
  <c r="Z43" i="26"/>
  <c r="AT43" i="26" s="1"/>
  <c r="J43" i="26"/>
  <c r="K43" i="26" s="1"/>
  <c r="L43" i="26" s="1"/>
  <c r="P48" i="25"/>
  <c r="V48" i="25"/>
  <c r="T48" i="25"/>
  <c r="AC48" i="25"/>
  <c r="AI48" i="25"/>
  <c r="AG48" i="25"/>
  <c r="Y47" i="25"/>
  <c r="AQ48" i="25"/>
  <c r="G49" i="25" s="1"/>
  <c r="AJ48" i="25"/>
  <c r="J48" i="25"/>
  <c r="K48" i="25" s="1"/>
  <c r="L48" i="25" s="1"/>
  <c r="AN48" i="25"/>
  <c r="C49" i="25" s="1"/>
  <c r="AT48" i="25"/>
  <c r="AU48" i="25" s="1"/>
  <c r="AS48" i="25"/>
  <c r="H49" i="25" s="1"/>
  <c r="AM48" i="25"/>
  <c r="B49" i="25" s="1"/>
  <c r="Q48" i="25"/>
  <c r="AN46" i="21"/>
  <c r="S43" i="23"/>
  <c r="I43" i="23"/>
  <c r="E55" i="21"/>
  <c r="V55" i="21" s="1"/>
  <c r="AA45" i="22"/>
  <c r="AB45" i="22" s="1"/>
  <c r="AC45" i="22" s="1"/>
  <c r="BL45" i="22"/>
  <c r="BK45" i="22"/>
  <c r="AD45" i="22"/>
  <c r="BA45" i="22"/>
  <c r="AN45" i="22"/>
  <c r="AU45" i="22"/>
  <c r="AL45" i="22"/>
  <c r="AZ45" i="22"/>
  <c r="AX45" i="22"/>
  <c r="AI45" i="22"/>
  <c r="D55" i="21"/>
  <c r="U55" i="21" s="1"/>
  <c r="AP46" i="24"/>
  <c r="AO46" i="24"/>
  <c r="AT45" i="22"/>
  <c r="S46" i="22"/>
  <c r="I46" i="22"/>
  <c r="J46" i="22" s="1"/>
  <c r="K46" i="22" s="1"/>
  <c r="L46" i="22" s="1"/>
  <c r="H55" i="21"/>
  <c r="Y55" i="21" s="1"/>
  <c r="G55" i="21"/>
  <c r="X55" i="21" s="1"/>
  <c r="AH45" i="22"/>
  <c r="B48" i="21"/>
  <c r="Z47" i="21"/>
  <c r="AT47" i="24"/>
  <c r="B48" i="24" s="1"/>
  <c r="Z47" i="24"/>
  <c r="AH47" i="24" s="1"/>
  <c r="Y47" i="1"/>
  <c r="X48" i="1"/>
  <c r="W48" i="1"/>
  <c r="J49" i="1"/>
  <c r="K49" i="1" s="1"/>
  <c r="L49" i="1" s="1"/>
  <c r="I50" i="1"/>
  <c r="C13" i="14" s="1"/>
  <c r="V49" i="1"/>
  <c r="W45" i="4"/>
  <c r="P49" i="1"/>
  <c r="U49" i="1"/>
  <c r="X45" i="4"/>
  <c r="B9" i="14"/>
  <c r="W44" i="7"/>
  <c r="X44" i="7"/>
  <c r="AD46" i="4"/>
  <c r="Q46" i="4"/>
  <c r="G52" i="1"/>
  <c r="T46" i="4"/>
  <c r="AB45" i="7"/>
  <c r="I45" i="7"/>
  <c r="D8" i="14" s="1"/>
  <c r="AC46" i="4"/>
  <c r="AD51" i="7"/>
  <c r="D52" i="7" s="1"/>
  <c r="V46" i="4"/>
  <c r="AH50" i="7"/>
  <c r="H51" i="7" s="1"/>
  <c r="B52" i="1"/>
  <c r="P46" i="4"/>
  <c r="H51" i="1"/>
  <c r="AG46" i="4"/>
  <c r="AJ46" i="4"/>
  <c r="AT46" i="4"/>
  <c r="AS46" i="4" s="1"/>
  <c r="J46" i="4"/>
  <c r="K46" i="4" s="1"/>
  <c r="L46" i="4" s="1"/>
  <c r="AG50" i="7"/>
  <c r="G51" i="7" s="1"/>
  <c r="Y58" i="28" l="1"/>
  <c r="AE51" i="7"/>
  <c r="E52" i="7" s="1"/>
  <c r="S50" i="1"/>
  <c r="R50" i="1"/>
  <c r="AU46" i="4"/>
  <c r="AN46" i="4"/>
  <c r="C47" i="4" s="1"/>
  <c r="AN47" i="4" s="1"/>
  <c r="H47" i="4"/>
  <c r="AM46" i="4"/>
  <c r="AQ46" i="4"/>
  <c r="G47" i="4" s="1"/>
  <c r="AR47" i="4" s="1"/>
  <c r="G48" i="4" s="1"/>
  <c r="AP46" i="21"/>
  <c r="BO47" i="24"/>
  <c r="AP47" i="29"/>
  <c r="D58" i="29"/>
  <c r="U58" i="29" s="1"/>
  <c r="I49" i="29"/>
  <c r="J49" i="29" s="1"/>
  <c r="K49" i="29" s="1"/>
  <c r="L49" i="29" s="1"/>
  <c r="H58" i="29"/>
  <c r="Y58" i="29" s="1"/>
  <c r="E58" i="29"/>
  <c r="V58" i="29" s="1"/>
  <c r="AA48" i="29"/>
  <c r="AB48" i="29" s="1"/>
  <c r="AC48" i="29" s="1"/>
  <c r="AD48" i="29"/>
  <c r="AK48" i="29"/>
  <c r="AM48" i="29"/>
  <c r="AH48" i="29"/>
  <c r="G58" i="29"/>
  <c r="X58" i="29" s="1"/>
  <c r="R60" i="28"/>
  <c r="P60" i="28"/>
  <c r="Y57" i="28"/>
  <c r="U60" i="28"/>
  <c r="D62" i="28"/>
  <c r="G62" i="28"/>
  <c r="B62" i="28"/>
  <c r="V60" i="28"/>
  <c r="H61" i="28"/>
  <c r="S60" i="28"/>
  <c r="X59" i="28"/>
  <c r="W59" i="28"/>
  <c r="I69" i="28"/>
  <c r="K60" i="28"/>
  <c r="E62" i="28"/>
  <c r="BK43" i="26"/>
  <c r="AD43" i="26"/>
  <c r="BA43" i="26"/>
  <c r="AA43" i="26"/>
  <c r="AB43" i="26" s="1"/>
  <c r="AC43" i="26" s="1"/>
  <c r="AI43" i="26"/>
  <c r="AU43" i="26"/>
  <c r="AX43" i="26"/>
  <c r="AZ43" i="26"/>
  <c r="AL43" i="26"/>
  <c r="AN43" i="26"/>
  <c r="AH43" i="26"/>
  <c r="W48" i="25"/>
  <c r="X48" i="25"/>
  <c r="I49" i="25"/>
  <c r="AH49" i="25" s="1"/>
  <c r="I48" i="24"/>
  <c r="J48" i="24" s="1"/>
  <c r="K48" i="24" s="1"/>
  <c r="L48" i="24" s="1"/>
  <c r="S48" i="24"/>
  <c r="AP45" i="22"/>
  <c r="AO45" i="22"/>
  <c r="G56" i="21"/>
  <c r="X56" i="21" s="1"/>
  <c r="H56" i="21"/>
  <c r="Y56" i="21" s="1"/>
  <c r="Z46" i="22"/>
  <c r="D56" i="21"/>
  <c r="U56" i="21" s="1"/>
  <c r="J43" i="23"/>
  <c r="K43" i="23" s="1"/>
  <c r="L43" i="23" s="1"/>
  <c r="AD47" i="21"/>
  <c r="AA47" i="21"/>
  <c r="AB47" i="21" s="1"/>
  <c r="AC47" i="21" s="1"/>
  <c r="AK47" i="21"/>
  <c r="AM47" i="21"/>
  <c r="AH47" i="21"/>
  <c r="S48" i="21"/>
  <c r="I48" i="21"/>
  <c r="J48" i="21" s="1"/>
  <c r="K48" i="21" s="1"/>
  <c r="L48" i="21" s="1"/>
  <c r="E56" i="21"/>
  <c r="V56" i="21" s="1"/>
  <c r="AD47" i="24"/>
  <c r="BB47" i="24"/>
  <c r="BV47" i="24"/>
  <c r="AA47" i="24"/>
  <c r="AB47" i="24" s="1"/>
  <c r="AC47" i="24" s="1"/>
  <c r="BA47" i="24"/>
  <c r="BP47" i="24"/>
  <c r="AN47" i="24"/>
  <c r="AL47" i="24"/>
  <c r="BS47" i="24"/>
  <c r="AI47" i="24"/>
  <c r="BU47" i="24"/>
  <c r="AG47" i="21"/>
  <c r="AQ46" i="24"/>
  <c r="Z43" i="23"/>
  <c r="AT43" i="23" s="1"/>
  <c r="J50" i="1"/>
  <c r="K50" i="1" s="1"/>
  <c r="L50" i="1" s="1"/>
  <c r="Y48" i="1"/>
  <c r="V50" i="1"/>
  <c r="U50" i="1"/>
  <c r="P50" i="1"/>
  <c r="Y45" i="4"/>
  <c r="W49" i="1"/>
  <c r="X49" i="1"/>
  <c r="X46" i="4"/>
  <c r="Y44" i="7"/>
  <c r="W46" i="4"/>
  <c r="B53" i="1"/>
  <c r="E52" i="1"/>
  <c r="J45" i="7"/>
  <c r="K45" i="7" s="1"/>
  <c r="L45" i="7" s="1"/>
  <c r="Q45" i="7"/>
  <c r="V45" i="7"/>
  <c r="T45" i="7"/>
  <c r="AG51" i="7"/>
  <c r="G52" i="7" s="1"/>
  <c r="I51" i="1"/>
  <c r="C14" i="14" s="1"/>
  <c r="D53" i="7"/>
  <c r="D52" i="1"/>
  <c r="AI45" i="7"/>
  <c r="AJ45" i="7" s="1"/>
  <c r="B46" i="7"/>
  <c r="G53" i="1"/>
  <c r="E53" i="7"/>
  <c r="H52" i="1"/>
  <c r="AH51" i="7"/>
  <c r="H52" i="7" s="1"/>
  <c r="P45" i="7"/>
  <c r="B47" i="4" l="1"/>
  <c r="AM47" i="4"/>
  <c r="B48" i="4" s="1"/>
  <c r="I47" i="4"/>
  <c r="AS47" i="4"/>
  <c r="H48" i="4" s="1"/>
  <c r="C48" i="4"/>
  <c r="AP47" i="24"/>
  <c r="AQ45" i="22"/>
  <c r="AN48" i="29"/>
  <c r="G59" i="29"/>
  <c r="X59" i="29" s="1"/>
  <c r="AO48" i="29"/>
  <c r="H59" i="29"/>
  <c r="Y59" i="29" s="1"/>
  <c r="E59" i="29"/>
  <c r="V59" i="29" s="1"/>
  <c r="Z49" i="29"/>
  <c r="AG49" i="29" s="1"/>
  <c r="B50" i="29"/>
  <c r="S50" i="29" s="1"/>
  <c r="D59" i="29"/>
  <c r="U59" i="29" s="1"/>
  <c r="Y59" i="28"/>
  <c r="L60" i="28"/>
  <c r="I70" i="28"/>
  <c r="X60" i="28"/>
  <c r="W60" i="28"/>
  <c r="B63" i="28"/>
  <c r="D63" i="28"/>
  <c r="H62" i="28"/>
  <c r="I62" i="28" s="1"/>
  <c r="E63" i="28"/>
  <c r="I61" i="28"/>
  <c r="V61" i="28" s="1"/>
  <c r="G63" i="28"/>
  <c r="AP43" i="26"/>
  <c r="AO43" i="26"/>
  <c r="BD43" i="26"/>
  <c r="BJ43" i="26"/>
  <c r="H44" i="26" s="1"/>
  <c r="Y44" i="26" s="1"/>
  <c r="BH43" i="26"/>
  <c r="F44" i="26" s="1"/>
  <c r="BE43" i="26"/>
  <c r="C44" i="26" s="1"/>
  <c r="Y48" i="25"/>
  <c r="V49" i="25"/>
  <c r="AC49" i="25"/>
  <c r="AD49" i="25"/>
  <c r="U49" i="25"/>
  <c r="P49" i="25"/>
  <c r="AI49" i="25"/>
  <c r="AT49" i="25"/>
  <c r="AU49" i="25" s="1"/>
  <c r="AM49" i="25"/>
  <c r="B50" i="25" s="1"/>
  <c r="AS49" i="25"/>
  <c r="H50" i="25" s="1"/>
  <c r="AN49" i="25"/>
  <c r="C50" i="25" s="1"/>
  <c r="AJ49" i="25"/>
  <c r="J49" i="25"/>
  <c r="K49" i="25" s="1"/>
  <c r="L49" i="25" s="1"/>
  <c r="AQ49" i="25"/>
  <c r="Q49" i="25"/>
  <c r="AO47" i="24"/>
  <c r="AD46" i="22"/>
  <c r="AA46" i="22"/>
  <c r="AB46" i="22" s="1"/>
  <c r="AC46" i="22" s="1"/>
  <c r="BA46" i="22"/>
  <c r="BK46" i="22"/>
  <c r="AL46" i="22"/>
  <c r="AI46" i="22"/>
  <c r="AU46" i="22"/>
  <c r="AZ46" i="22"/>
  <c r="AN46" i="22"/>
  <c r="AX46" i="22"/>
  <c r="E57" i="21"/>
  <c r="V57" i="21" s="1"/>
  <c r="AT46" i="22"/>
  <c r="AD43" i="23"/>
  <c r="AA43" i="23"/>
  <c r="AB43" i="23" s="1"/>
  <c r="AC43" i="23" s="1"/>
  <c r="BA43" i="23"/>
  <c r="BK43" i="23"/>
  <c r="AI43" i="23"/>
  <c r="AU43" i="23"/>
  <c r="AX43" i="23"/>
  <c r="AL43" i="23"/>
  <c r="AZ43" i="23"/>
  <c r="AN43" i="23"/>
  <c r="AH46" i="22"/>
  <c r="B49" i="21"/>
  <c r="S49" i="21" s="1"/>
  <c r="Z48" i="21"/>
  <c r="AO47" i="21"/>
  <c r="AN47" i="21"/>
  <c r="D57" i="21"/>
  <c r="U57" i="21" s="1"/>
  <c r="H57" i="21"/>
  <c r="Y57" i="21" s="1"/>
  <c r="AH43" i="23"/>
  <c r="AT48" i="24"/>
  <c r="B49" i="24" s="1"/>
  <c r="S49" i="24" s="1"/>
  <c r="Z48" i="24"/>
  <c r="G57" i="21"/>
  <c r="X57" i="21" s="1"/>
  <c r="Y49" i="1"/>
  <c r="X50" i="1"/>
  <c r="W50" i="1"/>
  <c r="V51" i="1"/>
  <c r="Y46" i="4"/>
  <c r="R51" i="1"/>
  <c r="I52" i="1"/>
  <c r="C15" i="14" s="1"/>
  <c r="X45" i="7"/>
  <c r="W45" i="7"/>
  <c r="E53" i="1"/>
  <c r="H53" i="1"/>
  <c r="AB46" i="7"/>
  <c r="I46" i="7"/>
  <c r="G53" i="7"/>
  <c r="B54" i="1"/>
  <c r="G54" i="1"/>
  <c r="D53" i="1"/>
  <c r="J51" i="1"/>
  <c r="K51" i="1" s="1"/>
  <c r="L51" i="1" s="1"/>
  <c r="P51" i="1"/>
  <c r="U51" i="1"/>
  <c r="S51" i="1"/>
  <c r="BH46" i="22" l="1"/>
  <c r="G47" i="22" s="1"/>
  <c r="X47" i="22" s="1"/>
  <c r="BJ46" i="22"/>
  <c r="H47" i="22" s="1"/>
  <c r="Y47" i="22" s="1"/>
  <c r="BE46" i="22"/>
  <c r="C47" i="22" s="1"/>
  <c r="T47" i="22" s="1"/>
  <c r="BD46" i="22"/>
  <c r="AC47" i="4"/>
  <c r="U47" i="4"/>
  <c r="AH47" i="4"/>
  <c r="P47" i="4"/>
  <c r="Q47" i="4"/>
  <c r="AJ47" i="4"/>
  <c r="AT47" i="4"/>
  <c r="AU47" i="4" s="1"/>
  <c r="AD47" i="4"/>
  <c r="B10" i="14"/>
  <c r="V47" i="4"/>
  <c r="J47" i="4"/>
  <c r="K47" i="4" s="1"/>
  <c r="L47" i="4" s="1"/>
  <c r="AQ47" i="24"/>
  <c r="AI47" i="4"/>
  <c r="I48" i="4"/>
  <c r="AP47" i="21"/>
  <c r="AQ43" i="26"/>
  <c r="AP48" i="29"/>
  <c r="D60" i="29"/>
  <c r="U60" i="29" s="1"/>
  <c r="E60" i="29"/>
  <c r="V60" i="29" s="1"/>
  <c r="I50" i="29"/>
  <c r="J50" i="29" s="1"/>
  <c r="K50" i="29" s="1"/>
  <c r="L50" i="29" s="1"/>
  <c r="G60" i="29"/>
  <c r="X60" i="29" s="1"/>
  <c r="AA49" i="29"/>
  <c r="AB49" i="29" s="1"/>
  <c r="AC49" i="29" s="1"/>
  <c r="AD49" i="29"/>
  <c r="AL49" i="29"/>
  <c r="AM49" i="29"/>
  <c r="AH49" i="29"/>
  <c r="H60" i="29"/>
  <c r="Y60" i="29" s="1"/>
  <c r="Y60" i="28"/>
  <c r="J62" i="28"/>
  <c r="K62" i="28" s="1"/>
  <c r="L62" i="28" s="1"/>
  <c r="S62" i="28"/>
  <c r="U62" i="28"/>
  <c r="G64" i="28"/>
  <c r="G65" i="28" s="1"/>
  <c r="J61" i="28"/>
  <c r="K61" i="28" s="1"/>
  <c r="L61" i="28" s="1"/>
  <c r="U61" i="28"/>
  <c r="S61" i="28"/>
  <c r="R61" i="28"/>
  <c r="P61" i="28"/>
  <c r="H63" i="28"/>
  <c r="I63" i="28" s="1"/>
  <c r="J63" i="28" s="1"/>
  <c r="K63" i="28" s="1"/>
  <c r="L63" i="28" s="1"/>
  <c r="V62" i="28"/>
  <c r="P62" i="28"/>
  <c r="D64" i="28"/>
  <c r="D65" i="28" s="1"/>
  <c r="E64" i="28"/>
  <c r="E65" i="28" s="1"/>
  <c r="R62" i="28"/>
  <c r="B64" i="28"/>
  <c r="B65" i="28" s="1"/>
  <c r="B44" i="26"/>
  <c r="S44" i="26" s="1"/>
  <c r="BL43" i="26"/>
  <c r="X49" i="25"/>
  <c r="W49" i="25"/>
  <c r="I50" i="25"/>
  <c r="D58" i="21"/>
  <c r="U58" i="21" s="1"/>
  <c r="AP43" i="23"/>
  <c r="AO43" i="23"/>
  <c r="H58" i="21"/>
  <c r="Y58" i="21" s="1"/>
  <c r="I49" i="21"/>
  <c r="J49" i="21" s="1"/>
  <c r="K49" i="21" s="1"/>
  <c r="L49" i="21" s="1"/>
  <c r="BD43" i="23"/>
  <c r="BH43" i="23"/>
  <c r="F44" i="23" s="1"/>
  <c r="W44" i="23" s="1"/>
  <c r="BJ43" i="23"/>
  <c r="H44" i="23" s="1"/>
  <c r="Y44" i="23" s="1"/>
  <c r="BE43" i="23"/>
  <c r="C44" i="23" s="1"/>
  <c r="T44" i="23" s="1"/>
  <c r="BA48" i="24"/>
  <c r="BV48" i="24"/>
  <c r="AA48" i="24"/>
  <c r="AB48" i="24" s="1"/>
  <c r="AC48" i="24" s="1"/>
  <c r="AD48" i="24"/>
  <c r="BB48" i="24"/>
  <c r="AN48" i="24"/>
  <c r="AL48" i="24"/>
  <c r="BP48" i="24"/>
  <c r="BU48" i="24"/>
  <c r="AI48" i="24"/>
  <c r="BS48" i="24"/>
  <c r="I49" i="24"/>
  <c r="J49" i="24" s="1"/>
  <c r="K49" i="24" s="1"/>
  <c r="L49" i="24" s="1"/>
  <c r="AA48" i="21"/>
  <c r="AB48" i="21" s="1"/>
  <c r="AC48" i="21" s="1"/>
  <c r="AD48" i="21"/>
  <c r="AK48" i="21"/>
  <c r="AM48" i="21"/>
  <c r="AH48" i="21"/>
  <c r="E58" i="21"/>
  <c r="V58" i="21" s="1"/>
  <c r="G58" i="21"/>
  <c r="X58" i="21" s="1"/>
  <c r="AG48" i="21"/>
  <c r="BO48" i="24"/>
  <c r="AP46" i="22"/>
  <c r="AO46" i="22"/>
  <c r="AH48" i="24"/>
  <c r="Y50" i="1"/>
  <c r="U52" i="1"/>
  <c r="P52" i="1"/>
  <c r="R52" i="1"/>
  <c r="V52" i="1"/>
  <c r="S52" i="1"/>
  <c r="J52" i="1"/>
  <c r="K52" i="1" s="1"/>
  <c r="L52" i="1" s="1"/>
  <c r="X51" i="1"/>
  <c r="W51" i="1"/>
  <c r="P46" i="7"/>
  <c r="D9" i="14"/>
  <c r="Y45" i="7"/>
  <c r="G55" i="1"/>
  <c r="B55" i="1"/>
  <c r="AI46" i="7"/>
  <c r="AJ46" i="7" s="1"/>
  <c r="B47" i="7"/>
  <c r="D54" i="1"/>
  <c r="I53" i="1"/>
  <c r="C16" i="14" s="1"/>
  <c r="H54" i="1"/>
  <c r="E54" i="1"/>
  <c r="J46" i="7"/>
  <c r="K46" i="7" s="1"/>
  <c r="L46" i="7" s="1"/>
  <c r="Q46" i="7"/>
  <c r="T46" i="7"/>
  <c r="V46" i="7"/>
  <c r="B47" i="22" l="1"/>
  <c r="BL46" i="22"/>
  <c r="AD48" i="4"/>
  <c r="U48" i="4"/>
  <c r="AH48" i="4"/>
  <c r="X47" i="4"/>
  <c r="W47" i="4"/>
  <c r="P48" i="4"/>
  <c r="AI48" i="4"/>
  <c r="AT48" i="4"/>
  <c r="AS48" i="4" s="1"/>
  <c r="V48" i="4"/>
  <c r="AJ48" i="4"/>
  <c r="B11" i="14"/>
  <c r="AC48" i="4"/>
  <c r="Q48" i="4"/>
  <c r="J48" i="4"/>
  <c r="K48" i="4" s="1"/>
  <c r="L48" i="4" s="1"/>
  <c r="AQ46" i="22"/>
  <c r="AQ43" i="23"/>
  <c r="AO49" i="29"/>
  <c r="H61" i="29"/>
  <c r="Y61" i="29" s="1"/>
  <c r="E61" i="29"/>
  <c r="V61" i="29" s="1"/>
  <c r="G61" i="29"/>
  <c r="X61" i="29" s="1"/>
  <c r="AN49" i="29"/>
  <c r="Z50" i="29"/>
  <c r="B51" i="29"/>
  <c r="S51" i="29" s="1"/>
  <c r="D61" i="29"/>
  <c r="U61" i="29" s="1"/>
  <c r="H64" i="28"/>
  <c r="V63" i="28"/>
  <c r="W61" i="28"/>
  <c r="X61" i="28"/>
  <c r="P63" i="28"/>
  <c r="S63" i="28"/>
  <c r="X62" i="28"/>
  <c r="W62" i="28"/>
  <c r="R63" i="28"/>
  <c r="U63" i="28"/>
  <c r="I44" i="26"/>
  <c r="Y49" i="25"/>
  <c r="AR50" i="25"/>
  <c r="G51" i="25" s="1"/>
  <c r="AJ50" i="25"/>
  <c r="J50" i="25"/>
  <c r="K50" i="25" s="1"/>
  <c r="L50" i="25" s="1"/>
  <c r="AN50" i="25"/>
  <c r="AS50" i="25"/>
  <c r="H51" i="25" s="1"/>
  <c r="U50" i="25"/>
  <c r="AM50" i="25"/>
  <c r="B51" i="25" s="1"/>
  <c r="AT50" i="25"/>
  <c r="AU50" i="25" s="1"/>
  <c r="AH50" i="25"/>
  <c r="P50" i="25"/>
  <c r="V50" i="25"/>
  <c r="AC50" i="25"/>
  <c r="AD50" i="25"/>
  <c r="AI50" i="25"/>
  <c r="Q50" i="25"/>
  <c r="G59" i="21"/>
  <c r="X59" i="21" s="1"/>
  <c r="B44" i="23"/>
  <c r="BL43" i="23"/>
  <c r="E59" i="21"/>
  <c r="V59" i="21" s="1"/>
  <c r="AO48" i="24"/>
  <c r="AP48" i="24"/>
  <c r="AO48" i="21"/>
  <c r="AN48" i="21"/>
  <c r="Z49" i="24"/>
  <c r="AH49" i="24" s="1"/>
  <c r="AT49" i="24"/>
  <c r="B50" i="24" s="1"/>
  <c r="S50" i="24" s="1"/>
  <c r="H59" i="21"/>
  <c r="Y59" i="21" s="1"/>
  <c r="B50" i="21"/>
  <c r="S50" i="21" s="1"/>
  <c r="Z49" i="21"/>
  <c r="D59" i="21"/>
  <c r="U59" i="21" s="1"/>
  <c r="X52" i="1"/>
  <c r="W52" i="1"/>
  <c r="Y51" i="1"/>
  <c r="V53" i="1"/>
  <c r="X46" i="7"/>
  <c r="W46" i="7"/>
  <c r="H55" i="1"/>
  <c r="J53" i="1"/>
  <c r="K53" i="1" s="1"/>
  <c r="L53" i="1" s="1"/>
  <c r="P53" i="1"/>
  <c r="U53" i="1"/>
  <c r="I47" i="7"/>
  <c r="U47" i="7" s="1"/>
  <c r="AB47" i="7"/>
  <c r="B56" i="1"/>
  <c r="E55" i="1"/>
  <c r="D55" i="1"/>
  <c r="S53" i="1"/>
  <c r="R53" i="1"/>
  <c r="I54" i="1"/>
  <c r="G56" i="1"/>
  <c r="I47" i="22" l="1"/>
  <c r="J47" i="22" s="1"/>
  <c r="K47" i="22" s="1"/>
  <c r="L47" i="22" s="1"/>
  <c r="S47" i="22"/>
  <c r="AR48" i="4"/>
  <c r="G49" i="4" s="1"/>
  <c r="AR49" i="4" s="1"/>
  <c r="AN48" i="4"/>
  <c r="AM48" i="4"/>
  <c r="Y47" i="4"/>
  <c r="AU48" i="4"/>
  <c r="B49" i="4"/>
  <c r="AM49" i="4" s="1"/>
  <c r="H49" i="4"/>
  <c r="AS49" i="4" s="1"/>
  <c r="W48" i="4"/>
  <c r="X48" i="4"/>
  <c r="AP49" i="29"/>
  <c r="I64" i="28"/>
  <c r="U64" i="28" s="1"/>
  <c r="H65" i="28"/>
  <c r="Y52" i="1"/>
  <c r="AP48" i="21"/>
  <c r="AD50" i="29"/>
  <c r="AA50" i="29"/>
  <c r="AB50" i="29" s="1"/>
  <c r="AC50" i="29" s="1"/>
  <c r="AL50" i="29"/>
  <c r="AH50" i="29"/>
  <c r="AM50" i="29"/>
  <c r="E62" i="29"/>
  <c r="V62" i="29" s="1"/>
  <c r="D62" i="29"/>
  <c r="U62" i="29" s="1"/>
  <c r="AG50" i="29"/>
  <c r="I51" i="29"/>
  <c r="J51" i="29" s="1"/>
  <c r="K51" i="29" s="1"/>
  <c r="L51" i="29" s="1"/>
  <c r="G62" i="29"/>
  <c r="X62" i="29" s="1"/>
  <c r="H62" i="29"/>
  <c r="Y62" i="29" s="1"/>
  <c r="Y62" i="28"/>
  <c r="X63" i="28"/>
  <c r="W63" i="28"/>
  <c r="V64" i="28"/>
  <c r="P64" i="28"/>
  <c r="Y61" i="28"/>
  <c r="J44" i="26"/>
  <c r="K44" i="26" s="1"/>
  <c r="L44" i="26" s="1"/>
  <c r="Z44" i="26"/>
  <c r="AH44" i="26" s="1"/>
  <c r="D51" i="25"/>
  <c r="E51" i="25"/>
  <c r="W50" i="25"/>
  <c r="X50" i="25"/>
  <c r="BO49" i="24"/>
  <c r="H60" i="21"/>
  <c r="Y60" i="21" s="1"/>
  <c r="I50" i="21"/>
  <c r="J50" i="21" s="1"/>
  <c r="K50" i="21" s="1"/>
  <c r="L50" i="21" s="1"/>
  <c r="I44" i="23"/>
  <c r="S44" i="23"/>
  <c r="BA49" i="24"/>
  <c r="BV49" i="24"/>
  <c r="AD49" i="24"/>
  <c r="BB49" i="24"/>
  <c r="AA49" i="24"/>
  <c r="AB49" i="24" s="1"/>
  <c r="AC49" i="24" s="1"/>
  <c r="BU49" i="24"/>
  <c r="AN49" i="24"/>
  <c r="AI49" i="24"/>
  <c r="BP49" i="24"/>
  <c r="AM49" i="24"/>
  <c r="BT49" i="24"/>
  <c r="AQ48" i="24"/>
  <c r="AA49" i="21"/>
  <c r="AB49" i="21" s="1"/>
  <c r="AC49" i="21" s="1"/>
  <c r="AD49" i="21"/>
  <c r="AH49" i="21"/>
  <c r="AL49" i="21"/>
  <c r="AM49" i="21"/>
  <c r="G60" i="21"/>
  <c r="X60" i="21" s="1"/>
  <c r="I50" i="24"/>
  <c r="J50" i="24" s="1"/>
  <c r="K50" i="24" s="1"/>
  <c r="L50" i="24" s="1"/>
  <c r="D60" i="21"/>
  <c r="U60" i="21" s="1"/>
  <c r="E60" i="21"/>
  <c r="V60" i="21" s="1"/>
  <c r="AG49" i="21"/>
  <c r="X53" i="1"/>
  <c r="W53" i="1"/>
  <c r="S54" i="1"/>
  <c r="C17" i="14"/>
  <c r="Y46" i="7"/>
  <c r="P47" i="7"/>
  <c r="D10" i="14"/>
  <c r="B57" i="1"/>
  <c r="E56" i="1"/>
  <c r="J47" i="7"/>
  <c r="K47" i="7" s="1"/>
  <c r="L47" i="7" s="1"/>
  <c r="Q47" i="7"/>
  <c r="V47" i="7"/>
  <c r="G57" i="1"/>
  <c r="J54" i="1"/>
  <c r="K54" i="1" s="1"/>
  <c r="L54" i="1" s="1"/>
  <c r="P54" i="1"/>
  <c r="U54" i="1"/>
  <c r="R54" i="1"/>
  <c r="V54" i="1"/>
  <c r="D56" i="1"/>
  <c r="I55" i="1"/>
  <c r="C18" i="14" s="1"/>
  <c r="B48" i="7"/>
  <c r="AI47" i="7"/>
  <c r="AJ47" i="7" s="1"/>
  <c r="H56" i="1"/>
  <c r="Z47" i="22" l="1"/>
  <c r="AH47" i="22"/>
  <c r="AT47" i="22"/>
  <c r="S64" i="28"/>
  <c r="E49" i="4"/>
  <c r="AP49" i="4" s="1"/>
  <c r="D49" i="4"/>
  <c r="AO49" i="4" s="1"/>
  <c r="I49" i="4"/>
  <c r="U49" i="4" s="1"/>
  <c r="Y48" i="4"/>
  <c r="R64" i="28"/>
  <c r="X64" i="28" s="1"/>
  <c r="J64" i="28"/>
  <c r="K64" i="28" s="1"/>
  <c r="L64" i="28" s="1"/>
  <c r="Z51" i="29"/>
  <c r="AG51" i="29" s="1"/>
  <c r="B52" i="29"/>
  <c r="S52" i="29" s="1"/>
  <c r="D63" i="29"/>
  <c r="U63" i="29" s="1"/>
  <c r="H63" i="29"/>
  <c r="Y63" i="29" s="1"/>
  <c r="E63" i="29"/>
  <c r="V63" i="29" s="1"/>
  <c r="AO50" i="29"/>
  <c r="AN50" i="29"/>
  <c r="G63" i="29"/>
  <c r="X63" i="29" s="1"/>
  <c r="Y63" i="28"/>
  <c r="BA44" i="26"/>
  <c r="AA44" i="26"/>
  <c r="AB44" i="26" s="1"/>
  <c r="AC44" i="26" s="1"/>
  <c r="BK44" i="26"/>
  <c r="AD44" i="26"/>
  <c r="AZ44" i="26"/>
  <c r="AN44" i="26"/>
  <c r="AI44" i="26"/>
  <c r="AX44" i="26"/>
  <c r="AL44" i="26"/>
  <c r="AU44" i="26"/>
  <c r="AT44" i="26"/>
  <c r="I51" i="25"/>
  <c r="AT51" i="25" s="1"/>
  <c r="AU51" i="25" s="1"/>
  <c r="Y50" i="25"/>
  <c r="AO49" i="24"/>
  <c r="B51" i="21"/>
  <c r="Z50" i="21"/>
  <c r="AG50" i="21" s="1"/>
  <c r="G61" i="21"/>
  <c r="X61" i="21" s="1"/>
  <c r="H61" i="21"/>
  <c r="Y61" i="21" s="1"/>
  <c r="AO49" i="21"/>
  <c r="AN49" i="21"/>
  <c r="J44" i="23"/>
  <c r="K44" i="23" s="1"/>
  <c r="L44" i="23" s="1"/>
  <c r="Z50" i="24"/>
  <c r="BO50" i="24" s="1"/>
  <c r="AT50" i="24"/>
  <c r="B51" i="24" s="1"/>
  <c r="E61" i="21"/>
  <c r="V61" i="21" s="1"/>
  <c r="AP49" i="24"/>
  <c r="D61" i="21"/>
  <c r="U61" i="21" s="1"/>
  <c r="Z44" i="23"/>
  <c r="AT44" i="23" s="1"/>
  <c r="I56" i="1"/>
  <c r="C19" i="14" s="1"/>
  <c r="R55" i="1"/>
  <c r="V55" i="1"/>
  <c r="Y53" i="1"/>
  <c r="X54" i="1"/>
  <c r="W54" i="1"/>
  <c r="X47" i="7"/>
  <c r="W47" i="7"/>
  <c r="I48" i="7"/>
  <c r="U48" i="7" s="1"/>
  <c r="AB48" i="7"/>
  <c r="G58" i="1"/>
  <c r="E57" i="1"/>
  <c r="B58" i="1"/>
  <c r="H57" i="1"/>
  <c r="J55" i="1"/>
  <c r="K55" i="1" s="1"/>
  <c r="L55" i="1" s="1"/>
  <c r="P55" i="1"/>
  <c r="U55" i="1"/>
  <c r="S55" i="1"/>
  <c r="D57" i="1"/>
  <c r="W64" i="28" l="1"/>
  <c r="AY47" i="22"/>
  <c r="AA47" i="22"/>
  <c r="AB47" i="22" s="1"/>
  <c r="AC47" i="22" s="1"/>
  <c r="AI47" i="22"/>
  <c r="AP47" i="22" s="1"/>
  <c r="BK47" i="22"/>
  <c r="AL47" i="22"/>
  <c r="AX47" i="22"/>
  <c r="AZ47" i="22"/>
  <c r="AD47" i="22"/>
  <c r="AN47" i="22"/>
  <c r="BA47" i="22"/>
  <c r="AU47" i="22"/>
  <c r="R49" i="4"/>
  <c r="S49" i="4"/>
  <c r="AF49" i="4"/>
  <c r="AE49" i="4"/>
  <c r="AH49" i="4"/>
  <c r="AI49" i="4"/>
  <c r="B12" i="14"/>
  <c r="AJ49" i="4"/>
  <c r="J49" i="4"/>
  <c r="K49" i="4" s="1"/>
  <c r="L49" i="4" s="1"/>
  <c r="AT49" i="4"/>
  <c r="P49" i="4"/>
  <c r="V49" i="4"/>
  <c r="AC49" i="4"/>
  <c r="AQ49" i="24"/>
  <c r="Y64" i="28"/>
  <c r="AP50" i="29"/>
  <c r="G64" i="29"/>
  <c r="X64" i="29" s="1"/>
  <c r="D64" i="29"/>
  <c r="U64" i="29" s="1"/>
  <c r="H64" i="29"/>
  <c r="Y64" i="29" s="1"/>
  <c r="I52" i="29"/>
  <c r="J52" i="29" s="1"/>
  <c r="K52" i="29" s="1"/>
  <c r="L52" i="29" s="1"/>
  <c r="E64" i="29"/>
  <c r="V64" i="29" s="1"/>
  <c r="AA51" i="29"/>
  <c r="AB51" i="29" s="1"/>
  <c r="AC51" i="29" s="1"/>
  <c r="AD51" i="29"/>
  <c r="AI51" i="29"/>
  <c r="AJ51" i="29"/>
  <c r="AL51" i="29"/>
  <c r="AM51" i="29"/>
  <c r="AP44" i="26"/>
  <c r="AO44" i="26"/>
  <c r="BH44" i="26"/>
  <c r="F45" i="26" s="1"/>
  <c r="BE44" i="26"/>
  <c r="C45" i="26" s="1"/>
  <c r="BD44" i="26"/>
  <c r="BJ44" i="26"/>
  <c r="H45" i="26" s="1"/>
  <c r="Y45" i="26" s="1"/>
  <c r="AR51" i="25"/>
  <c r="G52" i="25" s="1"/>
  <c r="S51" i="25"/>
  <c r="U51" i="25"/>
  <c r="AE51" i="25"/>
  <c r="V51" i="25"/>
  <c r="AC51" i="25"/>
  <c r="AP51" i="25"/>
  <c r="E52" i="25" s="1"/>
  <c r="R51" i="25"/>
  <c r="AI51" i="25"/>
  <c r="AH51" i="25"/>
  <c r="J51" i="25"/>
  <c r="K51" i="25" s="1"/>
  <c r="L51" i="25" s="1"/>
  <c r="AF51" i="25"/>
  <c r="P51" i="25"/>
  <c r="AJ51" i="25"/>
  <c r="AM51" i="25"/>
  <c r="B52" i="25" s="1"/>
  <c r="AS51" i="25"/>
  <c r="H52" i="25" s="1"/>
  <c r="AO51" i="25"/>
  <c r="D52" i="25" s="1"/>
  <c r="AH50" i="24"/>
  <c r="AP49" i="21"/>
  <c r="H62" i="21"/>
  <c r="Y62" i="21" s="1"/>
  <c r="I51" i="24"/>
  <c r="J51" i="24" s="1"/>
  <c r="K51" i="24" s="1"/>
  <c r="L51" i="24" s="1"/>
  <c r="S51" i="24"/>
  <c r="E62" i="21"/>
  <c r="V62" i="21" s="1"/>
  <c r="I51" i="21"/>
  <c r="J51" i="21" s="1"/>
  <c r="K51" i="21" s="1"/>
  <c r="L51" i="21" s="1"/>
  <c r="S51" i="21"/>
  <c r="AD44" i="23"/>
  <c r="AA44" i="23"/>
  <c r="AB44" i="23" s="1"/>
  <c r="AC44" i="23" s="1"/>
  <c r="BA44" i="23"/>
  <c r="BK44" i="23"/>
  <c r="AX44" i="23"/>
  <c r="AZ44" i="23"/>
  <c r="AL44" i="23"/>
  <c r="AN44" i="23"/>
  <c r="AU44" i="23"/>
  <c r="AI44" i="23"/>
  <c r="BA50" i="24"/>
  <c r="BB50" i="24"/>
  <c r="AD50" i="24"/>
  <c r="BV50" i="24"/>
  <c r="AA50" i="24"/>
  <c r="AB50" i="24" s="1"/>
  <c r="AC50" i="24" s="1"/>
  <c r="AN50" i="24"/>
  <c r="BP50" i="24"/>
  <c r="BU50" i="24"/>
  <c r="AM50" i="24"/>
  <c r="AI50" i="24"/>
  <c r="BT50" i="24"/>
  <c r="G62" i="21"/>
  <c r="X62" i="21" s="1"/>
  <c r="AH44" i="23"/>
  <c r="D62" i="21"/>
  <c r="U62" i="21" s="1"/>
  <c r="AD50" i="21"/>
  <c r="AA50" i="21"/>
  <c r="AB50" i="21" s="1"/>
  <c r="AC50" i="21" s="1"/>
  <c r="AL50" i="21"/>
  <c r="AM50" i="21"/>
  <c r="AH50" i="21"/>
  <c r="P56" i="1"/>
  <c r="V56" i="1"/>
  <c r="S56" i="1"/>
  <c r="J56" i="1"/>
  <c r="K56" i="1" s="1"/>
  <c r="L56" i="1" s="1"/>
  <c r="R56" i="1"/>
  <c r="U56" i="1"/>
  <c r="Y54" i="1"/>
  <c r="P48" i="7"/>
  <c r="D11" i="14"/>
  <c r="X55" i="1"/>
  <c r="W55" i="1"/>
  <c r="Y47" i="7"/>
  <c r="D58" i="1"/>
  <c r="H58" i="1"/>
  <c r="E58" i="1"/>
  <c r="J48" i="7"/>
  <c r="K48" i="7" s="1"/>
  <c r="L48" i="7" s="1"/>
  <c r="Q48" i="7"/>
  <c r="V48" i="7"/>
  <c r="I57" i="1"/>
  <c r="G59" i="1"/>
  <c r="B59" i="1"/>
  <c r="B49" i="7"/>
  <c r="AI48" i="7"/>
  <c r="AJ48" i="7" s="1"/>
  <c r="BI47" i="22" l="1"/>
  <c r="G48" i="22" s="1"/>
  <c r="X48" i="22" s="1"/>
  <c r="BI48" i="22" s="1"/>
  <c r="BD47" i="22"/>
  <c r="BE47" i="22"/>
  <c r="C48" i="22" s="1"/>
  <c r="T48" i="22" s="1"/>
  <c r="BE48" i="22" s="1"/>
  <c r="BJ47" i="22"/>
  <c r="H48" i="22" s="1"/>
  <c r="Y48" i="22" s="1"/>
  <c r="BJ48" i="22" s="1"/>
  <c r="AO47" i="22"/>
  <c r="AQ47" i="22" s="1"/>
  <c r="E50" i="4"/>
  <c r="D50" i="4"/>
  <c r="H50" i="4"/>
  <c r="AS50" i="4" s="1"/>
  <c r="H51" i="4" s="1"/>
  <c r="AS51" i="4" s="1"/>
  <c r="B50" i="4"/>
  <c r="AU49" i="4"/>
  <c r="W49" i="4"/>
  <c r="X49" i="4"/>
  <c r="X65" i="29"/>
  <c r="G65" i="29"/>
  <c r="Y65" i="29"/>
  <c r="H65" i="29"/>
  <c r="E65" i="29"/>
  <c r="V65" i="29"/>
  <c r="U65" i="29"/>
  <c r="D65" i="29"/>
  <c r="AQ44" i="26"/>
  <c r="AO51" i="29"/>
  <c r="Z52" i="29"/>
  <c r="B53" i="29"/>
  <c r="S53" i="29" s="1"/>
  <c r="AN51" i="29"/>
  <c r="B45" i="26"/>
  <c r="S45" i="26" s="1"/>
  <c r="BL44" i="26"/>
  <c r="W51" i="25"/>
  <c r="X51" i="25"/>
  <c r="I52" i="25"/>
  <c r="P52" i="25" s="1"/>
  <c r="AP50" i="24"/>
  <c r="AN50" i="21"/>
  <c r="AO50" i="24"/>
  <c r="AO50" i="21"/>
  <c r="D63" i="21"/>
  <c r="U63" i="21" s="1"/>
  <c r="E63" i="21"/>
  <c r="V63" i="21" s="1"/>
  <c r="G63" i="21"/>
  <c r="X63" i="21" s="1"/>
  <c r="AO44" i="23"/>
  <c r="AP44" i="23"/>
  <c r="BE44" i="23"/>
  <c r="C45" i="23" s="1"/>
  <c r="T45" i="23" s="1"/>
  <c r="BJ44" i="23"/>
  <c r="H45" i="23" s="1"/>
  <c r="Y45" i="23" s="1"/>
  <c r="BH44" i="23"/>
  <c r="F45" i="23" s="1"/>
  <c r="W45" i="23" s="1"/>
  <c r="BD44" i="23"/>
  <c r="Z51" i="21"/>
  <c r="AG51" i="21" s="1"/>
  <c r="B52" i="21"/>
  <c r="AT51" i="24"/>
  <c r="B52" i="24" s="1"/>
  <c r="Z51" i="24"/>
  <c r="AH51" i="24" s="1"/>
  <c r="H63" i="21"/>
  <c r="Y63" i="21" s="1"/>
  <c r="X56" i="1"/>
  <c r="Y55" i="1"/>
  <c r="W56" i="1"/>
  <c r="I58" i="1"/>
  <c r="C21" i="14" s="1"/>
  <c r="R57" i="1"/>
  <c r="C20" i="14"/>
  <c r="X48" i="7"/>
  <c r="W48" i="7"/>
  <c r="B60" i="1"/>
  <c r="E59" i="1"/>
  <c r="I49" i="7"/>
  <c r="AB49" i="7"/>
  <c r="J57" i="1"/>
  <c r="K57" i="1" s="1"/>
  <c r="L57" i="1" s="1"/>
  <c r="U57" i="1"/>
  <c r="P57" i="1"/>
  <c r="V57" i="1"/>
  <c r="H59" i="1"/>
  <c r="G60" i="1"/>
  <c r="S57" i="1"/>
  <c r="D59" i="1"/>
  <c r="D12" i="14" l="1"/>
  <c r="S49" i="7"/>
  <c r="R49" i="7"/>
  <c r="U49" i="7"/>
  <c r="B48" i="22"/>
  <c r="BL47" i="22"/>
  <c r="AO50" i="4"/>
  <c r="D51" i="4" s="1"/>
  <c r="AO51" i="4" s="1"/>
  <c r="AP50" i="4"/>
  <c r="E51" i="4" s="1"/>
  <c r="AP51" i="4" s="1"/>
  <c r="G50" i="4"/>
  <c r="AR50" i="4" s="1"/>
  <c r="G51" i="4" s="1"/>
  <c r="AR51" i="4" s="1"/>
  <c r="AM50" i="4"/>
  <c r="B51" i="4" s="1"/>
  <c r="AM51" i="4" s="1"/>
  <c r="Y49" i="4"/>
  <c r="Y56" i="1"/>
  <c r="AQ50" i="24"/>
  <c r="AP51" i="29"/>
  <c r="I53" i="29"/>
  <c r="J53" i="29" s="1"/>
  <c r="K53" i="29" s="1"/>
  <c r="L53" i="29" s="1"/>
  <c r="AA52" i="29"/>
  <c r="AB52" i="29" s="1"/>
  <c r="AC52" i="29" s="1"/>
  <c r="AD52" i="29"/>
  <c r="AL52" i="29"/>
  <c r="AJ52" i="29"/>
  <c r="AI52" i="29"/>
  <c r="AM52" i="29"/>
  <c r="AG52" i="29"/>
  <c r="I45" i="26"/>
  <c r="J45" i="26" s="1"/>
  <c r="K45" i="26" s="1"/>
  <c r="L45" i="26" s="1"/>
  <c r="Y51" i="25"/>
  <c r="AM52" i="25"/>
  <c r="B53" i="25" s="1"/>
  <c r="AT52" i="25"/>
  <c r="AU52" i="25" s="1"/>
  <c r="AE52" i="25"/>
  <c r="AP52" i="25"/>
  <c r="E53" i="25" s="1"/>
  <c r="AF52" i="25"/>
  <c r="V52" i="25"/>
  <c r="AJ52" i="25"/>
  <c r="R52" i="25"/>
  <c r="AO52" i="25"/>
  <c r="D53" i="25" s="1"/>
  <c r="AS52" i="25"/>
  <c r="H53" i="25" s="1"/>
  <c r="AH52" i="25"/>
  <c r="S52" i="25"/>
  <c r="J52" i="25"/>
  <c r="K52" i="25" s="1"/>
  <c r="L52" i="25" s="1"/>
  <c r="AR52" i="25"/>
  <c r="G53" i="25" s="1"/>
  <c r="U52" i="25"/>
  <c r="AI52" i="25"/>
  <c r="AC52" i="25"/>
  <c r="AP50" i="21"/>
  <c r="D64" i="21"/>
  <c r="U64" i="21" s="1"/>
  <c r="U65" i="21" s="1"/>
  <c r="S52" i="24"/>
  <c r="I52" i="24"/>
  <c r="J52" i="24" s="1"/>
  <c r="K52" i="24" s="1"/>
  <c r="L52" i="24" s="1"/>
  <c r="G64" i="21"/>
  <c r="X64" i="21" s="1"/>
  <c r="X65" i="21" s="1"/>
  <c r="I52" i="21"/>
  <c r="J52" i="21" s="1"/>
  <c r="K52" i="21" s="1"/>
  <c r="L52" i="21" s="1"/>
  <c r="S52" i="21"/>
  <c r="E64" i="21"/>
  <c r="V64" i="21" s="1"/>
  <c r="V65" i="21" s="1"/>
  <c r="H64" i="21"/>
  <c r="Y64" i="21" s="1"/>
  <c r="Y65" i="21" s="1"/>
  <c r="AD51" i="21"/>
  <c r="AA51" i="21"/>
  <c r="AB51" i="21" s="1"/>
  <c r="AC51" i="21" s="1"/>
  <c r="AJ51" i="21"/>
  <c r="AI51" i="21"/>
  <c r="AM51" i="21"/>
  <c r="AL51" i="21"/>
  <c r="BV51" i="24"/>
  <c r="BA51" i="24"/>
  <c r="AD51" i="24"/>
  <c r="BB51" i="24"/>
  <c r="AA51" i="24"/>
  <c r="AB51" i="24" s="1"/>
  <c r="AC51" i="24" s="1"/>
  <c r="BT51" i="24"/>
  <c r="BU51" i="24"/>
  <c r="AN51" i="24"/>
  <c r="AM51" i="24"/>
  <c r="BQ51" i="24"/>
  <c r="AK51" i="24"/>
  <c r="AJ51" i="24"/>
  <c r="BR51" i="24"/>
  <c r="B45" i="23"/>
  <c r="BL44" i="23"/>
  <c r="BO51" i="24"/>
  <c r="AQ44" i="23"/>
  <c r="V58" i="1"/>
  <c r="P58" i="1"/>
  <c r="U58" i="1"/>
  <c r="R58" i="1"/>
  <c r="J58" i="1"/>
  <c r="K58" i="1" s="1"/>
  <c r="L58" i="1" s="1"/>
  <c r="S58" i="1"/>
  <c r="X57" i="1"/>
  <c r="W57" i="1"/>
  <c r="Y48" i="7"/>
  <c r="H60" i="1"/>
  <c r="J49" i="7"/>
  <c r="K49" i="7" s="1"/>
  <c r="L49" i="7" s="1"/>
  <c r="V49" i="7"/>
  <c r="D60" i="1"/>
  <c r="P49" i="7"/>
  <c r="E60" i="1"/>
  <c r="I59" i="1"/>
  <c r="C22" i="14" s="1"/>
  <c r="G61" i="1"/>
  <c r="AI49" i="7"/>
  <c r="AJ49" i="7" s="1"/>
  <c r="B50" i="7"/>
  <c r="B61" i="1"/>
  <c r="S48" i="22" l="1"/>
  <c r="I48" i="22"/>
  <c r="J48" i="22" s="1"/>
  <c r="K48" i="22" s="1"/>
  <c r="L48" i="22" s="1"/>
  <c r="H49" i="22"/>
  <c r="Y49" i="22" s="1"/>
  <c r="G49" i="22"/>
  <c r="X49" i="22" s="1"/>
  <c r="I51" i="4"/>
  <c r="AT51" i="4" s="1"/>
  <c r="I50" i="4"/>
  <c r="G65" i="21"/>
  <c r="E65" i="21"/>
  <c r="H65" i="21"/>
  <c r="D65" i="21"/>
  <c r="AO52" i="29"/>
  <c r="AN52" i="29"/>
  <c r="Z53" i="29"/>
  <c r="AG53" i="29" s="1"/>
  <c r="B54" i="29"/>
  <c r="S54" i="29" s="1"/>
  <c r="I67" i="28"/>
  <c r="I73" i="28"/>
  <c r="I65" i="28"/>
  <c r="I71" i="28" s="1"/>
  <c r="Z45" i="26"/>
  <c r="I53" i="25"/>
  <c r="U53" i="25" s="1"/>
  <c r="W52" i="25"/>
  <c r="X52" i="25"/>
  <c r="AP51" i="24"/>
  <c r="AO51" i="21"/>
  <c r="Z52" i="24"/>
  <c r="B53" i="24"/>
  <c r="Z52" i="21"/>
  <c r="AG52" i="21" s="1"/>
  <c r="B53" i="21"/>
  <c r="AN51" i="21"/>
  <c r="AO51" i="24"/>
  <c r="I45" i="23"/>
  <c r="J45" i="23" s="1"/>
  <c r="K45" i="23" s="1"/>
  <c r="L45" i="23" s="1"/>
  <c r="S45" i="23"/>
  <c r="X58" i="1"/>
  <c r="W58" i="1"/>
  <c r="I60" i="1"/>
  <c r="P60" i="1" s="1"/>
  <c r="Y57" i="1"/>
  <c r="X49" i="7"/>
  <c r="J59" i="1"/>
  <c r="K59" i="1" s="1"/>
  <c r="L59" i="1" s="1"/>
  <c r="U59" i="1"/>
  <c r="P59" i="1"/>
  <c r="G62" i="1"/>
  <c r="S59" i="1"/>
  <c r="E61" i="1"/>
  <c r="AH51" i="4"/>
  <c r="R59" i="1"/>
  <c r="H61" i="1"/>
  <c r="AB50" i="7"/>
  <c r="I50" i="7"/>
  <c r="W49" i="7"/>
  <c r="D61" i="1"/>
  <c r="V59" i="1"/>
  <c r="B62" i="1"/>
  <c r="R50" i="7" l="1"/>
  <c r="S50" i="7"/>
  <c r="AH52" i="24"/>
  <c r="AZ52" i="24"/>
  <c r="H53" i="24" s="1"/>
  <c r="Y53" i="24" s="1"/>
  <c r="V51" i="4"/>
  <c r="BD48" i="22"/>
  <c r="BL48" i="22" s="1"/>
  <c r="Z48" i="22"/>
  <c r="AH48" i="22"/>
  <c r="AT48" i="22"/>
  <c r="R50" i="4"/>
  <c r="S50" i="4"/>
  <c r="D49" i="22"/>
  <c r="U49" i="22" s="1"/>
  <c r="E49" i="22"/>
  <c r="V49" i="22" s="1"/>
  <c r="J50" i="4"/>
  <c r="K50" i="4" s="1"/>
  <c r="L50" i="4" s="1"/>
  <c r="AE50" i="4"/>
  <c r="AF50" i="4"/>
  <c r="P51" i="4"/>
  <c r="R51" i="4"/>
  <c r="AC51" i="4"/>
  <c r="AJ51" i="4"/>
  <c r="B14" i="14"/>
  <c r="AI50" i="4"/>
  <c r="U51" i="4"/>
  <c r="J51" i="4"/>
  <c r="K51" i="4" s="1"/>
  <c r="L51" i="4" s="1"/>
  <c r="AF51" i="4"/>
  <c r="V50" i="4"/>
  <c r="AE51" i="4"/>
  <c r="S51" i="4"/>
  <c r="AI51" i="4"/>
  <c r="U50" i="4"/>
  <c r="AH50" i="4"/>
  <c r="AC50" i="4"/>
  <c r="AJ50" i="4"/>
  <c r="B13" i="14"/>
  <c r="AT50" i="4"/>
  <c r="AU50" i="4" s="1"/>
  <c r="P50" i="4"/>
  <c r="AU51" i="4"/>
  <c r="G52" i="4"/>
  <c r="D52" i="4"/>
  <c r="H52" i="4"/>
  <c r="B52" i="4"/>
  <c r="E52" i="4"/>
  <c r="V53" i="25"/>
  <c r="AQ51" i="24"/>
  <c r="Y58" i="1"/>
  <c r="AP53" i="25"/>
  <c r="E54" i="25" s="1"/>
  <c r="AT53" i="25"/>
  <c r="AU53" i="25" s="1"/>
  <c r="AE53" i="25"/>
  <c r="BO52" i="24"/>
  <c r="R53" i="25"/>
  <c r="J53" i="25"/>
  <c r="K53" i="25" s="1"/>
  <c r="L53" i="25" s="1"/>
  <c r="Y52" i="25"/>
  <c r="AI53" i="25"/>
  <c r="AO53" i="25"/>
  <c r="D54" i="25" s="1"/>
  <c r="I54" i="29"/>
  <c r="J54" i="29" s="1"/>
  <c r="K54" i="29" s="1"/>
  <c r="L54" i="29" s="1"/>
  <c r="AP52" i="29"/>
  <c r="AA53" i="29"/>
  <c r="AB53" i="29" s="1"/>
  <c r="AC53" i="29" s="1"/>
  <c r="AD53" i="29"/>
  <c r="AM53" i="29"/>
  <c r="AJ53" i="29"/>
  <c r="AL53" i="29"/>
  <c r="AI53" i="29"/>
  <c r="I72" i="28"/>
  <c r="I66" i="28"/>
  <c r="I68" i="28" s="1"/>
  <c r="BK45" i="26"/>
  <c r="AD45" i="26"/>
  <c r="BA45" i="26"/>
  <c r="AA45" i="26"/>
  <c r="AB45" i="26" s="1"/>
  <c r="AC45" i="26" s="1"/>
  <c r="AN45" i="26"/>
  <c r="AI45" i="26"/>
  <c r="AX45" i="26"/>
  <c r="AL45" i="26"/>
  <c r="AZ45" i="26"/>
  <c r="AU45" i="26"/>
  <c r="AH45" i="26"/>
  <c r="AT45" i="26"/>
  <c r="P53" i="25"/>
  <c r="S53" i="25"/>
  <c r="AS53" i="25"/>
  <c r="H54" i="25" s="1"/>
  <c r="AJ53" i="25"/>
  <c r="AC53" i="25"/>
  <c r="AH53" i="25"/>
  <c r="AF53" i="25"/>
  <c r="AM53" i="25"/>
  <c r="B54" i="25" s="1"/>
  <c r="AR53" i="25"/>
  <c r="G54" i="25" s="1"/>
  <c r="AP51" i="21"/>
  <c r="Z45" i="23"/>
  <c r="AT45" i="23" s="1"/>
  <c r="AD52" i="21"/>
  <c r="AA52" i="21"/>
  <c r="AB52" i="21" s="1"/>
  <c r="AC52" i="21" s="1"/>
  <c r="AM52" i="21"/>
  <c r="AJ52" i="21"/>
  <c r="AI52" i="21"/>
  <c r="AL52" i="21"/>
  <c r="S53" i="21"/>
  <c r="I53" i="21"/>
  <c r="J53" i="21" s="1"/>
  <c r="K53" i="21" s="1"/>
  <c r="L53" i="21" s="1"/>
  <c r="I53" i="24"/>
  <c r="J53" i="24" s="1"/>
  <c r="K53" i="24" s="1"/>
  <c r="L53" i="24" s="1"/>
  <c r="BB52" i="24"/>
  <c r="AA52" i="24"/>
  <c r="AB52" i="24" s="1"/>
  <c r="AC52" i="24" s="1"/>
  <c r="BA52" i="24"/>
  <c r="BV52" i="24"/>
  <c r="AD52" i="24"/>
  <c r="AN52" i="24"/>
  <c r="AM52" i="24"/>
  <c r="BT52" i="24"/>
  <c r="BU52" i="24"/>
  <c r="AK52" i="24"/>
  <c r="AJ52" i="24"/>
  <c r="BR52" i="24"/>
  <c r="BQ52" i="24"/>
  <c r="V60" i="1"/>
  <c r="J60" i="1"/>
  <c r="I69" i="1" s="1"/>
  <c r="C10" i="8" s="1"/>
  <c r="S60" i="1"/>
  <c r="R60" i="1"/>
  <c r="U60" i="1"/>
  <c r="C23" i="14"/>
  <c r="Y49" i="7"/>
  <c r="I61" i="1"/>
  <c r="C24" i="14" s="1"/>
  <c r="X59" i="1"/>
  <c r="W59" i="1"/>
  <c r="P50" i="7"/>
  <c r="D13" i="14"/>
  <c r="D62" i="1"/>
  <c r="AI50" i="7"/>
  <c r="AJ50" i="7" s="1"/>
  <c r="B51" i="7"/>
  <c r="G63" i="1"/>
  <c r="J50" i="7"/>
  <c r="K50" i="7" s="1"/>
  <c r="L50" i="7" s="1"/>
  <c r="V50" i="7"/>
  <c r="U50" i="7"/>
  <c r="H62" i="1"/>
  <c r="E62" i="1"/>
  <c r="B63" i="1"/>
  <c r="K60" i="1"/>
  <c r="B49" i="22" l="1"/>
  <c r="AY48" i="22"/>
  <c r="AD48" i="22"/>
  <c r="AZ48" i="22"/>
  <c r="AL48" i="22"/>
  <c r="AO48" i="22" s="1"/>
  <c r="BK48" i="22"/>
  <c r="AA48" i="22"/>
  <c r="AB48" i="22" s="1"/>
  <c r="AC48" i="22" s="1"/>
  <c r="AU48" i="22"/>
  <c r="AN48" i="22"/>
  <c r="BA48" i="22"/>
  <c r="AI48" i="22"/>
  <c r="S49" i="22"/>
  <c r="I49" i="22"/>
  <c r="J49" i="22" s="1"/>
  <c r="K49" i="22" s="1"/>
  <c r="L49" i="22" s="1"/>
  <c r="X51" i="4"/>
  <c r="W51" i="4"/>
  <c r="X50" i="4"/>
  <c r="W50" i="4"/>
  <c r="I52" i="4"/>
  <c r="AE52" i="4" s="1"/>
  <c r="W53" i="25"/>
  <c r="AH45" i="23"/>
  <c r="W60" i="1"/>
  <c r="AO53" i="29"/>
  <c r="AN53" i="29"/>
  <c r="B55" i="29"/>
  <c r="S55" i="29" s="1"/>
  <c r="Z54" i="29"/>
  <c r="AG54" i="29" s="1"/>
  <c r="BD45" i="26"/>
  <c r="BJ45" i="26"/>
  <c r="H46" i="26" s="1"/>
  <c r="Y46" i="26" s="1"/>
  <c r="BH45" i="26"/>
  <c r="F46" i="26" s="1"/>
  <c r="BE45" i="26"/>
  <c r="C46" i="26" s="1"/>
  <c r="AP45" i="26"/>
  <c r="AO45" i="26"/>
  <c r="I54" i="25"/>
  <c r="V54" i="25" s="1"/>
  <c r="X53" i="25"/>
  <c r="AO52" i="24"/>
  <c r="AN52" i="21"/>
  <c r="Z53" i="21"/>
  <c r="B54" i="21"/>
  <c r="AP52" i="24"/>
  <c r="AO52" i="21"/>
  <c r="Z53" i="24"/>
  <c r="BK45" i="23"/>
  <c r="BA45" i="23"/>
  <c r="AD45" i="23"/>
  <c r="AA45" i="23"/>
  <c r="AB45" i="23" s="1"/>
  <c r="AC45" i="23" s="1"/>
  <c r="AI45" i="23"/>
  <c r="AL45" i="23"/>
  <c r="AZ45" i="23"/>
  <c r="AX45" i="23"/>
  <c r="AN45" i="23"/>
  <c r="AU45" i="23"/>
  <c r="X60" i="1"/>
  <c r="R61" i="1"/>
  <c r="V61" i="1"/>
  <c r="I62" i="1"/>
  <c r="P62" i="1" s="1"/>
  <c r="P61" i="1"/>
  <c r="U61" i="1"/>
  <c r="S61" i="1"/>
  <c r="J61" i="1"/>
  <c r="K61" i="1" s="1"/>
  <c r="L61" i="1" s="1"/>
  <c r="Y59" i="1"/>
  <c r="X50" i="7"/>
  <c r="W50" i="7"/>
  <c r="E63" i="1"/>
  <c r="G64" i="1"/>
  <c r="G65" i="1" s="1"/>
  <c r="AB51" i="7"/>
  <c r="I51" i="7"/>
  <c r="I70" i="1"/>
  <c r="C11" i="8" s="1"/>
  <c r="L60" i="1"/>
  <c r="B64" i="1"/>
  <c r="D63" i="1"/>
  <c r="H63" i="1"/>
  <c r="S51" i="7" l="1"/>
  <c r="R51" i="7"/>
  <c r="AP48" i="22"/>
  <c r="AQ48" i="22" s="1"/>
  <c r="Y51" i="4"/>
  <c r="AV53" i="24"/>
  <c r="D54" i="24" s="1"/>
  <c r="U54" i="24" s="1"/>
  <c r="AV54" i="24" s="1"/>
  <c r="AZ53" i="24"/>
  <c r="H54" i="24" s="1"/>
  <c r="Y54" i="24" s="1"/>
  <c r="AZ54" i="24" s="1"/>
  <c r="AT53" i="24"/>
  <c r="B54" i="24" s="1"/>
  <c r="S54" i="24" s="1"/>
  <c r="AT54" i="24" s="1"/>
  <c r="AY53" i="24"/>
  <c r="G54" i="24" s="1"/>
  <c r="X54" i="24" s="1"/>
  <c r="AY54" i="24" s="1"/>
  <c r="AW53" i="24"/>
  <c r="E54" i="24" s="1"/>
  <c r="V54" i="24" s="1"/>
  <c r="AW54" i="24" s="1"/>
  <c r="Z49" i="22"/>
  <c r="AT49" i="22"/>
  <c r="Y50" i="4"/>
  <c r="R52" i="4"/>
  <c r="AI52" i="4"/>
  <c r="Y60" i="1"/>
  <c r="B15" i="14"/>
  <c r="J52" i="4"/>
  <c r="K52" i="4" s="1"/>
  <c r="L52" i="4" s="1"/>
  <c r="AH52" i="4"/>
  <c r="AF52" i="4"/>
  <c r="AT52" i="4"/>
  <c r="P52" i="4"/>
  <c r="S52" i="4"/>
  <c r="U52" i="4"/>
  <c r="AJ52" i="4"/>
  <c r="AC52" i="4"/>
  <c r="V52" i="4"/>
  <c r="S54" i="25"/>
  <c r="AP45" i="23"/>
  <c r="AT54" i="25"/>
  <c r="AU54" i="25" s="1"/>
  <c r="J54" i="25"/>
  <c r="K54" i="25" s="1"/>
  <c r="L54" i="25" s="1"/>
  <c r="U54" i="25"/>
  <c r="Y53" i="25"/>
  <c r="AQ45" i="26"/>
  <c r="AP53" i="29"/>
  <c r="AO45" i="23"/>
  <c r="AQ45" i="23" s="1"/>
  <c r="B65" i="1"/>
  <c r="AQ52" i="24"/>
  <c r="I55" i="29"/>
  <c r="J55" i="29" s="1"/>
  <c r="K55" i="29" s="1"/>
  <c r="L55" i="29" s="1"/>
  <c r="AA54" i="29"/>
  <c r="AB54" i="29" s="1"/>
  <c r="AC54" i="29" s="1"/>
  <c r="AD54" i="29"/>
  <c r="AI54" i="29"/>
  <c r="AL54" i="29"/>
  <c r="AJ54" i="29"/>
  <c r="AM54" i="29"/>
  <c r="B46" i="26"/>
  <c r="S46" i="26" s="1"/>
  <c r="BL45" i="26"/>
  <c r="AE54" i="25"/>
  <c r="AP54" i="25"/>
  <c r="E55" i="25" s="1"/>
  <c r="AM54" i="25"/>
  <c r="B55" i="25" s="1"/>
  <c r="AF54" i="25"/>
  <c r="R54" i="25"/>
  <c r="P54" i="25"/>
  <c r="AR54" i="25"/>
  <c r="G55" i="25" s="1"/>
  <c r="AS54" i="25"/>
  <c r="H55" i="25" s="1"/>
  <c r="AC54" i="25"/>
  <c r="AI54" i="25"/>
  <c r="AJ54" i="25"/>
  <c r="AO54" i="25"/>
  <c r="D55" i="25" s="1"/>
  <c r="AH54" i="25"/>
  <c r="AP52" i="21"/>
  <c r="AA53" i="24"/>
  <c r="AB53" i="24" s="1"/>
  <c r="AC53" i="24" s="1"/>
  <c r="AD53" i="24"/>
  <c r="BV53" i="24"/>
  <c r="BA53" i="24"/>
  <c r="BT53" i="24"/>
  <c r="AM53" i="24"/>
  <c r="AN53" i="24"/>
  <c r="BU53" i="24"/>
  <c r="BR53" i="24"/>
  <c r="AK53" i="24"/>
  <c r="AJ53" i="24"/>
  <c r="BQ53" i="24"/>
  <c r="I54" i="21"/>
  <c r="J54" i="21" s="1"/>
  <c r="K54" i="21" s="1"/>
  <c r="L54" i="21" s="1"/>
  <c r="S54" i="21"/>
  <c r="AD53" i="21"/>
  <c r="AA53" i="21"/>
  <c r="AB53" i="21" s="1"/>
  <c r="AC53" i="21" s="1"/>
  <c r="AJ53" i="21"/>
  <c r="AI53" i="21"/>
  <c r="AM53" i="21"/>
  <c r="AL53" i="21"/>
  <c r="BJ45" i="23"/>
  <c r="H46" i="23" s="1"/>
  <c r="Y46" i="23" s="1"/>
  <c r="BE45" i="23"/>
  <c r="C46" i="23" s="1"/>
  <c r="T46" i="23" s="1"/>
  <c r="BD45" i="23"/>
  <c r="BH45" i="23"/>
  <c r="F46" i="23" s="1"/>
  <c r="W46" i="23" s="1"/>
  <c r="BO53" i="24"/>
  <c r="AH53" i="24"/>
  <c r="AG53" i="21"/>
  <c r="C25" i="14"/>
  <c r="U62" i="1"/>
  <c r="R62" i="1"/>
  <c r="J62" i="1"/>
  <c r="K62" i="1" s="1"/>
  <c r="L62" i="1" s="1"/>
  <c r="W61" i="1"/>
  <c r="V62" i="1"/>
  <c r="S62" i="1"/>
  <c r="X61" i="1"/>
  <c r="Y50" i="7"/>
  <c r="P51" i="7"/>
  <c r="D14" i="14"/>
  <c r="D64" i="1"/>
  <c r="D65" i="1" s="1"/>
  <c r="B52" i="7"/>
  <c r="AI51" i="7"/>
  <c r="AJ51" i="7" s="1"/>
  <c r="I63" i="1"/>
  <c r="V63" i="1" s="1"/>
  <c r="H64" i="1"/>
  <c r="H65" i="1" s="1"/>
  <c r="E64" i="1"/>
  <c r="E65" i="1" s="1"/>
  <c r="J51" i="7"/>
  <c r="K51" i="7" s="1"/>
  <c r="L51" i="7" s="1"/>
  <c r="U51" i="7"/>
  <c r="V51" i="7"/>
  <c r="AV49" i="22" l="1"/>
  <c r="AZ49" i="22"/>
  <c r="BB53" i="24"/>
  <c r="I54" i="24"/>
  <c r="J54" i="24" s="1"/>
  <c r="K54" i="24" s="1"/>
  <c r="L54" i="24" s="1"/>
  <c r="AH49" i="22"/>
  <c r="AD49" i="22"/>
  <c r="AN49" i="22"/>
  <c r="AA49" i="22"/>
  <c r="AB49" i="22" s="1"/>
  <c r="AC49" i="22" s="1"/>
  <c r="BK49" i="22"/>
  <c r="AM49" i="22"/>
  <c r="BA49" i="22"/>
  <c r="AY49" i="22"/>
  <c r="AI49" i="22"/>
  <c r="W54" i="25"/>
  <c r="Y54" i="25" s="1"/>
  <c r="X52" i="4"/>
  <c r="W52" i="4"/>
  <c r="AU52" i="4"/>
  <c r="AP52" i="4"/>
  <c r="E53" i="4" s="1"/>
  <c r="AS52" i="4"/>
  <c r="H53" i="4" s="1"/>
  <c r="AM52" i="4"/>
  <c r="AR52" i="4"/>
  <c r="G53" i="4" s="1"/>
  <c r="AO52" i="4"/>
  <c r="D53" i="4" s="1"/>
  <c r="X54" i="25"/>
  <c r="I55" i="25"/>
  <c r="S55" i="25" s="1"/>
  <c r="I65" i="1"/>
  <c r="X62" i="1"/>
  <c r="AN54" i="29"/>
  <c r="AO54" i="29"/>
  <c r="Z55" i="29"/>
  <c r="AG55" i="29" s="1"/>
  <c r="B56" i="29"/>
  <c r="S56" i="29" s="1"/>
  <c r="I46" i="26"/>
  <c r="J46" i="26" s="1"/>
  <c r="K46" i="26" s="1"/>
  <c r="L46" i="26" s="1"/>
  <c r="AH55" i="25"/>
  <c r="AJ55" i="25"/>
  <c r="B46" i="23"/>
  <c r="BL45" i="23"/>
  <c r="AO53" i="21"/>
  <c r="AN53" i="21"/>
  <c r="Z54" i="24"/>
  <c r="Z54" i="21"/>
  <c r="AG54" i="21" s="1"/>
  <c r="B55" i="21"/>
  <c r="AP53" i="24"/>
  <c r="AO53" i="24"/>
  <c r="Y61" i="1"/>
  <c r="W62" i="1"/>
  <c r="S63" i="1"/>
  <c r="R63" i="1"/>
  <c r="C26" i="14"/>
  <c r="X51" i="7"/>
  <c r="W51" i="7"/>
  <c r="I52" i="7"/>
  <c r="J63" i="1"/>
  <c r="K63" i="1" s="1"/>
  <c r="L63" i="1" s="1"/>
  <c r="U63" i="1"/>
  <c r="P63" i="1"/>
  <c r="I64" i="1"/>
  <c r="I77" i="1" l="1"/>
  <c r="I74" i="1"/>
  <c r="I76" i="1" s="1"/>
  <c r="AH52" i="7"/>
  <c r="H53" i="7" s="1"/>
  <c r="R52" i="7"/>
  <c r="S52" i="7"/>
  <c r="BF49" i="22"/>
  <c r="BJ49" i="22"/>
  <c r="BD49" i="22"/>
  <c r="BI49" i="22"/>
  <c r="BG49" i="22"/>
  <c r="E50" i="22" s="1"/>
  <c r="V50" i="22" s="1"/>
  <c r="BG50" i="22" s="1"/>
  <c r="B53" i="4"/>
  <c r="I75" i="1"/>
  <c r="I78" i="1"/>
  <c r="C13" i="8" s="1"/>
  <c r="H50" i="22"/>
  <c r="Y50" i="22" s="1"/>
  <c r="BJ50" i="22" s="1"/>
  <c r="G50" i="22"/>
  <c r="X50" i="22" s="1"/>
  <c r="BI50" i="22" s="1"/>
  <c r="D50" i="22"/>
  <c r="U50" i="22" s="1"/>
  <c r="BF50" i="22" s="1"/>
  <c r="AO49" i="22"/>
  <c r="AP49" i="22"/>
  <c r="AI55" i="25"/>
  <c r="AM55" i="25"/>
  <c r="B56" i="25" s="1"/>
  <c r="AE55" i="25"/>
  <c r="AS55" i="25"/>
  <c r="H56" i="25" s="1"/>
  <c r="V55" i="25"/>
  <c r="Y52" i="4"/>
  <c r="I53" i="4"/>
  <c r="S53" i="4" s="1"/>
  <c r="I71" i="1"/>
  <c r="AO55" i="25"/>
  <c r="D56" i="25" s="1"/>
  <c r="AP55" i="25"/>
  <c r="E56" i="25" s="1"/>
  <c r="AC55" i="25"/>
  <c r="AF55" i="25"/>
  <c r="J55" i="25"/>
  <c r="K55" i="25" s="1"/>
  <c r="L55" i="25" s="1"/>
  <c r="AR55" i="25"/>
  <c r="G56" i="25" s="1"/>
  <c r="U55" i="25"/>
  <c r="G55" i="24"/>
  <c r="X55" i="24" s="1"/>
  <c r="AY55" i="24" s="1"/>
  <c r="B55" i="24"/>
  <c r="S55" i="24" s="1"/>
  <c r="AT55" i="24" s="1"/>
  <c r="E55" i="24"/>
  <c r="V55" i="24" s="1"/>
  <c r="AW55" i="24" s="1"/>
  <c r="D55" i="24"/>
  <c r="U55" i="24" s="1"/>
  <c r="AV55" i="24" s="1"/>
  <c r="R55" i="25"/>
  <c r="Y62" i="1"/>
  <c r="AT55" i="25"/>
  <c r="AU55" i="25" s="1"/>
  <c r="P55" i="25"/>
  <c r="AP54" i="29"/>
  <c r="I56" i="29"/>
  <c r="J56" i="29" s="1"/>
  <c r="K56" i="29" s="1"/>
  <c r="L56" i="29" s="1"/>
  <c r="AD55" i="29"/>
  <c r="AA55" i="29"/>
  <c r="AB55" i="29" s="1"/>
  <c r="AC55" i="29" s="1"/>
  <c r="AI55" i="29"/>
  <c r="AM55" i="29"/>
  <c r="AJ55" i="29"/>
  <c r="AL55" i="29"/>
  <c r="Z46" i="26"/>
  <c r="AH46" i="26" s="1"/>
  <c r="AA54" i="24"/>
  <c r="AB54" i="24" s="1"/>
  <c r="AC54" i="24" s="1"/>
  <c r="H55" i="24"/>
  <c r="BA54" i="24"/>
  <c r="AD54" i="24"/>
  <c r="BV54" i="24"/>
  <c r="AM54" i="24"/>
  <c r="AN54" i="24"/>
  <c r="BT54" i="24"/>
  <c r="BU54" i="24"/>
  <c r="BR54" i="24"/>
  <c r="AK54" i="24"/>
  <c r="AJ54" i="24"/>
  <c r="BQ54" i="24"/>
  <c r="AH54" i="24"/>
  <c r="AQ53" i="24"/>
  <c r="AP53" i="21"/>
  <c r="S55" i="21"/>
  <c r="I55" i="21"/>
  <c r="J55" i="21" s="1"/>
  <c r="K55" i="21" s="1"/>
  <c r="L55" i="21" s="1"/>
  <c r="AD54" i="21"/>
  <c r="AA54" i="21"/>
  <c r="AB54" i="21" s="1"/>
  <c r="AC54" i="21" s="1"/>
  <c r="AM54" i="21"/>
  <c r="AI54" i="21"/>
  <c r="AL54" i="21"/>
  <c r="AJ54" i="21"/>
  <c r="BO54" i="24"/>
  <c r="S46" i="23"/>
  <c r="I46" i="23"/>
  <c r="J46" i="23" s="1"/>
  <c r="K46" i="23" s="1"/>
  <c r="L46" i="23" s="1"/>
  <c r="C27" i="14"/>
  <c r="J64" i="1"/>
  <c r="K64" i="1" s="1"/>
  <c r="L64" i="1" s="1"/>
  <c r="V64" i="1"/>
  <c r="S64" i="1"/>
  <c r="P52" i="7"/>
  <c r="D15" i="14"/>
  <c r="X63" i="1"/>
  <c r="W63" i="1"/>
  <c r="R64" i="1"/>
  <c r="Y51" i="7"/>
  <c r="J52" i="7"/>
  <c r="K52" i="7" s="1"/>
  <c r="L52" i="7" s="1"/>
  <c r="V52" i="7"/>
  <c r="U52" i="7"/>
  <c r="P64" i="1"/>
  <c r="U64" i="1"/>
  <c r="B53" i="7"/>
  <c r="AI52" i="7"/>
  <c r="AJ52" i="7" s="1"/>
  <c r="Y55" i="24" l="1"/>
  <c r="AZ55" i="24" s="1"/>
  <c r="I79" i="1"/>
  <c r="C12" i="8"/>
  <c r="AQ49" i="22"/>
  <c r="BL49" i="22"/>
  <c r="B50" i="22"/>
  <c r="I56" i="25"/>
  <c r="U56" i="25" s="1"/>
  <c r="P53" i="4"/>
  <c r="V53" i="4"/>
  <c r="AH53" i="4"/>
  <c r="AC53" i="4"/>
  <c r="AF53" i="4"/>
  <c r="B16" i="14"/>
  <c r="AJ53" i="4"/>
  <c r="AT53" i="4"/>
  <c r="J53" i="4"/>
  <c r="K53" i="4" s="1"/>
  <c r="L53" i="4" s="1"/>
  <c r="AE53" i="4"/>
  <c r="AI53" i="4"/>
  <c r="U53" i="4"/>
  <c r="R53" i="4"/>
  <c r="X55" i="25"/>
  <c r="W55" i="25"/>
  <c r="AN55" i="29"/>
  <c r="AO55" i="29"/>
  <c r="Z56" i="29"/>
  <c r="AG56" i="29" s="1"/>
  <c r="B57" i="29"/>
  <c r="S57" i="29" s="1"/>
  <c r="BA46" i="26"/>
  <c r="AA46" i="26"/>
  <c r="AB46" i="26" s="1"/>
  <c r="AC46" i="26" s="1"/>
  <c r="BK46" i="26"/>
  <c r="AD46" i="26"/>
  <c r="AI46" i="26"/>
  <c r="AZ46" i="26"/>
  <c r="AX46" i="26"/>
  <c r="AU46" i="26"/>
  <c r="AN46" i="26"/>
  <c r="AL46" i="26"/>
  <c r="AT46" i="26"/>
  <c r="S56" i="25"/>
  <c r="R56" i="25"/>
  <c r="AT56" i="25"/>
  <c r="AU56" i="25" s="1"/>
  <c r="AO56" i="25"/>
  <c r="D57" i="25" s="1"/>
  <c r="AS56" i="25"/>
  <c r="H57" i="25" s="1"/>
  <c r="AM56" i="25"/>
  <c r="B57" i="25" s="1"/>
  <c r="J56" i="25"/>
  <c r="K56" i="25" s="1"/>
  <c r="L56" i="25" s="1"/>
  <c r="AR56" i="25"/>
  <c r="G57" i="25" s="1"/>
  <c r="AP56" i="25"/>
  <c r="E57" i="25" s="1"/>
  <c r="AJ56" i="25"/>
  <c r="AH56" i="25"/>
  <c r="AF56" i="25"/>
  <c r="P56" i="25"/>
  <c r="V56" i="25"/>
  <c r="AE56" i="25"/>
  <c r="AC56" i="25"/>
  <c r="AI56" i="25"/>
  <c r="BB54" i="24"/>
  <c r="AN54" i="21"/>
  <c r="AO54" i="21"/>
  <c r="Z46" i="23"/>
  <c r="AT46" i="23" s="1"/>
  <c r="AP54" i="24"/>
  <c r="AO54" i="24"/>
  <c r="Z55" i="21"/>
  <c r="AG55" i="21" s="1"/>
  <c r="B56" i="21"/>
  <c r="I55" i="24"/>
  <c r="J55" i="24" s="1"/>
  <c r="K55" i="24" s="1"/>
  <c r="L55" i="24" s="1"/>
  <c r="I73" i="1"/>
  <c r="Y63" i="1"/>
  <c r="X64" i="1"/>
  <c r="W64" i="1"/>
  <c r="X52" i="7"/>
  <c r="W52" i="7"/>
  <c r="I53" i="7"/>
  <c r="Y55" i="25" l="1"/>
  <c r="S50" i="22"/>
  <c r="BD50" i="22" s="1"/>
  <c r="I50" i="22"/>
  <c r="J50" i="22" s="1"/>
  <c r="K50" i="22" s="1"/>
  <c r="L50" i="22" s="1"/>
  <c r="X53" i="4"/>
  <c r="AU53" i="4"/>
  <c r="AR53" i="4"/>
  <c r="G54" i="4" s="1"/>
  <c r="AO53" i="4"/>
  <c r="D54" i="4" s="1"/>
  <c r="AP53" i="4"/>
  <c r="E54" i="4" s="1"/>
  <c r="AS53" i="4"/>
  <c r="H54" i="4" s="1"/>
  <c r="AM53" i="4"/>
  <c r="W53" i="4"/>
  <c r="AD53" i="7"/>
  <c r="D54" i="7" s="1"/>
  <c r="AD54" i="7" s="1"/>
  <c r="AH53" i="7"/>
  <c r="H54" i="7" s="1"/>
  <c r="AH54" i="7" s="1"/>
  <c r="AB53" i="7"/>
  <c r="B54" i="7" s="1"/>
  <c r="AB54" i="7" s="1"/>
  <c r="AG53" i="7"/>
  <c r="G54" i="7" s="1"/>
  <c r="AG54" i="7" s="1"/>
  <c r="AE53" i="7"/>
  <c r="E54" i="7" s="1"/>
  <c r="AE54" i="7" s="1"/>
  <c r="AH46" i="23"/>
  <c r="AQ54" i="24"/>
  <c r="AP55" i="29"/>
  <c r="I57" i="29"/>
  <c r="J57" i="29" s="1"/>
  <c r="K57" i="29" s="1"/>
  <c r="L57" i="29" s="1"/>
  <c r="AD56" i="29"/>
  <c r="AA56" i="29"/>
  <c r="AB56" i="29" s="1"/>
  <c r="AC56" i="29" s="1"/>
  <c r="AJ56" i="29"/>
  <c r="AI56" i="29"/>
  <c r="AL56" i="29"/>
  <c r="AM56" i="29"/>
  <c r="AO46" i="26"/>
  <c r="BH46" i="26"/>
  <c r="F47" i="26" s="1"/>
  <c r="BE46" i="26"/>
  <c r="C47" i="26" s="1"/>
  <c r="BD46" i="26"/>
  <c r="BJ46" i="26"/>
  <c r="H47" i="26" s="1"/>
  <c r="Y47" i="26" s="1"/>
  <c r="AP46" i="26"/>
  <c r="I57" i="25"/>
  <c r="AI57" i="25" s="1"/>
  <c r="W56" i="25"/>
  <c r="X56" i="25"/>
  <c r="AP54" i="21"/>
  <c r="S56" i="21"/>
  <c r="I56" i="21"/>
  <c r="J56" i="21" s="1"/>
  <c r="K56" i="21" s="1"/>
  <c r="L56" i="21" s="1"/>
  <c r="AD55" i="21"/>
  <c r="AA55" i="21"/>
  <c r="AB55" i="21" s="1"/>
  <c r="AC55" i="21" s="1"/>
  <c r="AM55" i="21"/>
  <c r="AL55" i="21"/>
  <c r="AI55" i="21"/>
  <c r="AJ55" i="21"/>
  <c r="Z55" i="24"/>
  <c r="AA46" i="23"/>
  <c r="AB46" i="23" s="1"/>
  <c r="AC46" i="23" s="1"/>
  <c r="BA46" i="23"/>
  <c r="AD46" i="23"/>
  <c r="BK46" i="23"/>
  <c r="AI46" i="23"/>
  <c r="AU46" i="23"/>
  <c r="AL46" i="23"/>
  <c r="AX46" i="23"/>
  <c r="AZ46" i="23"/>
  <c r="AN46" i="23"/>
  <c r="I72" i="1"/>
  <c r="C14" i="8"/>
  <c r="I67" i="1"/>
  <c r="C8" i="8" s="1"/>
  <c r="I66" i="1"/>
  <c r="I68" i="1" s="1"/>
  <c r="C6" i="8"/>
  <c r="Y52" i="7"/>
  <c r="P53" i="7"/>
  <c r="D16" i="14"/>
  <c r="Y64" i="1"/>
  <c r="J53" i="7"/>
  <c r="K53" i="7" s="1"/>
  <c r="L53" i="7" s="1"/>
  <c r="S53" i="7"/>
  <c r="R53" i="7"/>
  <c r="U53" i="7"/>
  <c r="V53" i="7"/>
  <c r="B54" i="4" l="1"/>
  <c r="Y53" i="4"/>
  <c r="Z50" i="22"/>
  <c r="AV50" i="22" s="1"/>
  <c r="AP54" i="4"/>
  <c r="E55" i="4" s="1"/>
  <c r="AP55" i="4" s="1"/>
  <c r="E56" i="4" s="1"/>
  <c r="AI53" i="7"/>
  <c r="AJ53" i="7" s="1"/>
  <c r="AO54" i="4"/>
  <c r="D55" i="4" s="1"/>
  <c r="AO55" i="4" s="1"/>
  <c r="D56" i="4" s="1"/>
  <c r="AM54" i="4"/>
  <c r="B55" i="4" s="1"/>
  <c r="I54" i="4"/>
  <c r="S54" i="4" s="1"/>
  <c r="AR54" i="4"/>
  <c r="G55" i="4" s="1"/>
  <c r="AR55" i="4" s="1"/>
  <c r="G56" i="4" s="1"/>
  <c r="AS54" i="4"/>
  <c r="E56" i="24"/>
  <c r="V56" i="24" s="1"/>
  <c r="AW56" i="24" s="1"/>
  <c r="G56" i="24"/>
  <c r="X56" i="24" s="1"/>
  <c r="AY56" i="24" s="1"/>
  <c r="D56" i="24"/>
  <c r="U56" i="24" s="1"/>
  <c r="AV56" i="24" s="1"/>
  <c r="B56" i="24"/>
  <c r="H56" i="24"/>
  <c r="Y56" i="24" s="1"/>
  <c r="AZ56" i="24" s="1"/>
  <c r="AN55" i="24"/>
  <c r="AP46" i="23"/>
  <c r="AQ46" i="26"/>
  <c r="AO56" i="29"/>
  <c r="Z57" i="29"/>
  <c r="AG57" i="29" s="1"/>
  <c r="B58" i="29"/>
  <c r="S58" i="29" s="1"/>
  <c r="AN56" i="29"/>
  <c r="B47" i="26"/>
  <c r="S47" i="26" s="1"/>
  <c r="BL46" i="26"/>
  <c r="R57" i="25"/>
  <c r="AT57" i="25"/>
  <c r="AU57" i="25" s="1"/>
  <c r="AS57" i="25"/>
  <c r="H58" i="25" s="1"/>
  <c r="AR57" i="25"/>
  <c r="G58" i="25" s="1"/>
  <c r="AP57" i="25"/>
  <c r="E58" i="25" s="1"/>
  <c r="AJ57" i="25"/>
  <c r="AO57" i="25"/>
  <c r="D58" i="25" s="1"/>
  <c r="AM57" i="25"/>
  <c r="B58" i="25" s="1"/>
  <c r="J57" i="25"/>
  <c r="K57" i="25" s="1"/>
  <c r="L57" i="25" s="1"/>
  <c r="AE57" i="25"/>
  <c r="V57" i="25"/>
  <c r="Y56" i="25"/>
  <c r="AH57" i="25"/>
  <c r="S57" i="25"/>
  <c r="P57" i="25"/>
  <c r="U57" i="25"/>
  <c r="AF57" i="25"/>
  <c r="AC57" i="25"/>
  <c r="AO55" i="21"/>
  <c r="BE46" i="23"/>
  <c r="C47" i="23" s="1"/>
  <c r="T47" i="23" s="1"/>
  <c r="BD46" i="23"/>
  <c r="BJ46" i="23"/>
  <c r="H47" i="23" s="1"/>
  <c r="Y47" i="23" s="1"/>
  <c r="BH46" i="23"/>
  <c r="G47" i="23" s="1"/>
  <c r="X47" i="23" s="1"/>
  <c r="BT55" i="24"/>
  <c r="BR55" i="24"/>
  <c r="AM55" i="24"/>
  <c r="AA55" i="24"/>
  <c r="AB55" i="24" s="1"/>
  <c r="AC55" i="24" s="1"/>
  <c r="BA55" i="24"/>
  <c r="AJ55" i="24"/>
  <c r="AH55" i="24"/>
  <c r="BV55" i="24"/>
  <c r="AK55" i="24"/>
  <c r="AD55" i="24"/>
  <c r="BQ55" i="24"/>
  <c r="BO55" i="24"/>
  <c r="BU55" i="24"/>
  <c r="Z56" i="21"/>
  <c r="B57" i="21"/>
  <c r="AO46" i="23"/>
  <c r="AQ46" i="23" s="1"/>
  <c r="AN55" i="21"/>
  <c r="C9" i="8"/>
  <c r="C7" i="8"/>
  <c r="X53" i="7"/>
  <c r="W53" i="7"/>
  <c r="I54" i="7"/>
  <c r="AH50" i="22" l="1"/>
  <c r="AT50" i="22"/>
  <c r="BA50" i="22"/>
  <c r="AD50" i="22"/>
  <c r="AI50" i="22"/>
  <c r="AN50" i="22"/>
  <c r="AZ50" i="22"/>
  <c r="AM50" i="22"/>
  <c r="BK50" i="22"/>
  <c r="AY50" i="22"/>
  <c r="AA50" i="22"/>
  <c r="AB50" i="22" s="1"/>
  <c r="AC50" i="22" s="1"/>
  <c r="V54" i="4"/>
  <c r="P54" i="4"/>
  <c r="AI54" i="4"/>
  <c r="AH54" i="4"/>
  <c r="AM55" i="4"/>
  <c r="B56" i="4" s="1"/>
  <c r="AF54" i="4"/>
  <c r="U54" i="4"/>
  <c r="AC54" i="4"/>
  <c r="R54" i="4"/>
  <c r="AE54" i="4"/>
  <c r="AJ54" i="4"/>
  <c r="J54" i="4"/>
  <c r="K54" i="4" s="1"/>
  <c r="L54" i="4" s="1"/>
  <c r="AT54" i="4"/>
  <c r="B17" i="14"/>
  <c r="D17" i="14"/>
  <c r="B55" i="7"/>
  <c r="AB55" i="7" s="1"/>
  <c r="E55" i="7"/>
  <c r="AE55" i="7" s="1"/>
  <c r="G55" i="7"/>
  <c r="AG55" i="7" s="1"/>
  <c r="D55" i="7"/>
  <c r="AD55" i="7" s="1"/>
  <c r="AP55" i="21"/>
  <c r="AP56" i="29"/>
  <c r="I58" i="29"/>
  <c r="J58" i="29" s="1"/>
  <c r="K58" i="29" s="1"/>
  <c r="L58" i="29" s="1"/>
  <c r="AD57" i="29"/>
  <c r="AA57" i="29"/>
  <c r="AB57" i="29" s="1"/>
  <c r="AC57" i="29" s="1"/>
  <c r="AJ57" i="29"/>
  <c r="AL57" i="29"/>
  <c r="AI57" i="29"/>
  <c r="AM57" i="29"/>
  <c r="I47" i="26"/>
  <c r="J47" i="26" s="1"/>
  <c r="K47" i="26" s="1"/>
  <c r="L47" i="26" s="1"/>
  <c r="I58" i="25"/>
  <c r="AC58" i="25" s="1"/>
  <c r="X57" i="25"/>
  <c r="W57" i="25"/>
  <c r="BB55" i="24"/>
  <c r="S57" i="21"/>
  <c r="I57" i="21"/>
  <c r="J57" i="21" s="1"/>
  <c r="K57" i="21" s="1"/>
  <c r="L57" i="21" s="1"/>
  <c r="AD56" i="21"/>
  <c r="AA56" i="21"/>
  <c r="AB56" i="21" s="1"/>
  <c r="AC56" i="21" s="1"/>
  <c r="AI56" i="21"/>
  <c r="AM56" i="21"/>
  <c r="AJ56" i="21"/>
  <c r="AL56" i="21"/>
  <c r="D57" i="24"/>
  <c r="U57" i="24" s="1"/>
  <c r="H57" i="24"/>
  <c r="Y57" i="24" s="1"/>
  <c r="G57" i="24"/>
  <c r="X57" i="24" s="1"/>
  <c r="AG56" i="21"/>
  <c r="S56" i="24"/>
  <c r="AT56" i="24" s="1"/>
  <c r="I56" i="24"/>
  <c r="J56" i="24" s="1"/>
  <c r="K56" i="24" s="1"/>
  <c r="L56" i="24" s="1"/>
  <c r="E57" i="24"/>
  <c r="V57" i="24" s="1"/>
  <c r="B47" i="23"/>
  <c r="BL46" i="23"/>
  <c r="AP55" i="24"/>
  <c r="AO55" i="24"/>
  <c r="Y53" i="7"/>
  <c r="P54" i="7"/>
  <c r="J54" i="7"/>
  <c r="K54" i="7" s="1"/>
  <c r="L54" i="7" s="1"/>
  <c r="R54" i="7"/>
  <c r="S54" i="7"/>
  <c r="V54" i="7"/>
  <c r="U54" i="7"/>
  <c r="AP50" i="22" l="1"/>
  <c r="D51" i="22"/>
  <c r="U51" i="22" s="1"/>
  <c r="H51" i="22"/>
  <c r="Y51" i="22" s="1"/>
  <c r="G51" i="22"/>
  <c r="X51" i="22" s="1"/>
  <c r="E51" i="22"/>
  <c r="V51" i="22" s="1"/>
  <c r="AO50" i="22"/>
  <c r="AQ50" i="22" s="1"/>
  <c r="X54" i="4"/>
  <c r="W54" i="4"/>
  <c r="H55" i="4"/>
  <c r="AU54" i="4"/>
  <c r="AQ55" i="24"/>
  <c r="AO57" i="29"/>
  <c r="Z58" i="29"/>
  <c r="AG58" i="29" s="1"/>
  <c r="B59" i="29"/>
  <c r="S59" i="29" s="1"/>
  <c r="AN57" i="29"/>
  <c r="Z47" i="26"/>
  <c r="V58" i="25"/>
  <c r="AI58" i="25"/>
  <c r="AH58" i="25"/>
  <c r="R58" i="25"/>
  <c r="AR58" i="25"/>
  <c r="G59" i="25" s="1"/>
  <c r="AP58" i="25"/>
  <c r="E59" i="25" s="1"/>
  <c r="AJ58" i="25"/>
  <c r="AO58" i="25"/>
  <c r="D59" i="25" s="1"/>
  <c r="AM58" i="25"/>
  <c r="B59" i="25" s="1"/>
  <c r="J58" i="25"/>
  <c r="K58" i="25" s="1"/>
  <c r="L58" i="25" s="1"/>
  <c r="AS58" i="25"/>
  <c r="H59" i="25" s="1"/>
  <c r="AT58" i="25"/>
  <c r="AU58" i="25" s="1"/>
  <c r="AE58" i="25"/>
  <c r="U58" i="25"/>
  <c r="S58" i="25"/>
  <c r="Y57" i="25"/>
  <c r="P58" i="25"/>
  <c r="AF58" i="25"/>
  <c r="S47" i="23"/>
  <c r="I47" i="23"/>
  <c r="J47" i="23" s="1"/>
  <c r="K47" i="23" s="1"/>
  <c r="L47" i="23" s="1"/>
  <c r="AY57" i="24"/>
  <c r="G58" i="24" s="1"/>
  <c r="X58" i="24" s="1"/>
  <c r="B57" i="24"/>
  <c r="Z56" i="24"/>
  <c r="AH56" i="24" s="1"/>
  <c r="AN56" i="21"/>
  <c r="AO56" i="21"/>
  <c r="AZ57" i="24"/>
  <c r="H58" i="24" s="1"/>
  <c r="Y58" i="24" s="1"/>
  <c r="AW57" i="24"/>
  <c r="E58" i="24" s="1"/>
  <c r="V58" i="24" s="1"/>
  <c r="AV57" i="24"/>
  <c r="D58" i="24" s="1"/>
  <c r="U58" i="24" s="1"/>
  <c r="Z57" i="21"/>
  <c r="AG57" i="21" s="1"/>
  <c r="B58" i="21"/>
  <c r="W54" i="7"/>
  <c r="X54" i="7"/>
  <c r="AI54" i="7"/>
  <c r="AJ54" i="7" s="1"/>
  <c r="H55" i="7"/>
  <c r="AH55" i="7" s="1"/>
  <c r="B51" i="22" l="1"/>
  <c r="BL50" i="22"/>
  <c r="Y54" i="4"/>
  <c r="AS55" i="4"/>
  <c r="H56" i="4" s="1"/>
  <c r="I55" i="4"/>
  <c r="AI55" i="4" s="1"/>
  <c r="AP57" i="29"/>
  <c r="I59" i="29"/>
  <c r="J59" i="29" s="1"/>
  <c r="K59" i="29" s="1"/>
  <c r="L59" i="29" s="1"/>
  <c r="AD58" i="29"/>
  <c r="AA58" i="29"/>
  <c r="AB58" i="29" s="1"/>
  <c r="AC58" i="29" s="1"/>
  <c r="AI58" i="29"/>
  <c r="AM58" i="29"/>
  <c r="AL58" i="29"/>
  <c r="AJ58" i="29"/>
  <c r="BK47" i="26"/>
  <c r="AD47" i="26"/>
  <c r="BA47" i="26"/>
  <c r="AA47" i="26"/>
  <c r="AB47" i="26" s="1"/>
  <c r="AC47" i="26" s="1"/>
  <c r="AZ47" i="26"/>
  <c r="AU47" i="26"/>
  <c r="AN47" i="26"/>
  <c r="AI47" i="26"/>
  <c r="AX47" i="26"/>
  <c r="AL47" i="26"/>
  <c r="AH47" i="26"/>
  <c r="AT47" i="26"/>
  <c r="X58" i="25"/>
  <c r="W58" i="25"/>
  <c r="I59" i="25"/>
  <c r="P59" i="25" s="1"/>
  <c r="BA56" i="24"/>
  <c r="BV56" i="24"/>
  <c r="BB56" i="24"/>
  <c r="AA56" i="24"/>
  <c r="AB56" i="24" s="1"/>
  <c r="AC56" i="24" s="1"/>
  <c r="AD56" i="24"/>
  <c r="BQ56" i="24"/>
  <c r="AM56" i="24"/>
  <c r="AJ56" i="24"/>
  <c r="AK56" i="24"/>
  <c r="BR56" i="24"/>
  <c r="BU56" i="24"/>
  <c r="AN56" i="24"/>
  <c r="BT56" i="24"/>
  <c r="I58" i="21"/>
  <c r="J58" i="21" s="1"/>
  <c r="K58" i="21" s="1"/>
  <c r="L58" i="21" s="1"/>
  <c r="S58" i="21"/>
  <c r="I57" i="24"/>
  <c r="J57" i="24" s="1"/>
  <c r="K57" i="24" s="1"/>
  <c r="L57" i="24" s="1"/>
  <c r="S57" i="24"/>
  <c r="G59" i="24"/>
  <c r="AD57" i="21"/>
  <c r="AA57" i="21"/>
  <c r="AB57" i="21" s="1"/>
  <c r="AC57" i="21" s="1"/>
  <c r="AM57" i="21"/>
  <c r="AI57" i="21"/>
  <c r="AJ57" i="21"/>
  <c r="AL57" i="21"/>
  <c r="E59" i="24"/>
  <c r="BO56" i="24"/>
  <c r="D59" i="24"/>
  <c r="AP56" i="21"/>
  <c r="Z47" i="23"/>
  <c r="AH47" i="23" s="1"/>
  <c r="Y54" i="7"/>
  <c r="I55" i="7"/>
  <c r="I51" i="22" l="1"/>
  <c r="J51" i="22" s="1"/>
  <c r="K51" i="22" s="1"/>
  <c r="L51" i="22" s="1"/>
  <c r="S51" i="22"/>
  <c r="V55" i="4"/>
  <c r="AJ55" i="4"/>
  <c r="S55" i="4"/>
  <c r="AT55" i="4"/>
  <c r="AU55" i="4" s="1"/>
  <c r="AF55" i="4"/>
  <c r="B18" i="14"/>
  <c r="R55" i="4"/>
  <c r="AE55" i="4"/>
  <c r="J55" i="4"/>
  <c r="K55" i="4" s="1"/>
  <c r="L55" i="4" s="1"/>
  <c r="AC55" i="4"/>
  <c r="U55" i="4"/>
  <c r="P55" i="4"/>
  <c r="AH55" i="4"/>
  <c r="I56" i="4"/>
  <c r="AO57" i="21"/>
  <c r="AP56" i="24"/>
  <c r="AO58" i="29"/>
  <c r="Z59" i="29"/>
  <c r="AG59" i="29" s="1"/>
  <c r="B60" i="29"/>
  <c r="S60" i="29" s="1"/>
  <c r="AN58" i="29"/>
  <c r="BD47" i="26"/>
  <c r="BJ47" i="26"/>
  <c r="H48" i="26" s="1"/>
  <c r="Y48" i="26" s="1"/>
  <c r="BH47" i="26"/>
  <c r="F48" i="26" s="1"/>
  <c r="BE47" i="26"/>
  <c r="C48" i="26" s="1"/>
  <c r="AP47" i="26"/>
  <c r="AO47" i="26"/>
  <c r="AF59" i="25"/>
  <c r="Y58" i="25"/>
  <c r="AI59" i="25"/>
  <c r="U59" i="25"/>
  <c r="AS59" i="25"/>
  <c r="H60" i="25" s="1"/>
  <c r="AM59" i="25"/>
  <c r="B60" i="25" s="1"/>
  <c r="AR59" i="25"/>
  <c r="G60" i="25" s="1"/>
  <c r="J59" i="25"/>
  <c r="K59" i="25" s="1"/>
  <c r="L59" i="25" s="1"/>
  <c r="AJ59" i="25"/>
  <c r="AT59" i="25"/>
  <c r="AU59" i="25" s="1"/>
  <c r="AO59" i="25"/>
  <c r="D60" i="25" s="1"/>
  <c r="AP59" i="25"/>
  <c r="E60" i="25" s="1"/>
  <c r="V59" i="25"/>
  <c r="AH59" i="25"/>
  <c r="R59" i="25"/>
  <c r="S59" i="25"/>
  <c r="AE59" i="25"/>
  <c r="AC59" i="25"/>
  <c r="AO56" i="24"/>
  <c r="AT57" i="24"/>
  <c r="B58" i="24" s="1"/>
  <c r="Z57" i="24"/>
  <c r="BO57" i="24" s="1"/>
  <c r="AN57" i="21"/>
  <c r="Z58" i="21"/>
  <c r="AG58" i="21" s="1"/>
  <c r="B59" i="21"/>
  <c r="BK47" i="23"/>
  <c r="BI47" i="23" s="1"/>
  <c r="G48" i="23" s="1"/>
  <c r="BA47" i="23"/>
  <c r="AD47" i="23"/>
  <c r="AA47" i="23"/>
  <c r="AB47" i="23" s="1"/>
  <c r="AC47" i="23" s="1"/>
  <c r="AZ47" i="23"/>
  <c r="AU47" i="23"/>
  <c r="AI47" i="23"/>
  <c r="AX47" i="23"/>
  <c r="AL47" i="23"/>
  <c r="AN47" i="23"/>
  <c r="AT47" i="23"/>
  <c r="V55" i="7"/>
  <c r="D18" i="14"/>
  <c r="D56" i="7"/>
  <c r="E56" i="7"/>
  <c r="G56" i="7"/>
  <c r="H56" i="7"/>
  <c r="U55" i="7"/>
  <c r="J55" i="7"/>
  <c r="K55" i="7" s="1"/>
  <c r="L55" i="7" s="1"/>
  <c r="R55" i="7"/>
  <c r="S55" i="7"/>
  <c r="P55" i="7"/>
  <c r="Z51" i="22" l="1"/>
  <c r="AH51" i="22"/>
  <c r="AI56" i="4"/>
  <c r="AJ56" i="4"/>
  <c r="U56" i="4"/>
  <c r="AE56" i="4"/>
  <c r="B19" i="14"/>
  <c r="P56" i="4"/>
  <c r="AF56" i="4"/>
  <c r="AC56" i="4"/>
  <c r="AT56" i="4"/>
  <c r="AH56" i="4"/>
  <c r="J56" i="4"/>
  <c r="K56" i="4" s="1"/>
  <c r="L56" i="4" s="1"/>
  <c r="S56" i="4"/>
  <c r="R56" i="4"/>
  <c r="V56" i="4"/>
  <c r="W55" i="4"/>
  <c r="X55" i="4"/>
  <c r="AQ56" i="24"/>
  <c r="AP57" i="21"/>
  <c r="AH57" i="24"/>
  <c r="AP58" i="29"/>
  <c r="I60" i="29"/>
  <c r="J60" i="29" s="1"/>
  <c r="AD59" i="29"/>
  <c r="AA59" i="29"/>
  <c r="AB59" i="29" s="1"/>
  <c r="AC59" i="29" s="1"/>
  <c r="AM59" i="29"/>
  <c r="AI59" i="29"/>
  <c r="AJ59" i="29"/>
  <c r="AL59" i="29"/>
  <c r="AQ47" i="26"/>
  <c r="B48" i="26"/>
  <c r="S48" i="26" s="1"/>
  <c r="BL47" i="26"/>
  <c r="W59" i="25"/>
  <c r="I60" i="25"/>
  <c r="AI60" i="25" s="1"/>
  <c r="X59" i="25"/>
  <c r="AA59" i="25"/>
  <c r="AO47" i="23"/>
  <c r="BV57" i="24"/>
  <c r="BA57" i="24"/>
  <c r="AD57" i="24"/>
  <c r="AA57" i="24"/>
  <c r="AB57" i="24" s="1"/>
  <c r="AC57" i="24" s="1"/>
  <c r="BB57" i="24"/>
  <c r="AJ57" i="24"/>
  <c r="BU57" i="24"/>
  <c r="BQ57" i="24"/>
  <c r="AN57" i="24"/>
  <c r="AM57" i="24"/>
  <c r="BR57" i="24"/>
  <c r="AK57" i="24"/>
  <c r="BT57" i="24"/>
  <c r="BJ47" i="23"/>
  <c r="H48" i="23" s="1"/>
  <c r="Y48" i="23" s="1"/>
  <c r="BE47" i="23"/>
  <c r="C48" i="23" s="1"/>
  <c r="T48" i="23" s="1"/>
  <c r="X48" i="23"/>
  <c r="BD47" i="23"/>
  <c r="I58" i="24"/>
  <c r="J58" i="24" s="1"/>
  <c r="K58" i="24" s="1"/>
  <c r="L58" i="24" s="1"/>
  <c r="S58" i="24"/>
  <c r="I59" i="21"/>
  <c r="J59" i="21" s="1"/>
  <c r="K59" i="21" s="1"/>
  <c r="L59" i="21" s="1"/>
  <c r="S59" i="21"/>
  <c r="AA58" i="21"/>
  <c r="AB58" i="21" s="1"/>
  <c r="AC58" i="21" s="1"/>
  <c r="AD58" i="21"/>
  <c r="AJ58" i="21"/>
  <c r="AM58" i="21"/>
  <c r="AI58" i="21"/>
  <c r="AL58" i="21"/>
  <c r="AP47" i="23"/>
  <c r="X55" i="7"/>
  <c r="W55" i="7"/>
  <c r="AD56" i="7"/>
  <c r="D57" i="7" s="1"/>
  <c r="B56" i="7"/>
  <c r="AI55" i="7"/>
  <c r="AJ55" i="7" s="1"/>
  <c r="AG56" i="7"/>
  <c r="G57" i="7" s="1"/>
  <c r="AH56" i="7"/>
  <c r="H57" i="7" s="1"/>
  <c r="AE56" i="7"/>
  <c r="E57" i="7" s="1"/>
  <c r="AY51" i="22" l="1"/>
  <c r="AZ51" i="22"/>
  <c r="AT51" i="22"/>
  <c r="AD51" i="22"/>
  <c r="BA51" i="22"/>
  <c r="AA51" i="22"/>
  <c r="AB51" i="22" s="1"/>
  <c r="AC51" i="22" s="1"/>
  <c r="BK51" i="22"/>
  <c r="AJ51" i="22"/>
  <c r="AW51" i="22"/>
  <c r="AV51" i="22"/>
  <c r="AM51" i="22"/>
  <c r="AN51" i="22"/>
  <c r="AK51" i="22"/>
  <c r="Y55" i="4"/>
  <c r="W56" i="4"/>
  <c r="X56" i="4"/>
  <c r="AU56" i="4"/>
  <c r="AS56" i="4"/>
  <c r="H57" i="4" s="1"/>
  <c r="AM56" i="4"/>
  <c r="AP56" i="4"/>
  <c r="E57" i="4" s="1"/>
  <c r="AR56" i="4"/>
  <c r="G57" i="4" s="1"/>
  <c r="AO56" i="4"/>
  <c r="D57" i="4" s="1"/>
  <c r="AP57" i="24"/>
  <c r="AO58" i="21"/>
  <c r="AO59" i="29"/>
  <c r="AN59" i="29"/>
  <c r="Z60" i="29"/>
  <c r="AG60" i="29" s="1"/>
  <c r="B61" i="29"/>
  <c r="S61" i="29" s="1"/>
  <c r="I69" i="29"/>
  <c r="K60" i="29"/>
  <c r="I48" i="26"/>
  <c r="J48" i="26" s="1"/>
  <c r="K48" i="26" s="1"/>
  <c r="L48" i="26" s="1"/>
  <c r="Y59" i="25"/>
  <c r="P60" i="25"/>
  <c r="AF60" i="25"/>
  <c r="AH60" i="25"/>
  <c r="V60" i="25"/>
  <c r="U60" i="25"/>
  <c r="R60" i="25"/>
  <c r="AE60" i="25"/>
  <c r="AC60" i="25"/>
  <c r="S60" i="25"/>
  <c r="AS60" i="25"/>
  <c r="H61" i="25" s="1"/>
  <c r="AM60" i="25"/>
  <c r="B61" i="25" s="1"/>
  <c r="AP60" i="25"/>
  <c r="E61" i="25" s="1"/>
  <c r="AO60" i="25"/>
  <c r="D61" i="25" s="1"/>
  <c r="J60" i="25"/>
  <c r="AJ60" i="25"/>
  <c r="AR60" i="25"/>
  <c r="G61" i="25" s="1"/>
  <c r="AT60" i="25"/>
  <c r="AU60" i="25" s="1"/>
  <c r="AQ47" i="23"/>
  <c r="AO57" i="24"/>
  <c r="AN58" i="21"/>
  <c r="AP58" i="21" s="1"/>
  <c r="Z58" i="24"/>
  <c r="B59" i="24"/>
  <c r="Z59" i="21"/>
  <c r="AG59" i="21" s="1"/>
  <c r="B60" i="21"/>
  <c r="B48" i="23"/>
  <c r="BL47" i="23"/>
  <c r="Y55" i="7"/>
  <c r="AE57" i="7"/>
  <c r="E58" i="7" s="1"/>
  <c r="AG57" i="7"/>
  <c r="G58" i="7" s="1"/>
  <c r="AB56" i="7"/>
  <c r="I56" i="7"/>
  <c r="AH57" i="7"/>
  <c r="H58" i="7" s="1"/>
  <c r="AD57" i="7"/>
  <c r="D58" i="7" s="1"/>
  <c r="BO58" i="24" l="1"/>
  <c r="AZ58" i="24"/>
  <c r="H59" i="24" s="1"/>
  <c r="Y59" i="24" s="1"/>
  <c r="B57" i="4"/>
  <c r="BJ51" i="22"/>
  <c r="H52" i="22" s="1"/>
  <c r="Y52" i="22" s="1"/>
  <c r="BD51" i="22"/>
  <c r="BI51" i="22"/>
  <c r="G52" i="22" s="1"/>
  <c r="X52" i="22" s="1"/>
  <c r="BF51" i="22"/>
  <c r="D52" i="22" s="1"/>
  <c r="U52" i="22" s="1"/>
  <c r="BG51" i="22"/>
  <c r="E52" i="22" s="1"/>
  <c r="V52" i="22" s="1"/>
  <c r="AO51" i="22"/>
  <c r="AP51" i="22"/>
  <c r="AQ51" i="22" s="1"/>
  <c r="AP57" i="4"/>
  <c r="E58" i="4" s="1"/>
  <c r="AM57" i="4"/>
  <c r="B58" i="4" s="1"/>
  <c r="I57" i="4"/>
  <c r="S57" i="4" s="1"/>
  <c r="Y56" i="4"/>
  <c r="AR57" i="4"/>
  <c r="G58" i="4" s="1"/>
  <c r="AO57" i="4"/>
  <c r="D58" i="4" s="1"/>
  <c r="AS57" i="4"/>
  <c r="H58" i="4" s="1"/>
  <c r="AQ57" i="24"/>
  <c r="AH58" i="24"/>
  <c r="AP59" i="29"/>
  <c r="I61" i="29"/>
  <c r="J61" i="29" s="1"/>
  <c r="K61" i="29" s="1"/>
  <c r="L61" i="29" s="1"/>
  <c r="I70" i="29"/>
  <c r="L60" i="29"/>
  <c r="AD60" i="29"/>
  <c r="AA60" i="29"/>
  <c r="AB60" i="29" s="1"/>
  <c r="AC60" i="29" s="1"/>
  <c r="AM60" i="29"/>
  <c r="AL60" i="29"/>
  <c r="AJ60" i="29"/>
  <c r="AI60" i="29"/>
  <c r="Z48" i="26"/>
  <c r="AT48" i="26" s="1"/>
  <c r="W60" i="25"/>
  <c r="X60" i="25"/>
  <c r="I61" i="25"/>
  <c r="AH61" i="25" s="1"/>
  <c r="I69" i="25"/>
  <c r="K60" i="25"/>
  <c r="I59" i="24"/>
  <c r="J59" i="24" s="1"/>
  <c r="K59" i="24" s="1"/>
  <c r="L59" i="24" s="1"/>
  <c r="I48" i="23"/>
  <c r="J48" i="23" s="1"/>
  <c r="K48" i="23" s="1"/>
  <c r="L48" i="23" s="1"/>
  <c r="S48" i="23"/>
  <c r="BB58" i="24"/>
  <c r="BV58" i="24"/>
  <c r="BA58" i="24"/>
  <c r="AD58" i="24"/>
  <c r="AA58" i="24"/>
  <c r="AB58" i="24" s="1"/>
  <c r="AC58" i="24" s="1"/>
  <c r="BR58" i="24"/>
  <c r="BU58" i="24"/>
  <c r="AJ58" i="24"/>
  <c r="BT58" i="24"/>
  <c r="AK58" i="24"/>
  <c r="AN58" i="24"/>
  <c r="AM58" i="24"/>
  <c r="BQ58" i="24"/>
  <c r="S60" i="21"/>
  <c r="I60" i="21"/>
  <c r="J60" i="21" s="1"/>
  <c r="AD59" i="21"/>
  <c r="AA59" i="21"/>
  <c r="AB59" i="21" s="1"/>
  <c r="AC59" i="21" s="1"/>
  <c r="AJ59" i="21"/>
  <c r="AM59" i="21"/>
  <c r="AL59" i="21"/>
  <c r="AI59" i="21"/>
  <c r="P56" i="7"/>
  <c r="D19" i="14"/>
  <c r="B57" i="7"/>
  <c r="AI56" i="7"/>
  <c r="AJ56" i="7" s="1"/>
  <c r="E59" i="7"/>
  <c r="D59" i="7"/>
  <c r="G59" i="7"/>
  <c r="J56" i="7"/>
  <c r="K56" i="7" s="1"/>
  <c r="L56" i="7" s="1"/>
  <c r="R56" i="7"/>
  <c r="U56" i="7"/>
  <c r="V56" i="7"/>
  <c r="S56" i="7"/>
  <c r="B52" i="22" l="1"/>
  <c r="BL51" i="22"/>
  <c r="V57" i="4"/>
  <c r="AH57" i="4"/>
  <c r="R57" i="4"/>
  <c r="AF57" i="4"/>
  <c r="AE57" i="4"/>
  <c r="AI57" i="4"/>
  <c r="U57" i="4"/>
  <c r="P57" i="4"/>
  <c r="I58" i="4"/>
  <c r="AC58" i="4" s="1"/>
  <c r="AC57" i="4"/>
  <c r="J57" i="4"/>
  <c r="K57" i="4" s="1"/>
  <c r="L57" i="4" s="1"/>
  <c r="B20" i="14"/>
  <c r="AJ57" i="4"/>
  <c r="AT57" i="4"/>
  <c r="AU57" i="4" s="1"/>
  <c r="AO60" i="29"/>
  <c r="AN60" i="29"/>
  <c r="Z61" i="29"/>
  <c r="AG61" i="29" s="1"/>
  <c r="B62" i="29"/>
  <c r="S62" i="29" s="1"/>
  <c r="AH48" i="26"/>
  <c r="BA48" i="26"/>
  <c r="AA48" i="26"/>
  <c r="AB48" i="26" s="1"/>
  <c r="AC48" i="26" s="1"/>
  <c r="BK48" i="26"/>
  <c r="AD48" i="26"/>
  <c r="AI48" i="26"/>
  <c r="AZ48" i="26"/>
  <c r="AU48" i="26"/>
  <c r="AN48" i="26"/>
  <c r="AX48" i="26"/>
  <c r="AL48" i="26"/>
  <c r="Y60" i="25"/>
  <c r="V61" i="25"/>
  <c r="I70" i="25"/>
  <c r="L60" i="25"/>
  <c r="AE61" i="25"/>
  <c r="R61" i="25"/>
  <c r="AF61" i="25"/>
  <c r="AP61" i="25"/>
  <c r="E62" i="25" s="1"/>
  <c r="AJ61" i="25"/>
  <c r="AT61" i="25"/>
  <c r="AU61" i="25" s="1"/>
  <c r="AM61" i="25"/>
  <c r="B62" i="25" s="1"/>
  <c r="AS61" i="25"/>
  <c r="H62" i="25" s="1"/>
  <c r="AR61" i="25"/>
  <c r="G62" i="25" s="1"/>
  <c r="AO61" i="25"/>
  <c r="D62" i="25" s="1"/>
  <c r="J61" i="25"/>
  <c r="K61" i="25" s="1"/>
  <c r="L61" i="25" s="1"/>
  <c r="P61" i="25"/>
  <c r="AI61" i="25"/>
  <c r="AC61" i="25"/>
  <c r="S61" i="25"/>
  <c r="U61" i="25"/>
  <c r="AP58" i="24"/>
  <c r="AN59" i="21"/>
  <c r="AO59" i="21"/>
  <c r="I69" i="21"/>
  <c r="C25" i="8" s="1"/>
  <c r="K60" i="21"/>
  <c r="Z48" i="23"/>
  <c r="AH48" i="23" s="1"/>
  <c r="Z60" i="21"/>
  <c r="AG60" i="21" s="1"/>
  <c r="B61" i="21"/>
  <c r="AO58" i="24"/>
  <c r="Z59" i="24"/>
  <c r="X56" i="7"/>
  <c r="W56" i="7"/>
  <c r="AB57" i="7"/>
  <c r="I57" i="7"/>
  <c r="I52" i="22" l="1"/>
  <c r="J52" i="22" s="1"/>
  <c r="K52" i="22" s="1"/>
  <c r="L52" i="22" s="1"/>
  <c r="S52" i="22"/>
  <c r="AW59" i="24"/>
  <c r="E60" i="24" s="1"/>
  <c r="V60" i="24" s="1"/>
  <c r="AW60" i="24" s="1"/>
  <c r="AV59" i="24"/>
  <c r="D60" i="24" s="1"/>
  <c r="U60" i="24" s="1"/>
  <c r="AV60" i="24" s="1"/>
  <c r="AZ59" i="24"/>
  <c r="H60" i="24" s="1"/>
  <c r="AT59" i="24"/>
  <c r="B60" i="24" s="1"/>
  <c r="AY59" i="24"/>
  <c r="G60" i="24" s="1"/>
  <c r="X60" i="24" s="1"/>
  <c r="AY60" i="24" s="1"/>
  <c r="AP59" i="21"/>
  <c r="W57" i="4"/>
  <c r="X57" i="4"/>
  <c r="AE58" i="4"/>
  <c r="V58" i="4"/>
  <c r="AF58" i="4"/>
  <c r="J58" i="4"/>
  <c r="K58" i="4" s="1"/>
  <c r="L58" i="4" s="1"/>
  <c r="AJ58" i="4"/>
  <c r="AT58" i="4"/>
  <c r="B21" i="14"/>
  <c r="AI58" i="4"/>
  <c r="U58" i="4"/>
  <c r="S58" i="4"/>
  <c r="R58" i="4"/>
  <c r="P58" i="4"/>
  <c r="AH58" i="4"/>
  <c r="AH59" i="24"/>
  <c r="AP48" i="26"/>
  <c r="AT48" i="23"/>
  <c r="AQ58" i="24"/>
  <c r="AP60" i="29"/>
  <c r="I62" i="29"/>
  <c r="J62" i="29" s="1"/>
  <c r="K62" i="29" s="1"/>
  <c r="L62" i="29" s="1"/>
  <c r="AD61" i="29"/>
  <c r="AA61" i="29"/>
  <c r="AB61" i="29" s="1"/>
  <c r="AC61" i="29" s="1"/>
  <c r="AI61" i="29"/>
  <c r="AJ61" i="29"/>
  <c r="AL61" i="29"/>
  <c r="AM61" i="29"/>
  <c r="AO48" i="26"/>
  <c r="BH48" i="26"/>
  <c r="G49" i="26" s="1"/>
  <c r="BE48" i="26"/>
  <c r="C49" i="26" s="1"/>
  <c r="BD48" i="26"/>
  <c r="BJ48" i="26"/>
  <c r="H49" i="26" s="1"/>
  <c r="Y49" i="26" s="1"/>
  <c r="X61" i="25"/>
  <c r="W61" i="25"/>
  <c r="I62" i="25"/>
  <c r="I61" i="21"/>
  <c r="J61" i="21" s="1"/>
  <c r="K61" i="21" s="1"/>
  <c r="L61" i="21" s="1"/>
  <c r="S61" i="21"/>
  <c r="AD60" i="21"/>
  <c r="AA60" i="21"/>
  <c r="AB60" i="21" s="1"/>
  <c r="AC60" i="21" s="1"/>
  <c r="AM60" i="21"/>
  <c r="AI60" i="21"/>
  <c r="AJ60" i="21"/>
  <c r="AL60" i="21"/>
  <c r="AA48" i="23"/>
  <c r="AB48" i="23" s="1"/>
  <c r="AC48" i="23" s="1"/>
  <c r="BA48" i="23"/>
  <c r="BK48" i="23"/>
  <c r="BI48" i="23" s="1"/>
  <c r="G49" i="23" s="1"/>
  <c r="X49" i="23" s="1"/>
  <c r="AD48" i="23"/>
  <c r="AN48" i="23"/>
  <c r="AZ48" i="23"/>
  <c r="AX48" i="23"/>
  <c r="AI48" i="23"/>
  <c r="AL48" i="23"/>
  <c r="AU48" i="23"/>
  <c r="AA59" i="24"/>
  <c r="AB59" i="24" s="1"/>
  <c r="AC59" i="24" s="1"/>
  <c r="BV59" i="24"/>
  <c r="AD59" i="24"/>
  <c r="BA59" i="24"/>
  <c r="AN59" i="24"/>
  <c r="BQ59" i="24"/>
  <c r="AJ59" i="24"/>
  <c r="BR59" i="24"/>
  <c r="BU59" i="24"/>
  <c r="AK59" i="24"/>
  <c r="AM59" i="24"/>
  <c r="BT59" i="24"/>
  <c r="I70" i="21"/>
  <c r="C26" i="8" s="1"/>
  <c r="L60" i="21"/>
  <c r="BO59" i="24"/>
  <c r="Y56" i="7"/>
  <c r="P57" i="7"/>
  <c r="D20" i="14"/>
  <c r="J57" i="7"/>
  <c r="K57" i="7" s="1"/>
  <c r="L57" i="7" s="1"/>
  <c r="S57" i="7"/>
  <c r="U57" i="7"/>
  <c r="V57" i="7"/>
  <c r="R57" i="7"/>
  <c r="B58" i="7"/>
  <c r="AI57" i="7"/>
  <c r="AJ57" i="7" s="1"/>
  <c r="Z52" i="22" l="1"/>
  <c r="AH52" i="22"/>
  <c r="S62" i="25"/>
  <c r="I74" i="25"/>
  <c r="I76" i="25" s="1"/>
  <c r="I75" i="25"/>
  <c r="Y60" i="24"/>
  <c r="AZ60" i="24" s="1"/>
  <c r="I60" i="24"/>
  <c r="J60" i="24" s="1"/>
  <c r="K60" i="24" s="1"/>
  <c r="S60" i="24"/>
  <c r="AT60" i="24" s="1"/>
  <c r="BB59" i="24"/>
  <c r="Y57" i="4"/>
  <c r="AU58" i="4"/>
  <c r="AR58" i="4"/>
  <c r="G59" i="4" s="1"/>
  <c r="AO58" i="4"/>
  <c r="D59" i="4" s="1"/>
  <c r="AS58" i="4"/>
  <c r="H59" i="4" s="1"/>
  <c r="AM58" i="4"/>
  <c r="AP58" i="4"/>
  <c r="E59" i="4" s="1"/>
  <c r="W58" i="4"/>
  <c r="X58" i="4"/>
  <c r="AQ48" i="26"/>
  <c r="AN60" i="21"/>
  <c r="AO59" i="24"/>
  <c r="AO61" i="29"/>
  <c r="Z62" i="29"/>
  <c r="B63" i="29"/>
  <c r="S63" i="29" s="1"/>
  <c r="AN61" i="29"/>
  <c r="B49" i="26"/>
  <c r="S49" i="26" s="1"/>
  <c r="BL48" i="26"/>
  <c r="P62" i="25"/>
  <c r="V62" i="25"/>
  <c r="AE62" i="25"/>
  <c r="R62" i="25"/>
  <c r="AF62" i="25"/>
  <c r="Y61" i="25"/>
  <c r="AS62" i="25"/>
  <c r="H63" i="25" s="1"/>
  <c r="AM62" i="25"/>
  <c r="B63" i="25" s="1"/>
  <c r="J62" i="25"/>
  <c r="K62" i="25" s="1"/>
  <c r="L62" i="25" s="1"/>
  <c r="AR62" i="25"/>
  <c r="G63" i="25" s="1"/>
  <c r="AJ62" i="25"/>
  <c r="AP62" i="25"/>
  <c r="E63" i="25" s="1"/>
  <c r="AT62" i="25"/>
  <c r="AU62" i="25" s="1"/>
  <c r="AO62" i="25"/>
  <c r="D63" i="25" s="1"/>
  <c r="AC62" i="25"/>
  <c r="AI62" i="25"/>
  <c r="U62" i="25"/>
  <c r="AH62" i="25"/>
  <c r="AO48" i="23"/>
  <c r="AO60" i="21"/>
  <c r="AP59" i="24"/>
  <c r="BE48" i="23"/>
  <c r="BD48" i="23"/>
  <c r="BJ48" i="23"/>
  <c r="H49" i="23" s="1"/>
  <c r="Y49" i="23" s="1"/>
  <c r="Z61" i="21"/>
  <c r="AG61" i="21" s="1"/>
  <c r="B62" i="21"/>
  <c r="Z60" i="24"/>
  <c r="AP48" i="23"/>
  <c r="X57" i="7"/>
  <c r="W57" i="7"/>
  <c r="I58" i="7"/>
  <c r="AH58" i="7" s="1"/>
  <c r="H59" i="7" s="1"/>
  <c r="I69" i="24" l="1"/>
  <c r="B59" i="4"/>
  <c r="I59" i="4" s="1"/>
  <c r="S59" i="4" s="1"/>
  <c r="AT52" i="22"/>
  <c r="BA52" i="22"/>
  <c r="AY52" i="22"/>
  <c r="AW52" i="22"/>
  <c r="AA52" i="22"/>
  <c r="AB52" i="22" s="1"/>
  <c r="AC52" i="22" s="1"/>
  <c r="AN52" i="22"/>
  <c r="AD52" i="22"/>
  <c r="AV52" i="22"/>
  <c r="AK52" i="22"/>
  <c r="AJ52" i="22"/>
  <c r="AP52" i="22" s="1"/>
  <c r="AZ52" i="22"/>
  <c r="BK52" i="22"/>
  <c r="AM52" i="22"/>
  <c r="D49" i="23"/>
  <c r="U49" i="23" s="1"/>
  <c r="E49" i="23"/>
  <c r="V49" i="23" s="1"/>
  <c r="Y58" i="4"/>
  <c r="AS59" i="4"/>
  <c r="H60" i="4" s="1"/>
  <c r="AO59" i="4"/>
  <c r="D60" i="4" s="1"/>
  <c r="AP59" i="4"/>
  <c r="E60" i="4" s="1"/>
  <c r="AR59" i="4"/>
  <c r="G60" i="4" s="1"/>
  <c r="AM59" i="4"/>
  <c r="B60" i="4" s="1"/>
  <c r="H61" i="24"/>
  <c r="Y61" i="24" s="1"/>
  <c r="B61" i="24"/>
  <c r="D61" i="24"/>
  <c r="G61" i="24"/>
  <c r="E61" i="24"/>
  <c r="AP60" i="21"/>
  <c r="AQ48" i="23"/>
  <c r="AQ59" i="24"/>
  <c r="AP61" i="29"/>
  <c r="I63" i="29"/>
  <c r="J63" i="29" s="1"/>
  <c r="K63" i="29" s="1"/>
  <c r="L63" i="29" s="1"/>
  <c r="AD62" i="29"/>
  <c r="AA62" i="29"/>
  <c r="AB62" i="29" s="1"/>
  <c r="AC62" i="29" s="1"/>
  <c r="AI62" i="29"/>
  <c r="AL62" i="29"/>
  <c r="AM62" i="29"/>
  <c r="AJ62" i="29"/>
  <c r="AG62" i="29"/>
  <c r="I49" i="26"/>
  <c r="J49" i="26" s="1"/>
  <c r="K49" i="26" s="1"/>
  <c r="L49" i="26" s="1"/>
  <c r="X62" i="25"/>
  <c r="W62" i="25"/>
  <c r="I63" i="25"/>
  <c r="R63" i="25" s="1"/>
  <c r="BA60" i="24"/>
  <c r="AA60" i="24"/>
  <c r="AB60" i="24" s="1"/>
  <c r="AC60" i="24" s="1"/>
  <c r="BV60" i="24"/>
  <c r="AD60" i="24"/>
  <c r="BR60" i="24"/>
  <c r="AK60" i="24"/>
  <c r="BT60" i="24"/>
  <c r="AM60" i="24"/>
  <c r="AJ60" i="24"/>
  <c r="BQ60" i="24"/>
  <c r="BU60" i="24"/>
  <c r="AN60" i="24"/>
  <c r="BO60" i="24"/>
  <c r="AH60" i="24"/>
  <c r="B49" i="23"/>
  <c r="S49" i="23" s="1"/>
  <c r="BL48" i="23"/>
  <c r="S62" i="21"/>
  <c r="I62" i="21"/>
  <c r="J62" i="21" s="1"/>
  <c r="K62" i="21" s="1"/>
  <c r="L62" i="21" s="1"/>
  <c r="AD61" i="21"/>
  <c r="AA61" i="21"/>
  <c r="AB61" i="21" s="1"/>
  <c r="AC61" i="21" s="1"/>
  <c r="AM61" i="21"/>
  <c r="AJ61" i="21"/>
  <c r="AL61" i="21"/>
  <c r="AI61" i="21"/>
  <c r="L60" i="24"/>
  <c r="I70" i="24"/>
  <c r="Y57" i="7"/>
  <c r="P58" i="7"/>
  <c r="D21" i="14"/>
  <c r="J58" i="7"/>
  <c r="K58" i="7" s="1"/>
  <c r="L58" i="7" s="1"/>
  <c r="S58" i="7"/>
  <c r="U58" i="7"/>
  <c r="R58" i="7"/>
  <c r="V58" i="7"/>
  <c r="AI58" i="7"/>
  <c r="AJ58" i="7" s="1"/>
  <c r="B59" i="7"/>
  <c r="AO52" i="22" l="1"/>
  <c r="AQ52" i="22" s="1"/>
  <c r="BI52" i="22"/>
  <c r="G53" i="22" s="1"/>
  <c r="X53" i="22" s="1"/>
  <c r="BF52" i="22"/>
  <c r="D53" i="22" s="1"/>
  <c r="U53" i="22" s="1"/>
  <c r="BG52" i="22"/>
  <c r="E53" i="22" s="1"/>
  <c r="V53" i="22" s="1"/>
  <c r="BJ52" i="22"/>
  <c r="H53" i="22" s="1"/>
  <c r="Y53" i="22" s="1"/>
  <c r="BD52" i="22"/>
  <c r="V61" i="24"/>
  <c r="AW61" i="24" s="1"/>
  <c r="X61" i="24"/>
  <c r="AY61" i="24" s="1"/>
  <c r="U61" i="24"/>
  <c r="AV61" i="24" s="1"/>
  <c r="S61" i="24"/>
  <c r="AT61" i="24" s="1"/>
  <c r="P59" i="4"/>
  <c r="AH59" i="4"/>
  <c r="R59" i="4"/>
  <c r="AF59" i="4"/>
  <c r="AC59" i="4"/>
  <c r="U59" i="4"/>
  <c r="I60" i="4"/>
  <c r="R60" i="4" s="1"/>
  <c r="V59" i="4"/>
  <c r="AJ59" i="4"/>
  <c r="B22" i="14"/>
  <c r="J59" i="4"/>
  <c r="K59" i="4" s="1"/>
  <c r="L59" i="4" s="1"/>
  <c r="AT59" i="4"/>
  <c r="AU59" i="4" s="1"/>
  <c r="AE59" i="4"/>
  <c r="AI59" i="4"/>
  <c r="AZ61" i="24"/>
  <c r="BB60" i="24"/>
  <c r="Z63" i="29"/>
  <c r="B64" i="29"/>
  <c r="S64" i="29" s="1"/>
  <c r="AO62" i="29"/>
  <c r="AN62" i="29"/>
  <c r="Z49" i="26"/>
  <c r="AT49" i="26" s="1"/>
  <c r="Y62" i="25"/>
  <c r="AC63" i="25"/>
  <c r="AF63" i="25"/>
  <c r="S63" i="25"/>
  <c r="AE63" i="25"/>
  <c r="AI63" i="25"/>
  <c r="AH63" i="25"/>
  <c r="P63" i="25"/>
  <c r="AP63" i="25"/>
  <c r="E64" i="25" s="1"/>
  <c r="E65" i="25" s="1"/>
  <c r="AJ63" i="25"/>
  <c r="AO63" i="25"/>
  <c r="D64" i="25" s="1"/>
  <c r="D65" i="25" s="1"/>
  <c r="J63" i="25"/>
  <c r="K63" i="25" s="1"/>
  <c r="L63" i="25" s="1"/>
  <c r="AT63" i="25"/>
  <c r="AU63" i="25" s="1"/>
  <c r="AM63" i="25"/>
  <c r="B64" i="25" s="1"/>
  <c r="B65" i="25" s="1"/>
  <c r="AS63" i="25"/>
  <c r="H64" i="25" s="1"/>
  <c r="H65" i="25" s="1"/>
  <c r="AR63" i="25"/>
  <c r="G64" i="25" s="1"/>
  <c r="G65" i="25" s="1"/>
  <c r="U63" i="25"/>
  <c r="V63" i="25"/>
  <c r="AO61" i="21"/>
  <c r="I49" i="23"/>
  <c r="J49" i="23" s="1"/>
  <c r="K49" i="23" s="1"/>
  <c r="L49" i="23" s="1"/>
  <c r="AO60" i="24"/>
  <c r="AP60" i="24"/>
  <c r="Z62" i="21"/>
  <c r="AG62" i="21" s="1"/>
  <c r="B63" i="21"/>
  <c r="I61" i="24"/>
  <c r="J61" i="24" s="1"/>
  <c r="K61" i="24" s="1"/>
  <c r="L61" i="24" s="1"/>
  <c r="AN61" i="21"/>
  <c r="X58" i="7"/>
  <c r="W58" i="7"/>
  <c r="I59" i="7"/>
  <c r="B53" i="22" l="1"/>
  <c r="BL52" i="22"/>
  <c r="AI60" i="4"/>
  <c r="V60" i="4"/>
  <c r="AH60" i="4"/>
  <c r="AC60" i="4"/>
  <c r="U60" i="4"/>
  <c r="S60" i="4"/>
  <c r="AF60" i="4"/>
  <c r="AE60" i="4"/>
  <c r="W59" i="4"/>
  <c r="X59" i="4"/>
  <c r="P60" i="4"/>
  <c r="J60" i="4"/>
  <c r="AJ60" i="4"/>
  <c r="AT60" i="4"/>
  <c r="B23" i="14"/>
  <c r="AD59" i="7"/>
  <c r="D60" i="7" s="1"/>
  <c r="AD60" i="7" s="1"/>
  <c r="AH59" i="7"/>
  <c r="H60" i="7" s="1"/>
  <c r="AH60" i="7" s="1"/>
  <c r="AB59" i="7"/>
  <c r="B60" i="7" s="1"/>
  <c r="AB60" i="7" s="1"/>
  <c r="AE59" i="7"/>
  <c r="E60" i="7" s="1"/>
  <c r="AE60" i="7" s="1"/>
  <c r="AG59" i="7"/>
  <c r="G60" i="7" s="1"/>
  <c r="AG60" i="7" s="1"/>
  <c r="S65" i="29"/>
  <c r="B65" i="29"/>
  <c r="AP61" i="21"/>
  <c r="AP62" i="29"/>
  <c r="I64" i="29"/>
  <c r="J64" i="29" s="1"/>
  <c r="K64" i="29" s="1"/>
  <c r="L64" i="29" s="1"/>
  <c r="AD63" i="29"/>
  <c r="AA63" i="29"/>
  <c r="AB63" i="29" s="1"/>
  <c r="AC63" i="29" s="1"/>
  <c r="AL63" i="29"/>
  <c r="AJ63" i="29"/>
  <c r="AI63" i="29"/>
  <c r="AM63" i="29"/>
  <c r="AG63" i="29"/>
  <c r="BK49" i="26"/>
  <c r="AD49" i="26"/>
  <c r="BA49" i="26"/>
  <c r="AA49" i="26"/>
  <c r="AB49" i="26" s="1"/>
  <c r="AC49" i="26" s="1"/>
  <c r="AY49" i="26"/>
  <c r="AI49" i="26"/>
  <c r="AM49" i="26"/>
  <c r="AU49" i="26"/>
  <c r="AN49" i="26"/>
  <c r="AZ49" i="26"/>
  <c r="AH49" i="26"/>
  <c r="W63" i="25"/>
  <c r="X63" i="25"/>
  <c r="I64" i="25"/>
  <c r="Z61" i="24"/>
  <c r="I63" i="21"/>
  <c r="J63" i="21" s="1"/>
  <c r="K63" i="21" s="1"/>
  <c r="L63" i="21" s="1"/>
  <c r="S63" i="21"/>
  <c r="AA62" i="21"/>
  <c r="AB62" i="21" s="1"/>
  <c r="AC62" i="21" s="1"/>
  <c r="AD62" i="21"/>
  <c r="AI62" i="21"/>
  <c r="AM62" i="21"/>
  <c r="AJ62" i="21"/>
  <c r="AL62" i="21"/>
  <c r="AQ60" i="24"/>
  <c r="Z49" i="23"/>
  <c r="AT49" i="23" s="1"/>
  <c r="Y58" i="7"/>
  <c r="P59" i="7"/>
  <c r="D22" i="14"/>
  <c r="J59" i="7"/>
  <c r="K59" i="7" s="1"/>
  <c r="L59" i="7" s="1"/>
  <c r="R59" i="7"/>
  <c r="S59" i="7"/>
  <c r="U59" i="7"/>
  <c r="V59" i="7"/>
  <c r="AR60" i="4" l="1"/>
  <c r="AO60" i="4"/>
  <c r="D61" i="4" s="1"/>
  <c r="AO61" i="4" s="1"/>
  <c r="AP60" i="4"/>
  <c r="AS60" i="4"/>
  <c r="H61" i="4" s="1"/>
  <c r="AS61" i="4" s="1"/>
  <c r="AM60" i="4"/>
  <c r="S53" i="22"/>
  <c r="I53" i="22"/>
  <c r="J53" i="22" s="1"/>
  <c r="K53" i="22" s="1"/>
  <c r="L53" i="22" s="1"/>
  <c r="Y59" i="4"/>
  <c r="AU60" i="4"/>
  <c r="G61" i="4"/>
  <c r="AR61" i="4" s="1"/>
  <c r="E61" i="4"/>
  <c r="AP61" i="4" s="1"/>
  <c r="B61" i="4"/>
  <c r="AM61" i="4" s="1"/>
  <c r="K60" i="4"/>
  <c r="I69" i="4"/>
  <c r="B10" i="8" s="1"/>
  <c r="H10" i="8" s="1"/>
  <c r="X60" i="4"/>
  <c r="W60" i="4"/>
  <c r="AI59" i="7"/>
  <c r="AJ59" i="7" s="1"/>
  <c r="D62" i="24"/>
  <c r="U62" i="24" s="1"/>
  <c r="AN61" i="24"/>
  <c r="G62" i="24"/>
  <c r="X62" i="24" s="1"/>
  <c r="H62" i="24"/>
  <c r="Y62" i="24" s="1"/>
  <c r="S64" i="25"/>
  <c r="BU61" i="24"/>
  <c r="Z64" i="29"/>
  <c r="AO63" i="29"/>
  <c r="AN63" i="29"/>
  <c r="AP49" i="26"/>
  <c r="AO49" i="26"/>
  <c r="BD49" i="26"/>
  <c r="BJ49" i="26"/>
  <c r="H50" i="26" s="1"/>
  <c r="Y50" i="26" s="1"/>
  <c r="BI49" i="26"/>
  <c r="G50" i="26" s="1"/>
  <c r="BE49" i="26"/>
  <c r="C50" i="26" s="1"/>
  <c r="U64" i="25"/>
  <c r="V64" i="25"/>
  <c r="Y63" i="25"/>
  <c r="AS64" i="25"/>
  <c r="AM64" i="25"/>
  <c r="J64" i="25"/>
  <c r="K64" i="25" s="1"/>
  <c r="L64" i="25" s="1"/>
  <c r="AT64" i="25"/>
  <c r="AU64" i="25" s="1"/>
  <c r="AR64" i="25"/>
  <c r="AJ64" i="25"/>
  <c r="AP64" i="25"/>
  <c r="AO64" i="25"/>
  <c r="R64" i="25"/>
  <c r="AH64" i="25"/>
  <c r="AC64" i="25"/>
  <c r="AE64" i="25"/>
  <c r="AF64" i="25"/>
  <c r="P64" i="25"/>
  <c r="AI64" i="25"/>
  <c r="AN62" i="21"/>
  <c r="AD49" i="23"/>
  <c r="AA49" i="23"/>
  <c r="AB49" i="23" s="1"/>
  <c r="AC49" i="23" s="1"/>
  <c r="BK49" i="23"/>
  <c r="BA49" i="23"/>
  <c r="AM49" i="23"/>
  <c r="AY49" i="23"/>
  <c r="AI49" i="23"/>
  <c r="AZ49" i="23"/>
  <c r="AN49" i="23"/>
  <c r="AU49" i="23"/>
  <c r="AH49" i="23"/>
  <c r="BQ61" i="24"/>
  <c r="AK61" i="24"/>
  <c r="BO61" i="24"/>
  <c r="B62" i="24"/>
  <c r="AJ61" i="24"/>
  <c r="BV61" i="24"/>
  <c r="BT61" i="24"/>
  <c r="AA61" i="24"/>
  <c r="AB61" i="24" s="1"/>
  <c r="AC61" i="24" s="1"/>
  <c r="AH61" i="24"/>
  <c r="BR61" i="24"/>
  <c r="BA61" i="24"/>
  <c r="E62" i="24"/>
  <c r="V62" i="24" s="1"/>
  <c r="AD61" i="24"/>
  <c r="AM61" i="24"/>
  <c r="Z63" i="21"/>
  <c r="AG63" i="21" s="1"/>
  <c r="B64" i="21"/>
  <c r="AO62" i="21"/>
  <c r="X59" i="7"/>
  <c r="W59" i="7"/>
  <c r="I60" i="7"/>
  <c r="Z53" i="22" l="1"/>
  <c r="AT53" i="22"/>
  <c r="BG49" i="23"/>
  <c r="E50" i="23" s="1"/>
  <c r="V50" i="23" s="1"/>
  <c r="BF49" i="23"/>
  <c r="D50" i="23" s="1"/>
  <c r="U50" i="23" s="1"/>
  <c r="Y60" i="4"/>
  <c r="I70" i="4"/>
  <c r="B11" i="8" s="1"/>
  <c r="H11" i="8" s="1"/>
  <c r="L60" i="4"/>
  <c r="AP62" i="21"/>
  <c r="I61" i="4"/>
  <c r="R61" i="4" s="1"/>
  <c r="D23" i="14"/>
  <c r="B61" i="7"/>
  <c r="AB61" i="7" s="1"/>
  <c r="G61" i="7"/>
  <c r="AG61" i="7" s="1"/>
  <c r="E61" i="7"/>
  <c r="AE61" i="7" s="1"/>
  <c r="D61" i="7"/>
  <c r="AD61" i="7" s="1"/>
  <c r="AQ49" i="26"/>
  <c r="AP63" i="29"/>
  <c r="AD64" i="29"/>
  <c r="AA64" i="29"/>
  <c r="AB64" i="29" s="1"/>
  <c r="AC64" i="29" s="1"/>
  <c r="AJ64" i="29"/>
  <c r="AI64" i="29"/>
  <c r="AM64" i="29"/>
  <c r="AL64" i="29"/>
  <c r="AG64" i="29"/>
  <c r="B50" i="26"/>
  <c r="S50" i="26" s="1"/>
  <c r="BL49" i="26"/>
  <c r="W64" i="25"/>
  <c r="X64" i="25"/>
  <c r="AP49" i="23"/>
  <c r="AO49" i="23"/>
  <c r="AW62" i="24"/>
  <c r="E63" i="24" s="1"/>
  <c r="V63" i="24" s="1"/>
  <c r="AZ62" i="24"/>
  <c r="H63" i="24" s="1"/>
  <c r="Y63" i="24" s="1"/>
  <c r="AY62" i="24"/>
  <c r="G63" i="24" s="1"/>
  <c r="X63" i="24" s="1"/>
  <c r="I62" i="24"/>
  <c r="J62" i="24" s="1"/>
  <c r="K62" i="24" s="1"/>
  <c r="L62" i="24" s="1"/>
  <c r="S62" i="24"/>
  <c r="S64" i="21"/>
  <c r="S65" i="21" s="1"/>
  <c r="I64" i="21"/>
  <c r="J64" i="21" s="1"/>
  <c r="K64" i="21" s="1"/>
  <c r="L64" i="21" s="1"/>
  <c r="BJ49" i="23"/>
  <c r="H50" i="23" s="1"/>
  <c r="Y50" i="23" s="1"/>
  <c r="BI49" i="23"/>
  <c r="G50" i="23" s="1"/>
  <c r="X50" i="23" s="1"/>
  <c r="BD49" i="23"/>
  <c r="AD63" i="21"/>
  <c r="AA63" i="21"/>
  <c r="AB63" i="21" s="1"/>
  <c r="AC63" i="21" s="1"/>
  <c r="AL63" i="21"/>
  <c r="AI63" i="21"/>
  <c r="AJ63" i="21"/>
  <c r="AM63" i="21"/>
  <c r="AO61" i="24"/>
  <c r="AP61" i="24"/>
  <c r="BB61" i="24"/>
  <c r="AV62" i="24"/>
  <c r="D63" i="24" s="1"/>
  <c r="U63" i="24" s="1"/>
  <c r="Y59" i="7"/>
  <c r="J60" i="7"/>
  <c r="U60" i="7"/>
  <c r="S60" i="7"/>
  <c r="R60" i="7"/>
  <c r="V60" i="7"/>
  <c r="P60" i="7"/>
  <c r="AD53" i="22" l="1"/>
  <c r="AM53" i="22"/>
  <c r="AV53" i="22"/>
  <c r="BK53" i="22"/>
  <c r="AJ53" i="22"/>
  <c r="AW53" i="22"/>
  <c r="AK53" i="22"/>
  <c r="BA53" i="22"/>
  <c r="AY53" i="22"/>
  <c r="AA53" i="22"/>
  <c r="AB53" i="22" s="1"/>
  <c r="AC53" i="22" s="1"/>
  <c r="AN53" i="22"/>
  <c r="AZ53" i="22"/>
  <c r="AH53" i="22"/>
  <c r="AT61" i="4"/>
  <c r="B24" i="14"/>
  <c r="AJ61" i="4"/>
  <c r="J61" i="4"/>
  <c r="K61" i="4" s="1"/>
  <c r="L61" i="4" s="1"/>
  <c r="V61" i="4"/>
  <c r="AE61" i="4"/>
  <c r="AI61" i="4"/>
  <c r="S61" i="4"/>
  <c r="P61" i="4"/>
  <c r="U61" i="4"/>
  <c r="AF61" i="4"/>
  <c r="AC61" i="4"/>
  <c r="AH61" i="4"/>
  <c r="B65" i="21"/>
  <c r="AO64" i="29"/>
  <c r="AN64" i="29"/>
  <c r="I50" i="26"/>
  <c r="J50" i="26" s="1"/>
  <c r="K50" i="26" s="1"/>
  <c r="L50" i="26" s="1"/>
  <c r="Y64" i="25"/>
  <c r="AN63" i="21"/>
  <c r="AO63" i="21"/>
  <c r="AW63" i="24"/>
  <c r="E64" i="24" s="1"/>
  <c r="V64" i="24" s="1"/>
  <c r="V65" i="24" s="1"/>
  <c r="Z64" i="21"/>
  <c r="AG64" i="21" s="1"/>
  <c r="Z62" i="24"/>
  <c r="BO62" i="24" s="1"/>
  <c r="AT62" i="24"/>
  <c r="B63" i="24" s="1"/>
  <c r="AV63" i="24"/>
  <c r="D64" i="24" s="1"/>
  <c r="U64" i="24" s="1"/>
  <c r="U65" i="24" s="1"/>
  <c r="AQ61" i="24"/>
  <c r="AQ49" i="23"/>
  <c r="B50" i="23"/>
  <c r="S50" i="23" s="1"/>
  <c r="BL49" i="23"/>
  <c r="AY63" i="24"/>
  <c r="G64" i="24" s="1"/>
  <c r="X64" i="24" s="1"/>
  <c r="X65" i="24" s="1"/>
  <c r="AZ63" i="24"/>
  <c r="H64" i="24" s="1"/>
  <c r="Y64" i="24" s="1"/>
  <c r="Y65" i="24" s="1"/>
  <c r="X60" i="7"/>
  <c r="W60" i="7"/>
  <c r="I69" i="7"/>
  <c r="D10" i="8" s="1"/>
  <c r="K60" i="7"/>
  <c r="H61" i="7"/>
  <c r="AH61" i="7" s="1"/>
  <c r="AI60" i="7"/>
  <c r="AJ60" i="7" s="1"/>
  <c r="BD53" i="22" l="1"/>
  <c r="BG53" i="22"/>
  <c r="E54" i="22" s="1"/>
  <c r="V54" i="22" s="1"/>
  <c r="BG54" i="22" s="1"/>
  <c r="E55" i="22" s="1"/>
  <c r="V55" i="22" s="1"/>
  <c r="BG55" i="22" s="1"/>
  <c r="E56" i="22" s="1"/>
  <c r="V56" i="22" s="1"/>
  <c r="BF53" i="22"/>
  <c r="D54" i="22" s="1"/>
  <c r="U54" i="22" s="1"/>
  <c r="BF54" i="22" s="1"/>
  <c r="D55" i="22" s="1"/>
  <c r="U55" i="22" s="1"/>
  <c r="BF55" i="22" s="1"/>
  <c r="D56" i="22" s="1"/>
  <c r="U56" i="22" s="1"/>
  <c r="BJ53" i="22"/>
  <c r="H54" i="22" s="1"/>
  <c r="Y54" i="22" s="1"/>
  <c r="BJ54" i="22" s="1"/>
  <c r="H55" i="22" s="1"/>
  <c r="Y55" i="22" s="1"/>
  <c r="BJ55" i="22" s="1"/>
  <c r="H56" i="22" s="1"/>
  <c r="Y56" i="22" s="1"/>
  <c r="BI53" i="22"/>
  <c r="G54" i="22" s="1"/>
  <c r="X54" i="22" s="1"/>
  <c r="BI54" i="22" s="1"/>
  <c r="G55" i="22" s="1"/>
  <c r="X55" i="22" s="1"/>
  <c r="BI55" i="22" s="1"/>
  <c r="G56" i="22" s="1"/>
  <c r="X56" i="22" s="1"/>
  <c r="AP53" i="22"/>
  <c r="AO53" i="22"/>
  <c r="W61" i="4"/>
  <c r="X61" i="4"/>
  <c r="AU61" i="4"/>
  <c r="D62" i="4"/>
  <c r="G62" i="4"/>
  <c r="H62" i="4"/>
  <c r="E62" i="4"/>
  <c r="B62" i="4"/>
  <c r="AH62" i="24"/>
  <c r="AP64" i="29"/>
  <c r="Z50" i="26"/>
  <c r="AT50" i="26" s="1"/>
  <c r="AP63" i="21"/>
  <c r="AY64" i="24"/>
  <c r="G65" i="24" s="1"/>
  <c r="AV64" i="24"/>
  <c r="D65" i="24" s="1"/>
  <c r="AA64" i="21"/>
  <c r="AB64" i="21" s="1"/>
  <c r="AC64" i="21" s="1"/>
  <c r="AD64" i="21"/>
  <c r="AJ64" i="21"/>
  <c r="AL64" i="21"/>
  <c r="AI64" i="21"/>
  <c r="AM64" i="21"/>
  <c r="I50" i="23"/>
  <c r="J50" i="23" s="1"/>
  <c r="K50" i="23" s="1"/>
  <c r="L50" i="23" s="1"/>
  <c r="S63" i="24"/>
  <c r="I63" i="24"/>
  <c r="J63" i="24" s="1"/>
  <c r="K63" i="24" s="1"/>
  <c r="L63" i="24" s="1"/>
  <c r="AZ64" i="24"/>
  <c r="H65" i="24" s="1"/>
  <c r="AA62" i="24"/>
  <c r="AB62" i="24" s="1"/>
  <c r="AC62" i="24" s="1"/>
  <c r="BV62" i="24"/>
  <c r="BA62" i="24"/>
  <c r="AD62" i="24"/>
  <c r="BB62" i="24"/>
  <c r="AK62" i="24"/>
  <c r="AM62" i="24"/>
  <c r="BU62" i="24"/>
  <c r="BT62" i="24"/>
  <c r="BQ62" i="24"/>
  <c r="AN62" i="24"/>
  <c r="AJ62" i="24"/>
  <c r="BR62" i="24"/>
  <c r="AW64" i="24"/>
  <c r="E65" i="24" s="1"/>
  <c r="Y60" i="7"/>
  <c r="G10" i="8"/>
  <c r="F10" i="8"/>
  <c r="I70" i="7"/>
  <c r="D11" i="8" s="1"/>
  <c r="L60" i="7"/>
  <c r="I61" i="7"/>
  <c r="AQ53" i="22" l="1"/>
  <c r="B54" i="22"/>
  <c r="BL53" i="22"/>
  <c r="AM62" i="4"/>
  <c r="I62" i="4"/>
  <c r="S62" i="4" s="1"/>
  <c r="AO62" i="4"/>
  <c r="D63" i="4" s="1"/>
  <c r="AP62" i="4"/>
  <c r="E63" i="4" s="1"/>
  <c r="AS62" i="4"/>
  <c r="H63" i="4" s="1"/>
  <c r="AR62" i="4"/>
  <c r="G63" i="4" s="1"/>
  <c r="Y61" i="4"/>
  <c r="AP62" i="24"/>
  <c r="AH50" i="26"/>
  <c r="BA50" i="26"/>
  <c r="AA50" i="26"/>
  <c r="AB50" i="26" s="1"/>
  <c r="AC50" i="26" s="1"/>
  <c r="BK50" i="26"/>
  <c r="AD50" i="26"/>
  <c r="AZ50" i="26"/>
  <c r="AU50" i="26"/>
  <c r="AN50" i="26"/>
  <c r="AI50" i="26"/>
  <c r="AY50" i="26"/>
  <c r="AM50" i="26"/>
  <c r="AN64" i="21"/>
  <c r="AO62" i="24"/>
  <c r="AT63" i="24"/>
  <c r="B64" i="24" s="1"/>
  <c r="Z63" i="24"/>
  <c r="Z50" i="23"/>
  <c r="AO64" i="21"/>
  <c r="V61" i="7"/>
  <c r="D24" i="14"/>
  <c r="G11" i="8"/>
  <c r="F11" i="8"/>
  <c r="G62" i="7"/>
  <c r="D62" i="7"/>
  <c r="H62" i="7"/>
  <c r="E62" i="7"/>
  <c r="R61" i="7"/>
  <c r="S61" i="7"/>
  <c r="J61" i="7"/>
  <c r="K61" i="7" s="1"/>
  <c r="L61" i="7" s="1"/>
  <c r="U61" i="7"/>
  <c r="P61" i="7"/>
  <c r="S54" i="22" l="1"/>
  <c r="I54" i="22"/>
  <c r="J54" i="22" s="1"/>
  <c r="K54" i="22" s="1"/>
  <c r="L54" i="22" s="1"/>
  <c r="I75" i="4"/>
  <c r="B13" i="8" s="1"/>
  <c r="I74" i="4"/>
  <c r="P62" i="4"/>
  <c r="AH62" i="4"/>
  <c r="R62" i="4"/>
  <c r="AE62" i="4"/>
  <c r="AC62" i="4"/>
  <c r="V62" i="4"/>
  <c r="U62" i="4"/>
  <c r="B25" i="14"/>
  <c r="J62" i="4"/>
  <c r="K62" i="4" s="1"/>
  <c r="L62" i="4" s="1"/>
  <c r="AJ62" i="4"/>
  <c r="AT62" i="4"/>
  <c r="AU62" i="4" s="1"/>
  <c r="AI62" i="4"/>
  <c r="AF62" i="4"/>
  <c r="B63" i="4"/>
  <c r="AQ62" i="24"/>
  <c r="AP64" i="21"/>
  <c r="AP50" i="26"/>
  <c r="AO50" i="26"/>
  <c r="BI50" i="26"/>
  <c r="G51" i="26" s="1"/>
  <c r="BE50" i="26"/>
  <c r="BD50" i="26"/>
  <c r="BJ50" i="26"/>
  <c r="H51" i="26" s="1"/>
  <c r="Y51" i="26" s="1"/>
  <c r="AA63" i="24"/>
  <c r="AB63" i="24" s="1"/>
  <c r="AC63" i="24" s="1"/>
  <c r="BB63" i="24"/>
  <c r="BV63" i="24"/>
  <c r="BA63" i="24"/>
  <c r="AD63" i="24"/>
  <c r="AN63" i="24"/>
  <c r="AK63" i="24"/>
  <c r="BU63" i="24"/>
  <c r="AJ63" i="24"/>
  <c r="BQ63" i="24"/>
  <c r="BT63" i="24"/>
  <c r="BR63" i="24"/>
  <c r="AM63" i="24"/>
  <c r="S64" i="24"/>
  <c r="S65" i="24" s="1"/>
  <c r="I64" i="24"/>
  <c r="J64" i="24" s="1"/>
  <c r="K64" i="24" s="1"/>
  <c r="L64" i="24" s="1"/>
  <c r="AH63" i="24"/>
  <c r="AA50" i="23"/>
  <c r="AB50" i="23" s="1"/>
  <c r="AC50" i="23" s="1"/>
  <c r="BA50" i="23"/>
  <c r="BK50" i="23"/>
  <c r="AD50" i="23"/>
  <c r="AI50" i="23"/>
  <c r="AU50" i="23"/>
  <c r="AM50" i="23"/>
  <c r="AY50" i="23"/>
  <c r="AN50" i="23"/>
  <c r="AZ50" i="23"/>
  <c r="BO63" i="24"/>
  <c r="AH50" i="23"/>
  <c r="AT50" i="23"/>
  <c r="X61" i="7"/>
  <c r="B62" i="7"/>
  <c r="AI61" i="7"/>
  <c r="AJ61" i="7" s="1"/>
  <c r="AE62" i="7"/>
  <c r="E63" i="7" s="1"/>
  <c r="W61" i="7"/>
  <c r="AD62" i="7"/>
  <c r="D63" i="7" s="1"/>
  <c r="AH62" i="7"/>
  <c r="H63" i="7" s="1"/>
  <c r="AG62" i="7"/>
  <c r="G63" i="7" s="1"/>
  <c r="I76" i="4" l="1"/>
  <c r="B12" i="8"/>
  <c r="Z54" i="22"/>
  <c r="AT54" i="22"/>
  <c r="BD54" i="22"/>
  <c r="B55" i="22" s="1"/>
  <c r="BG50" i="23"/>
  <c r="E51" i="23" s="1"/>
  <c r="V51" i="23" s="1"/>
  <c r="BF50" i="23"/>
  <c r="D51" i="23" s="1"/>
  <c r="U51" i="23" s="1"/>
  <c r="W62" i="4"/>
  <c r="X62" i="4"/>
  <c r="I63" i="4"/>
  <c r="P63" i="4" s="1"/>
  <c r="AQ50" i="26"/>
  <c r="B51" i="26"/>
  <c r="S51" i="26" s="1"/>
  <c r="BL50" i="26"/>
  <c r="E51" i="26"/>
  <c r="D51" i="26"/>
  <c r="AO63" i="24"/>
  <c r="AP63" i="24"/>
  <c r="AT64" i="24"/>
  <c r="B65" i="24" s="1"/>
  <c r="Z64" i="24"/>
  <c r="AH64" i="24" s="1"/>
  <c r="BJ50" i="23"/>
  <c r="H51" i="23" s="1"/>
  <c r="Y51" i="23" s="1"/>
  <c r="BD50" i="23"/>
  <c r="BI50" i="23"/>
  <c r="G51" i="23" s="1"/>
  <c r="X51" i="23" s="1"/>
  <c r="AO50" i="23"/>
  <c r="AP50" i="23"/>
  <c r="Y61" i="7"/>
  <c r="AD63" i="7"/>
  <c r="D64" i="7" s="1"/>
  <c r="D65" i="7" s="1"/>
  <c r="AG63" i="7"/>
  <c r="G64" i="7" s="1"/>
  <c r="G65" i="7" s="1"/>
  <c r="AE63" i="7"/>
  <c r="E64" i="7" s="1"/>
  <c r="E65" i="7" s="1"/>
  <c r="AB62" i="7"/>
  <c r="I62" i="7"/>
  <c r="AH63" i="7"/>
  <c r="H64" i="7" s="1"/>
  <c r="H65" i="7" s="1"/>
  <c r="D25" i="14" l="1"/>
  <c r="I74" i="7"/>
  <c r="I75" i="7"/>
  <c r="D13" i="8" s="1"/>
  <c r="BK54" i="22"/>
  <c r="AY54" i="22"/>
  <c r="AJ54" i="22"/>
  <c r="BA54" i="22"/>
  <c r="BL54" i="22"/>
  <c r="AK54" i="22"/>
  <c r="AW54" i="22"/>
  <c r="AD54" i="22"/>
  <c r="AZ54" i="22"/>
  <c r="AN54" i="22"/>
  <c r="AV54" i="22"/>
  <c r="AA54" i="22"/>
  <c r="AB54" i="22" s="1"/>
  <c r="AC54" i="22" s="1"/>
  <c r="AM54" i="22"/>
  <c r="AH54" i="22"/>
  <c r="S55" i="22"/>
  <c r="I55" i="22"/>
  <c r="J55" i="22" s="1"/>
  <c r="K55" i="22" s="1"/>
  <c r="L55" i="22" s="1"/>
  <c r="Y62" i="4"/>
  <c r="AC63" i="4"/>
  <c r="AE63" i="4"/>
  <c r="AT63" i="4"/>
  <c r="AJ63" i="4"/>
  <c r="J63" i="4"/>
  <c r="K63" i="4" s="1"/>
  <c r="L63" i="4" s="1"/>
  <c r="B26" i="14"/>
  <c r="AI63" i="4"/>
  <c r="V63" i="4"/>
  <c r="AF63" i="4"/>
  <c r="U63" i="4"/>
  <c r="R63" i="4"/>
  <c r="S63" i="4"/>
  <c r="AH63" i="4"/>
  <c r="BO64" i="24"/>
  <c r="I51" i="26"/>
  <c r="J51" i="26" s="1"/>
  <c r="K51" i="26" s="1"/>
  <c r="L51" i="26" s="1"/>
  <c r="AQ63" i="24"/>
  <c r="AQ50" i="23"/>
  <c r="B51" i="23"/>
  <c r="BL50" i="23"/>
  <c r="BV64" i="24"/>
  <c r="AA64" i="24"/>
  <c r="AB64" i="24" s="1"/>
  <c r="AC64" i="24" s="1"/>
  <c r="BB64" i="24"/>
  <c r="AD64" i="24"/>
  <c r="BA64" i="24"/>
  <c r="AJ64" i="24"/>
  <c r="BT64" i="24"/>
  <c r="BU64" i="24"/>
  <c r="BQ64" i="24"/>
  <c r="AM64" i="24"/>
  <c r="BR64" i="24"/>
  <c r="AK64" i="24"/>
  <c r="AN64" i="24"/>
  <c r="J62" i="7"/>
  <c r="K62" i="7" s="1"/>
  <c r="L62" i="7" s="1"/>
  <c r="V62" i="7"/>
  <c r="U62" i="7"/>
  <c r="S62" i="7"/>
  <c r="R62" i="7"/>
  <c r="AE64" i="7"/>
  <c r="AG64" i="7"/>
  <c r="P62" i="7"/>
  <c r="AD64" i="7"/>
  <c r="B63" i="7"/>
  <c r="AI62" i="7"/>
  <c r="AJ62" i="7" s="1"/>
  <c r="AH64" i="7"/>
  <c r="I76" i="7" l="1"/>
  <c r="D12" i="8"/>
  <c r="BD55" i="22"/>
  <c r="B56" i="22" s="1"/>
  <c r="Z55" i="22"/>
  <c r="AP54" i="22"/>
  <c r="AO54" i="22"/>
  <c r="AQ54" i="22" s="1"/>
  <c r="X63" i="4"/>
  <c r="AU63" i="4"/>
  <c r="AS63" i="4"/>
  <c r="H64" i="4" s="1"/>
  <c r="AM63" i="4"/>
  <c r="AP63" i="4"/>
  <c r="E64" i="4" s="1"/>
  <c r="AO63" i="4"/>
  <c r="D64" i="4" s="1"/>
  <c r="AR63" i="4"/>
  <c r="G64" i="4" s="1"/>
  <c r="W63" i="4"/>
  <c r="Z51" i="26"/>
  <c r="AT51" i="26" s="1"/>
  <c r="AO64" i="24"/>
  <c r="AP64" i="24"/>
  <c r="I51" i="23"/>
  <c r="J51" i="23" s="1"/>
  <c r="K51" i="23" s="1"/>
  <c r="L51" i="23" s="1"/>
  <c r="S51" i="23"/>
  <c r="W62" i="7"/>
  <c r="X62" i="7"/>
  <c r="AB63" i="7"/>
  <c r="I63" i="7"/>
  <c r="B64" i="4" l="1"/>
  <c r="AM67" i="4"/>
  <c r="AM69" i="4" s="1"/>
  <c r="AH55" i="22"/>
  <c r="AD55" i="22"/>
  <c r="AV55" i="22"/>
  <c r="AK55" i="22"/>
  <c r="BL55" i="22"/>
  <c r="AW55" i="22"/>
  <c r="AN55" i="22"/>
  <c r="BK55" i="22"/>
  <c r="AA55" i="22"/>
  <c r="AB55" i="22" s="1"/>
  <c r="AC55" i="22" s="1"/>
  <c r="AZ55" i="22"/>
  <c r="AJ55" i="22"/>
  <c r="BA55" i="22"/>
  <c r="AY55" i="22"/>
  <c r="AM55" i="22"/>
  <c r="I56" i="22"/>
  <c r="J56" i="22" s="1"/>
  <c r="K56" i="22" s="1"/>
  <c r="L56" i="22" s="1"/>
  <c r="S56" i="22"/>
  <c r="AT55" i="22"/>
  <c r="Y63" i="4"/>
  <c r="E65" i="4"/>
  <c r="AP64" i="4"/>
  <c r="I64" i="4"/>
  <c r="S64" i="4" s="1"/>
  <c r="I65" i="4"/>
  <c r="B6" i="8" s="1"/>
  <c r="H6" i="8" s="1"/>
  <c r="AM64" i="4"/>
  <c r="B65" i="4"/>
  <c r="G65" i="4"/>
  <c r="AR64" i="4"/>
  <c r="H65" i="4"/>
  <c r="AS64" i="4"/>
  <c r="D65" i="4"/>
  <c r="AO64" i="4"/>
  <c r="B14" i="8"/>
  <c r="AQ64" i="24"/>
  <c r="AA51" i="26"/>
  <c r="AB51" i="26" s="1"/>
  <c r="AC51" i="26" s="1"/>
  <c r="BA51" i="26"/>
  <c r="AD51" i="26"/>
  <c r="BK51" i="26"/>
  <c r="AN51" i="26"/>
  <c r="AZ51" i="26"/>
  <c r="AY51" i="26"/>
  <c r="AM51" i="26"/>
  <c r="AW51" i="26"/>
  <c r="AK51" i="26"/>
  <c r="AV51" i="26"/>
  <c r="AJ51" i="26"/>
  <c r="AH51" i="26"/>
  <c r="Z51" i="23"/>
  <c r="AT51" i="23" s="1"/>
  <c r="P63" i="7"/>
  <c r="D26" i="14"/>
  <c r="Y62" i="7"/>
  <c r="J63" i="7"/>
  <c r="K63" i="7" s="1"/>
  <c r="L63" i="7" s="1"/>
  <c r="U63" i="7"/>
  <c r="S63" i="7"/>
  <c r="V63" i="7"/>
  <c r="R63" i="7"/>
  <c r="B64" i="7"/>
  <c r="B65" i="7" s="1"/>
  <c r="AI63" i="7"/>
  <c r="AJ63" i="7" s="1"/>
  <c r="Z56" i="22" l="1"/>
  <c r="AT56" i="22"/>
  <c r="AP55" i="22"/>
  <c r="AO55" i="22"/>
  <c r="AC64" i="4"/>
  <c r="AE64" i="4"/>
  <c r="I66" i="4"/>
  <c r="AH64" i="4"/>
  <c r="AI64" i="4"/>
  <c r="AF64" i="4"/>
  <c r="R64" i="4"/>
  <c r="V64" i="4"/>
  <c r="U64" i="4"/>
  <c r="P64" i="4"/>
  <c r="B27" i="14"/>
  <c r="AT64" i="4"/>
  <c r="AU64" i="4" s="1"/>
  <c r="J64" i="4"/>
  <c r="AJ64" i="4"/>
  <c r="I71" i="4"/>
  <c r="I73" i="4"/>
  <c r="I68" i="4" s="1"/>
  <c r="B9" i="8" s="1"/>
  <c r="H9" i="8" s="1"/>
  <c r="B2" i="18"/>
  <c r="B7" i="8"/>
  <c r="H7" i="8" s="1"/>
  <c r="AH51" i="23"/>
  <c r="I75" i="29"/>
  <c r="AP51" i="26"/>
  <c r="AO51" i="26"/>
  <c r="BJ51" i="26"/>
  <c r="H52" i="26" s="1"/>
  <c r="Y52" i="26" s="1"/>
  <c r="BD51" i="26"/>
  <c r="BI51" i="26"/>
  <c r="G52" i="26" s="1"/>
  <c r="BG51" i="26"/>
  <c r="E52" i="26" s="1"/>
  <c r="BF51" i="26"/>
  <c r="D52" i="26" s="1"/>
  <c r="I67" i="25"/>
  <c r="I73" i="25"/>
  <c r="AA51" i="23"/>
  <c r="AB51" i="23" s="1"/>
  <c r="AC51" i="23" s="1"/>
  <c r="BK51" i="23"/>
  <c r="AD51" i="23"/>
  <c r="BA51" i="23"/>
  <c r="AM51" i="23"/>
  <c r="AZ51" i="23"/>
  <c r="AN51" i="23"/>
  <c r="AY51" i="23"/>
  <c r="AV51" i="23"/>
  <c r="AW51" i="23"/>
  <c r="AJ51" i="23"/>
  <c r="AK51" i="23"/>
  <c r="W63" i="7"/>
  <c r="X63" i="7"/>
  <c r="AB64" i="7"/>
  <c r="I64" i="7"/>
  <c r="AQ55" i="22" l="1"/>
  <c r="AH56" i="22"/>
  <c r="AM56" i="22"/>
  <c r="AN56" i="22"/>
  <c r="AK56" i="22"/>
  <c r="AD56" i="22"/>
  <c r="AZ56" i="22"/>
  <c r="AY56" i="22"/>
  <c r="AA56" i="22"/>
  <c r="AB56" i="22" s="1"/>
  <c r="AC56" i="22" s="1"/>
  <c r="BK56" i="22"/>
  <c r="AW56" i="22"/>
  <c r="BA56" i="22"/>
  <c r="AV56" i="22"/>
  <c r="AJ56" i="22"/>
  <c r="W64" i="4"/>
  <c r="X64" i="4"/>
  <c r="K64" i="4"/>
  <c r="L64" i="4" s="1"/>
  <c r="I67" i="4" s="1"/>
  <c r="B8" i="8" s="1"/>
  <c r="I72" i="4"/>
  <c r="O9" i="8"/>
  <c r="I65" i="25"/>
  <c r="I71" i="25" s="1"/>
  <c r="AM65" i="25"/>
  <c r="AS65" i="25"/>
  <c r="AQ51" i="26"/>
  <c r="I65" i="29"/>
  <c r="Z65" i="29"/>
  <c r="I66" i="29" s="1"/>
  <c r="I68" i="29" s="1"/>
  <c r="I67" i="29"/>
  <c r="B52" i="26"/>
  <c r="S52" i="26" s="1"/>
  <c r="BL51" i="26"/>
  <c r="AO51" i="23"/>
  <c r="AP51" i="23"/>
  <c r="BI51" i="23"/>
  <c r="G52" i="23" s="1"/>
  <c r="X52" i="23" s="1"/>
  <c r="BD51" i="23"/>
  <c r="BJ51" i="23"/>
  <c r="H52" i="23" s="1"/>
  <c r="Y52" i="23" s="1"/>
  <c r="BG51" i="23"/>
  <c r="E52" i="23" s="1"/>
  <c r="V52" i="23" s="1"/>
  <c r="BF51" i="23"/>
  <c r="D52" i="23" s="1"/>
  <c r="U52" i="23" s="1"/>
  <c r="Y63" i="7"/>
  <c r="P64" i="7"/>
  <c r="D27" i="14"/>
  <c r="AI64" i="7"/>
  <c r="AJ64" i="7" s="1"/>
  <c r="J64" i="7"/>
  <c r="K64" i="7" s="1"/>
  <c r="L64" i="7" s="1"/>
  <c r="S64" i="7"/>
  <c r="R64" i="7"/>
  <c r="U64" i="7"/>
  <c r="V64" i="7"/>
  <c r="I76" i="29" l="1"/>
  <c r="I77" i="29"/>
  <c r="AO56" i="22"/>
  <c r="AP56" i="22"/>
  <c r="BF56" i="22"/>
  <c r="D57" i="22" s="1"/>
  <c r="U57" i="22" s="1"/>
  <c r="BF57" i="22" s="1"/>
  <c r="D58" i="22" s="1"/>
  <c r="U58" i="22" s="1"/>
  <c r="BG56" i="22"/>
  <c r="E57" i="22" s="1"/>
  <c r="V57" i="22" s="1"/>
  <c r="BG57" i="22" s="1"/>
  <c r="E58" i="22" s="1"/>
  <c r="V58" i="22" s="1"/>
  <c r="BJ56" i="22"/>
  <c r="H57" i="22" s="1"/>
  <c r="Y57" i="22" s="1"/>
  <c r="BJ57" i="22" s="1"/>
  <c r="H58" i="22" s="1"/>
  <c r="Y58" i="22" s="1"/>
  <c r="BD56" i="22"/>
  <c r="BI56" i="22"/>
  <c r="G57" i="22" s="1"/>
  <c r="X57" i="22" s="1"/>
  <c r="BI57" i="22" s="1"/>
  <c r="G58" i="22" s="1"/>
  <c r="X58" i="22" s="1"/>
  <c r="Y64" i="4"/>
  <c r="O8" i="8"/>
  <c r="H8" i="8"/>
  <c r="I73" i="29"/>
  <c r="I72" i="29"/>
  <c r="I52" i="26"/>
  <c r="J52" i="26" s="1"/>
  <c r="K52" i="26" s="1"/>
  <c r="L52" i="26" s="1"/>
  <c r="I72" i="25"/>
  <c r="I66" i="25"/>
  <c r="I68" i="25" s="1"/>
  <c r="AQ51" i="23"/>
  <c r="I75" i="21"/>
  <c r="B52" i="23"/>
  <c r="BL51" i="23"/>
  <c r="X64" i="7"/>
  <c r="W64" i="7"/>
  <c r="B57" i="22" l="1"/>
  <c r="BL56" i="22"/>
  <c r="AQ56" i="22"/>
  <c r="I78" i="29"/>
  <c r="Z52" i="26"/>
  <c r="I65" i="21"/>
  <c r="Z65" i="21"/>
  <c r="I66" i="21" s="1"/>
  <c r="I67" i="21"/>
  <c r="C23" i="8" s="1"/>
  <c r="I52" i="23"/>
  <c r="J52" i="23" s="1"/>
  <c r="K52" i="23" s="1"/>
  <c r="L52" i="23" s="1"/>
  <c r="S52" i="23"/>
  <c r="Y64" i="7"/>
  <c r="I68" i="21" l="1"/>
  <c r="C24" i="8" s="1"/>
  <c r="C22" i="8"/>
  <c r="S57" i="22"/>
  <c r="I57" i="22"/>
  <c r="J57" i="22" s="1"/>
  <c r="K57" i="22" s="1"/>
  <c r="L57" i="22" s="1"/>
  <c r="I72" i="21"/>
  <c r="I76" i="21"/>
  <c r="C21" i="8"/>
  <c r="I77" i="21"/>
  <c r="C29" i="8" s="1"/>
  <c r="BK52" i="26"/>
  <c r="AA52" i="26"/>
  <c r="AB52" i="26" s="1"/>
  <c r="AC52" i="26" s="1"/>
  <c r="BA52" i="26"/>
  <c r="AD52" i="26"/>
  <c r="AZ52" i="26"/>
  <c r="AY52" i="26"/>
  <c r="AN52" i="26"/>
  <c r="AM52" i="26"/>
  <c r="AJ52" i="26"/>
  <c r="AW52" i="26"/>
  <c r="AV52" i="26"/>
  <c r="AK52" i="26"/>
  <c r="AH52" i="26"/>
  <c r="AT52" i="26"/>
  <c r="Z52" i="23"/>
  <c r="AT52" i="23" s="1"/>
  <c r="I73" i="21"/>
  <c r="I78" i="21" l="1"/>
  <c r="C28" i="8"/>
  <c r="Z57" i="22"/>
  <c r="BD57" i="22"/>
  <c r="B58" i="22" s="1"/>
  <c r="AO52" i="26"/>
  <c r="AP52" i="26"/>
  <c r="BF52" i="26"/>
  <c r="D53" i="26" s="1"/>
  <c r="BJ52" i="26"/>
  <c r="H53" i="26" s="1"/>
  <c r="Y53" i="26" s="1"/>
  <c r="BD52" i="26"/>
  <c r="BI52" i="26"/>
  <c r="G53" i="26" s="1"/>
  <c r="BG52" i="26"/>
  <c r="E53" i="26" s="1"/>
  <c r="BK52" i="23"/>
  <c r="AD52" i="23"/>
  <c r="AA52" i="23"/>
  <c r="AB52" i="23" s="1"/>
  <c r="AC52" i="23" s="1"/>
  <c r="BA52" i="23"/>
  <c r="AY52" i="23"/>
  <c r="AW52" i="23"/>
  <c r="AM52" i="23"/>
  <c r="AK52" i="23"/>
  <c r="AZ52" i="23"/>
  <c r="AN52" i="23"/>
  <c r="AJ52" i="23"/>
  <c r="AV52" i="23"/>
  <c r="AH52" i="23"/>
  <c r="S58" i="22" l="1"/>
  <c r="I58" i="22"/>
  <c r="J58" i="22" s="1"/>
  <c r="K58" i="22" s="1"/>
  <c r="L58" i="22" s="1"/>
  <c r="AT57" i="22"/>
  <c r="AD57" i="22"/>
  <c r="AY57" i="22"/>
  <c r="AN57" i="22"/>
  <c r="AK57" i="22"/>
  <c r="AA57" i="22"/>
  <c r="AB57" i="22" s="1"/>
  <c r="AC57" i="22" s="1"/>
  <c r="BL57" i="22"/>
  <c r="AV57" i="22"/>
  <c r="AZ57" i="22"/>
  <c r="BA57" i="22"/>
  <c r="AM57" i="22"/>
  <c r="BK57" i="22"/>
  <c r="AW57" i="22"/>
  <c r="AJ57" i="22"/>
  <c r="AH57" i="22"/>
  <c r="AQ52" i="26"/>
  <c r="B53" i="26"/>
  <c r="S53" i="26" s="1"/>
  <c r="BL52" i="26"/>
  <c r="AP52" i="23"/>
  <c r="AO52" i="23"/>
  <c r="BD52" i="23"/>
  <c r="BJ52" i="23"/>
  <c r="H53" i="23" s="1"/>
  <c r="Y53" i="23" s="1"/>
  <c r="BG52" i="23"/>
  <c r="E53" i="23" s="1"/>
  <c r="V53" i="23" s="1"/>
  <c r="BF52" i="23"/>
  <c r="D53" i="23" s="1"/>
  <c r="U53" i="23" s="1"/>
  <c r="BI52" i="23"/>
  <c r="G53" i="23" s="1"/>
  <c r="X53" i="23" s="1"/>
  <c r="Z65" i="24"/>
  <c r="I66" i="24" s="1"/>
  <c r="I65" i="24"/>
  <c r="I75" i="24"/>
  <c r="AP57" i="22" l="1"/>
  <c r="AO57" i="22"/>
  <c r="AQ57" i="22" s="1"/>
  <c r="Z58" i="22"/>
  <c r="AH58" i="22"/>
  <c r="I77" i="24"/>
  <c r="D29" i="8" s="1"/>
  <c r="I76" i="24"/>
  <c r="I53" i="26"/>
  <c r="J53" i="26" s="1"/>
  <c r="K53" i="26" s="1"/>
  <c r="L53" i="26" s="1"/>
  <c r="I68" i="24"/>
  <c r="I67" i="24"/>
  <c r="B53" i="23"/>
  <c r="BL52" i="23"/>
  <c r="I72" i="24"/>
  <c r="AQ52" i="23"/>
  <c r="I73" i="7"/>
  <c r="C30" i="8"/>
  <c r="AT58" i="22" l="1"/>
  <c r="AD58" i="22"/>
  <c r="AZ58" i="22"/>
  <c r="AY58" i="22"/>
  <c r="BK58" i="22"/>
  <c r="AM58" i="22"/>
  <c r="AW58" i="22"/>
  <c r="BA58" i="22"/>
  <c r="AK58" i="22"/>
  <c r="AA58" i="22"/>
  <c r="AB58" i="22" s="1"/>
  <c r="AC58" i="22" s="1"/>
  <c r="AV58" i="22"/>
  <c r="AN58" i="22"/>
  <c r="AJ58" i="22"/>
  <c r="AO58" i="22" s="1"/>
  <c r="I78" i="24"/>
  <c r="D28" i="8"/>
  <c r="I65" i="7"/>
  <c r="Z53" i="26"/>
  <c r="AT53" i="26" s="1"/>
  <c r="I73" i="24"/>
  <c r="I53" i="23"/>
  <c r="J53" i="23" s="1"/>
  <c r="K53" i="23" s="1"/>
  <c r="L53" i="23" s="1"/>
  <c r="S53" i="23"/>
  <c r="I67" i="7"/>
  <c r="D8" i="8" s="1"/>
  <c r="G8" i="8" s="1"/>
  <c r="BJ58" i="22" l="1"/>
  <c r="H59" i="22" s="1"/>
  <c r="Y59" i="22" s="1"/>
  <c r="BJ59" i="22" s="1"/>
  <c r="H60" i="22" s="1"/>
  <c r="Y60" i="22" s="1"/>
  <c r="BI58" i="22"/>
  <c r="G59" i="22" s="1"/>
  <c r="X59" i="22" s="1"/>
  <c r="BI59" i="22" s="1"/>
  <c r="G60" i="22" s="1"/>
  <c r="X60" i="22" s="1"/>
  <c r="BD58" i="22"/>
  <c r="BG58" i="22"/>
  <c r="E59" i="22" s="1"/>
  <c r="V59" i="22" s="1"/>
  <c r="BG59" i="22" s="1"/>
  <c r="E60" i="22" s="1"/>
  <c r="V60" i="22" s="1"/>
  <c r="BF58" i="22"/>
  <c r="D59" i="22" s="1"/>
  <c r="U59" i="22" s="1"/>
  <c r="BF59" i="22" s="1"/>
  <c r="D60" i="22" s="1"/>
  <c r="U60" i="22" s="1"/>
  <c r="AP58" i="22"/>
  <c r="AQ58" i="22" s="1"/>
  <c r="I66" i="7"/>
  <c r="D7" i="8" s="1"/>
  <c r="G7" i="8" s="1"/>
  <c r="I71" i="7"/>
  <c r="D6" i="8"/>
  <c r="B3" i="18" s="1"/>
  <c r="D14" i="8"/>
  <c r="AH53" i="26"/>
  <c r="BA53" i="26"/>
  <c r="AD53" i="26"/>
  <c r="BK53" i="26"/>
  <c r="AA53" i="26"/>
  <c r="AB53" i="26" s="1"/>
  <c r="AC53" i="26" s="1"/>
  <c r="AZ53" i="26"/>
  <c r="AV53" i="26"/>
  <c r="AN53" i="26"/>
  <c r="AJ53" i="26"/>
  <c r="AK53" i="26"/>
  <c r="AY53" i="26"/>
  <c r="AW53" i="26"/>
  <c r="AM53" i="26"/>
  <c r="Z53" i="23"/>
  <c r="F8" i="8"/>
  <c r="I72" i="7"/>
  <c r="B59" i="22" l="1"/>
  <c r="BL58" i="22"/>
  <c r="F7" i="8"/>
  <c r="I68" i="7"/>
  <c r="D9" i="8" s="1"/>
  <c r="G6" i="8"/>
  <c r="F6" i="8"/>
  <c r="J6" i="8"/>
  <c r="K6" i="8"/>
  <c r="BG53" i="26"/>
  <c r="E54" i="26" s="1"/>
  <c r="BF53" i="26"/>
  <c r="D54" i="26" s="1"/>
  <c r="BJ53" i="26"/>
  <c r="H54" i="26" s="1"/>
  <c r="Y54" i="26" s="1"/>
  <c r="BD53" i="26"/>
  <c r="BI53" i="26"/>
  <c r="G54" i="26" s="1"/>
  <c r="AP53" i="26"/>
  <c r="AO53" i="26"/>
  <c r="AD53" i="23"/>
  <c r="BK53" i="23"/>
  <c r="BA53" i="23"/>
  <c r="AA53" i="23"/>
  <c r="AB53" i="23" s="1"/>
  <c r="AC53" i="23" s="1"/>
  <c r="AN53" i="23"/>
  <c r="AJ53" i="23"/>
  <c r="AZ53" i="23"/>
  <c r="AV53" i="23"/>
  <c r="AK53" i="23"/>
  <c r="AW53" i="23"/>
  <c r="AM53" i="23"/>
  <c r="AY53" i="23"/>
  <c r="AT53" i="23"/>
  <c r="AH53" i="23"/>
  <c r="S59" i="22" l="1"/>
  <c r="I59" i="22"/>
  <c r="J59" i="22" s="1"/>
  <c r="K59" i="22" s="1"/>
  <c r="L59" i="22" s="1"/>
  <c r="F9" i="8"/>
  <c r="G9" i="8"/>
  <c r="B54" i="26"/>
  <c r="S54" i="26" s="1"/>
  <c r="BL53" i="26"/>
  <c r="AQ53" i="26"/>
  <c r="BF53" i="23"/>
  <c r="D54" i="23" s="1"/>
  <c r="U54" i="23" s="1"/>
  <c r="BJ53" i="23"/>
  <c r="H54" i="23" s="1"/>
  <c r="Y54" i="23" s="1"/>
  <c r="BI53" i="23"/>
  <c r="G54" i="23" s="1"/>
  <c r="X54" i="23" s="1"/>
  <c r="BD53" i="23"/>
  <c r="BG53" i="23"/>
  <c r="E54" i="23" s="1"/>
  <c r="V54" i="23" s="1"/>
  <c r="AO53" i="23"/>
  <c r="AP53" i="23"/>
  <c r="Z59" i="22" l="1"/>
  <c r="AT59" i="22"/>
  <c r="BD59" i="22"/>
  <c r="B60" i="22" s="1"/>
  <c r="AH59" i="22"/>
  <c r="I54" i="26"/>
  <c r="J54" i="26" s="1"/>
  <c r="K54" i="26" s="1"/>
  <c r="L54" i="26" s="1"/>
  <c r="AQ53" i="23"/>
  <c r="B54" i="23"/>
  <c r="BL53" i="23"/>
  <c r="S60" i="22" l="1"/>
  <c r="I60" i="22"/>
  <c r="J60" i="22" s="1"/>
  <c r="AA59" i="22"/>
  <c r="AB59" i="22" s="1"/>
  <c r="AC59" i="22" s="1"/>
  <c r="BL59" i="22"/>
  <c r="AV59" i="22"/>
  <c r="AY59" i="22"/>
  <c r="AD59" i="22"/>
  <c r="AJ59" i="22"/>
  <c r="AO59" i="22" s="1"/>
  <c r="AW59" i="22"/>
  <c r="BK59" i="22"/>
  <c r="AK59" i="22"/>
  <c r="AM59" i="22"/>
  <c r="BA59" i="22"/>
  <c r="AZ59" i="22"/>
  <c r="AN59" i="22"/>
  <c r="Z54" i="26"/>
  <c r="AT54" i="26" s="1"/>
  <c r="I54" i="23"/>
  <c r="J54" i="23" s="1"/>
  <c r="K54" i="23" s="1"/>
  <c r="L54" i="23" s="1"/>
  <c r="S54" i="23"/>
  <c r="K60" i="22" l="1"/>
  <c r="I69" i="22"/>
  <c r="B25" i="8" s="1"/>
  <c r="Z60" i="22"/>
  <c r="AP59" i="22"/>
  <c r="AQ59" i="22" s="1"/>
  <c r="D30" i="8"/>
  <c r="AA54" i="26"/>
  <c r="AB54" i="26" s="1"/>
  <c r="AC54" i="26" s="1"/>
  <c r="BA54" i="26"/>
  <c r="AD54" i="26"/>
  <c r="BK54" i="26"/>
  <c r="AN54" i="26"/>
  <c r="AK54" i="26"/>
  <c r="AY54" i="26"/>
  <c r="AV54" i="26"/>
  <c r="AM54" i="26"/>
  <c r="AJ54" i="26"/>
  <c r="AZ54" i="26"/>
  <c r="AW54" i="26"/>
  <c r="AH54" i="26"/>
  <c r="Z54" i="23"/>
  <c r="AT54" i="23" s="1"/>
  <c r="BK60" i="22" l="1"/>
  <c r="AJ60" i="22"/>
  <c r="AK60" i="22"/>
  <c r="AA60" i="22"/>
  <c r="AB60" i="22" s="1"/>
  <c r="AC60" i="22" s="1"/>
  <c r="AW60" i="22"/>
  <c r="AN60" i="22"/>
  <c r="AY60" i="22"/>
  <c r="AV60" i="22"/>
  <c r="AZ60" i="22"/>
  <c r="BA60" i="22"/>
  <c r="AM60" i="22"/>
  <c r="AD60" i="22"/>
  <c r="H25" i="8"/>
  <c r="AH60" i="22"/>
  <c r="L60" i="22"/>
  <c r="I70" i="22"/>
  <c r="B26" i="8" s="1"/>
  <c r="AT60" i="22"/>
  <c r="AH54" i="23"/>
  <c r="AP54" i="26"/>
  <c r="AO54" i="26"/>
  <c r="BI54" i="26"/>
  <c r="G55" i="26" s="1"/>
  <c r="BG54" i="26"/>
  <c r="E55" i="26" s="1"/>
  <c r="BF54" i="26"/>
  <c r="D55" i="26" s="1"/>
  <c r="BJ54" i="26"/>
  <c r="H55" i="26" s="1"/>
  <c r="Y55" i="26" s="1"/>
  <c r="BD54" i="26"/>
  <c r="BA54" i="23"/>
  <c r="AD54" i="23"/>
  <c r="BK54" i="23"/>
  <c r="AA54" i="23"/>
  <c r="AB54" i="23" s="1"/>
  <c r="AC54" i="23" s="1"/>
  <c r="AN54" i="23"/>
  <c r="AK54" i="23"/>
  <c r="AW54" i="23"/>
  <c r="AY54" i="23"/>
  <c r="AM54" i="23"/>
  <c r="AV54" i="23"/>
  <c r="AZ54" i="23"/>
  <c r="AJ54" i="23"/>
  <c r="AP60" i="22" l="1"/>
  <c r="AO60" i="22"/>
  <c r="AQ60" i="22" s="1"/>
  <c r="H26" i="8"/>
  <c r="BJ60" i="22"/>
  <c r="H61" i="22" s="1"/>
  <c r="Y61" i="22" s="1"/>
  <c r="BJ61" i="22" s="1"/>
  <c r="H62" i="22" s="1"/>
  <c r="Y62" i="22" s="1"/>
  <c r="BJ62" i="22" s="1"/>
  <c r="H63" i="22" s="1"/>
  <c r="Y63" i="22" s="1"/>
  <c r="BJ63" i="22" s="1"/>
  <c r="H64" i="22" s="1"/>
  <c r="Y64" i="22" s="1"/>
  <c r="BD60" i="22"/>
  <c r="BI60" i="22"/>
  <c r="G61" i="22" s="1"/>
  <c r="X61" i="22" s="1"/>
  <c r="BI61" i="22" s="1"/>
  <c r="G62" i="22" s="1"/>
  <c r="X62" i="22" s="1"/>
  <c r="BI62" i="22" s="1"/>
  <c r="G63" i="22" s="1"/>
  <c r="X63" i="22" s="1"/>
  <c r="BI63" i="22" s="1"/>
  <c r="G64" i="22" s="1"/>
  <c r="X64" i="22" s="1"/>
  <c r="BI64" i="22" s="1"/>
  <c r="G65" i="22" s="1"/>
  <c r="BG60" i="22"/>
  <c r="E61" i="22" s="1"/>
  <c r="V61" i="22" s="1"/>
  <c r="BG61" i="22" s="1"/>
  <c r="E62" i="22" s="1"/>
  <c r="V62" i="22" s="1"/>
  <c r="BG62" i="22" s="1"/>
  <c r="E63" i="22" s="1"/>
  <c r="V63" i="22" s="1"/>
  <c r="BG63" i="22" s="1"/>
  <c r="E64" i="22" s="1"/>
  <c r="V64" i="22" s="1"/>
  <c r="BG64" i="22" s="1"/>
  <c r="E65" i="22" s="1"/>
  <c r="BF60" i="22"/>
  <c r="D61" i="22" s="1"/>
  <c r="U61" i="22" s="1"/>
  <c r="BF61" i="22" s="1"/>
  <c r="D62" i="22" s="1"/>
  <c r="U62" i="22" s="1"/>
  <c r="BF62" i="22" s="1"/>
  <c r="D63" i="22" s="1"/>
  <c r="U63" i="22" s="1"/>
  <c r="BF63" i="22" s="1"/>
  <c r="D64" i="22" s="1"/>
  <c r="U64" i="22" s="1"/>
  <c r="Y65" i="22"/>
  <c r="BJ64" i="22"/>
  <c r="H65" i="22" s="1"/>
  <c r="X65" i="22"/>
  <c r="U65" i="22"/>
  <c r="BF64" i="22"/>
  <c r="D65" i="22" s="1"/>
  <c r="AQ54" i="26"/>
  <c r="B55" i="26"/>
  <c r="S55" i="26" s="1"/>
  <c r="BL54" i="26"/>
  <c r="AP54" i="23"/>
  <c r="AO54" i="23"/>
  <c r="BG54" i="23"/>
  <c r="E55" i="23" s="1"/>
  <c r="V55" i="23" s="1"/>
  <c r="BI54" i="23"/>
  <c r="G55" i="23" s="1"/>
  <c r="X55" i="23" s="1"/>
  <c r="BF54" i="23"/>
  <c r="D55" i="23" s="1"/>
  <c r="U55" i="23" s="1"/>
  <c r="BJ54" i="23"/>
  <c r="H55" i="23" s="1"/>
  <c r="Y55" i="23" s="1"/>
  <c r="BD54" i="23"/>
  <c r="V65" i="22" l="1"/>
  <c r="BD66" i="22"/>
  <c r="B61" i="22"/>
  <c r="BL60" i="22"/>
  <c r="AQ54" i="23"/>
  <c r="I55" i="26"/>
  <c r="J55" i="26" s="1"/>
  <c r="K55" i="26" s="1"/>
  <c r="L55" i="26" s="1"/>
  <c r="B55" i="23"/>
  <c r="BL54" i="23"/>
  <c r="I61" i="22" l="1"/>
  <c r="J61" i="22" s="1"/>
  <c r="K61" i="22" s="1"/>
  <c r="L61" i="22" s="1"/>
  <c r="S61" i="22"/>
  <c r="Z55" i="26"/>
  <c r="AT55" i="26" s="1"/>
  <c r="S55" i="23"/>
  <c r="I55" i="23"/>
  <c r="J55" i="23" s="1"/>
  <c r="K55" i="23" s="1"/>
  <c r="L55" i="23" s="1"/>
  <c r="Z61" i="22" l="1"/>
  <c r="AH61" i="22"/>
  <c r="BD61" i="22"/>
  <c r="B62" i="22" s="1"/>
  <c r="AA55" i="26"/>
  <c r="AB55" i="26" s="1"/>
  <c r="AC55" i="26" s="1"/>
  <c r="BA55" i="26"/>
  <c r="AD55" i="26"/>
  <c r="BK55" i="26"/>
  <c r="AW55" i="26"/>
  <c r="AY55" i="26"/>
  <c r="AV55" i="26"/>
  <c r="AK55" i="26"/>
  <c r="AM55" i="26"/>
  <c r="AJ55" i="26"/>
  <c r="AN55" i="26"/>
  <c r="AZ55" i="26"/>
  <c r="AH55" i="26"/>
  <c r="Z55" i="23"/>
  <c r="AT55" i="23" s="1"/>
  <c r="S62" i="22" l="1"/>
  <c r="I62" i="22"/>
  <c r="J62" i="22" s="1"/>
  <c r="K62" i="22" s="1"/>
  <c r="L62" i="22" s="1"/>
  <c r="AD61" i="22"/>
  <c r="BL61" i="22"/>
  <c r="AN61" i="22"/>
  <c r="AK61" i="22"/>
  <c r="AO61" i="22" s="1"/>
  <c r="BA61" i="22"/>
  <c r="AJ61" i="22"/>
  <c r="AV61" i="22"/>
  <c r="AA61" i="22"/>
  <c r="AB61" i="22" s="1"/>
  <c r="AC61" i="22" s="1"/>
  <c r="AY61" i="22"/>
  <c r="AZ61" i="22"/>
  <c r="BK61" i="22"/>
  <c r="AW61" i="22"/>
  <c r="AM61" i="22"/>
  <c r="AT61" i="22"/>
  <c r="AP55" i="26"/>
  <c r="AO55" i="26"/>
  <c r="BJ55" i="26"/>
  <c r="H56" i="26" s="1"/>
  <c r="Y56" i="26" s="1"/>
  <c r="BD55" i="26"/>
  <c r="BI55" i="26"/>
  <c r="G56" i="26" s="1"/>
  <c r="BG55" i="26"/>
  <c r="E56" i="26" s="1"/>
  <c r="BF55" i="26"/>
  <c r="D56" i="26" s="1"/>
  <c r="BK55" i="23"/>
  <c r="AD55" i="23"/>
  <c r="BA55" i="23"/>
  <c r="AA55" i="23"/>
  <c r="AB55" i="23" s="1"/>
  <c r="AC55" i="23" s="1"/>
  <c r="AV55" i="23"/>
  <c r="AK55" i="23"/>
  <c r="AY55" i="23"/>
  <c r="AJ55" i="23"/>
  <c r="AM55" i="23"/>
  <c r="AW55" i="23"/>
  <c r="AZ55" i="23"/>
  <c r="AN55" i="23"/>
  <c r="AH55" i="23"/>
  <c r="AP61" i="22" l="1"/>
  <c r="AQ61" i="22" s="1"/>
  <c r="Z62" i="22"/>
  <c r="BD62" i="22"/>
  <c r="B63" i="22" s="1"/>
  <c r="AQ55" i="26"/>
  <c r="B56" i="26"/>
  <c r="S56" i="26" s="1"/>
  <c r="BL55" i="26"/>
  <c r="BJ55" i="23"/>
  <c r="H56" i="23" s="1"/>
  <c r="Y56" i="23" s="1"/>
  <c r="BI55" i="23"/>
  <c r="G56" i="23" s="1"/>
  <c r="X56" i="23" s="1"/>
  <c r="BF55" i="23"/>
  <c r="D56" i="23" s="1"/>
  <c r="U56" i="23" s="1"/>
  <c r="BG55" i="23"/>
  <c r="E56" i="23" s="1"/>
  <c r="V56" i="23" s="1"/>
  <c r="BD55" i="23"/>
  <c r="AO55" i="23"/>
  <c r="AP55" i="23"/>
  <c r="S63" i="22" l="1"/>
  <c r="I63" i="22"/>
  <c r="J63" i="22" s="1"/>
  <c r="K63" i="22" s="1"/>
  <c r="L63" i="22" s="1"/>
  <c r="AT62" i="22"/>
  <c r="BL62" i="22"/>
  <c r="AN62" i="22"/>
  <c r="AJ62" i="22"/>
  <c r="BA62" i="22"/>
  <c r="AA62" i="22"/>
  <c r="AB62" i="22" s="1"/>
  <c r="AC62" i="22" s="1"/>
  <c r="AV62" i="22"/>
  <c r="AK62" i="22"/>
  <c r="AD62" i="22"/>
  <c r="AY62" i="22"/>
  <c r="AM62" i="22"/>
  <c r="BK62" i="22"/>
  <c r="AW62" i="22"/>
  <c r="AZ62" i="22"/>
  <c r="AH62" i="22"/>
  <c r="I56" i="26"/>
  <c r="J56" i="26" s="1"/>
  <c r="K56" i="26" s="1"/>
  <c r="L56" i="26" s="1"/>
  <c r="AQ55" i="23"/>
  <c r="B56" i="23"/>
  <c r="BL55" i="23"/>
  <c r="AO62" i="22" l="1"/>
  <c r="AP62" i="22"/>
  <c r="AT63" i="22"/>
  <c r="AH63" i="22"/>
  <c r="BD63" i="22"/>
  <c r="B64" i="22" s="1"/>
  <c r="Z63" i="22"/>
  <c r="Z56" i="26"/>
  <c r="S56" i="23"/>
  <c r="I56" i="23"/>
  <c r="J56" i="23" s="1"/>
  <c r="K56" i="23" s="1"/>
  <c r="L56" i="23" s="1"/>
  <c r="BA63" i="22" l="1"/>
  <c r="AK63" i="22"/>
  <c r="AN63" i="22"/>
  <c r="AA63" i="22"/>
  <c r="AB63" i="22" s="1"/>
  <c r="AC63" i="22" s="1"/>
  <c r="AM63" i="22"/>
  <c r="BL63" i="22"/>
  <c r="AW63" i="22"/>
  <c r="BK63" i="22"/>
  <c r="AD63" i="22"/>
  <c r="AZ63" i="22"/>
  <c r="AY63" i="22"/>
  <c r="AJ63" i="22"/>
  <c r="AO63" i="22" s="1"/>
  <c r="AV63" i="22"/>
  <c r="S64" i="22"/>
  <c r="I64" i="22"/>
  <c r="AQ62" i="22"/>
  <c r="BK56" i="26"/>
  <c r="AA56" i="26"/>
  <c r="AB56" i="26" s="1"/>
  <c r="AC56" i="26" s="1"/>
  <c r="BA56" i="26"/>
  <c r="AD56" i="26"/>
  <c r="AW56" i="26"/>
  <c r="AJ56" i="26"/>
  <c r="AK56" i="26"/>
  <c r="AV56" i="26"/>
  <c r="AM56" i="26"/>
  <c r="AZ56" i="26"/>
  <c r="AN56" i="26"/>
  <c r="AY56" i="26"/>
  <c r="AH56" i="26"/>
  <c r="AT56" i="26"/>
  <c r="Z56" i="23"/>
  <c r="AH56" i="23" s="1"/>
  <c r="Z64" i="22" l="1"/>
  <c r="BD64" i="22"/>
  <c r="B65" i="22" s="1"/>
  <c r="S65" i="22"/>
  <c r="AT64" i="22"/>
  <c r="AH64" i="22"/>
  <c r="AP63" i="22"/>
  <c r="AQ63" i="22" s="1"/>
  <c r="J64" i="22"/>
  <c r="K64" i="22" s="1"/>
  <c r="L64" i="22" s="1"/>
  <c r="I75" i="22"/>
  <c r="AT56" i="23"/>
  <c r="AO56" i="26"/>
  <c r="AP56" i="26"/>
  <c r="BF56" i="26"/>
  <c r="D57" i="26" s="1"/>
  <c r="BJ56" i="26"/>
  <c r="H57" i="26" s="1"/>
  <c r="Y57" i="26" s="1"/>
  <c r="BD56" i="26"/>
  <c r="BI56" i="26"/>
  <c r="G57" i="26" s="1"/>
  <c r="BG56" i="26"/>
  <c r="E57" i="26" s="1"/>
  <c r="BK56" i="23"/>
  <c r="BA56" i="23"/>
  <c r="AD56" i="23"/>
  <c r="AA56" i="23"/>
  <c r="AB56" i="23" s="1"/>
  <c r="AC56" i="23" s="1"/>
  <c r="AY56" i="23"/>
  <c r="AW56" i="23"/>
  <c r="AK56" i="23"/>
  <c r="AM56" i="23"/>
  <c r="AZ56" i="23"/>
  <c r="AV56" i="23"/>
  <c r="AN56" i="23"/>
  <c r="AJ56" i="23"/>
  <c r="BA64" i="22" l="1"/>
  <c r="AY64" i="22"/>
  <c r="AK64" i="22"/>
  <c r="AJ64" i="22"/>
  <c r="AP64" i="22" s="1"/>
  <c r="AM64" i="22"/>
  <c r="AA64" i="22"/>
  <c r="AB64" i="22" s="1"/>
  <c r="AC64" i="22" s="1"/>
  <c r="AD64" i="22"/>
  <c r="BL64" i="22"/>
  <c r="AW64" i="22"/>
  <c r="AV64" i="22"/>
  <c r="AZ64" i="22"/>
  <c r="BK64" i="22"/>
  <c r="AN64" i="22"/>
  <c r="B57" i="26"/>
  <c r="S57" i="26" s="1"/>
  <c r="BL56" i="26"/>
  <c r="AQ56" i="26"/>
  <c r="AO56" i="23"/>
  <c r="BJ56" i="23"/>
  <c r="H57" i="23" s="1"/>
  <c r="Y57" i="23" s="1"/>
  <c r="BG56" i="23"/>
  <c r="E57" i="23" s="1"/>
  <c r="V57" i="23" s="1"/>
  <c r="BI56" i="23"/>
  <c r="G57" i="23" s="1"/>
  <c r="X57" i="23" s="1"/>
  <c r="BD56" i="23"/>
  <c r="BF56" i="23"/>
  <c r="D57" i="23" s="1"/>
  <c r="U57" i="23" s="1"/>
  <c r="AP56" i="23"/>
  <c r="AO64" i="22" l="1"/>
  <c r="AQ64" i="22" s="1"/>
  <c r="AQ56" i="23"/>
  <c r="I57" i="26"/>
  <c r="J57" i="26" s="1"/>
  <c r="K57" i="26" s="1"/>
  <c r="L57" i="26" s="1"/>
  <c r="B57" i="23"/>
  <c r="BL56" i="23"/>
  <c r="Z57" i="26" l="1"/>
  <c r="AT57" i="26" s="1"/>
  <c r="I57" i="23"/>
  <c r="J57" i="23" s="1"/>
  <c r="K57" i="23" s="1"/>
  <c r="L57" i="23" s="1"/>
  <c r="S57" i="23"/>
  <c r="AH57" i="26" l="1"/>
  <c r="BA57" i="26"/>
  <c r="AD57" i="26"/>
  <c r="BK57" i="26"/>
  <c r="AA57" i="26"/>
  <c r="AB57" i="26" s="1"/>
  <c r="AC57" i="26" s="1"/>
  <c r="AZ57" i="26"/>
  <c r="AY57" i="26"/>
  <c r="AM57" i="26"/>
  <c r="AV57" i="26"/>
  <c r="AW57" i="26"/>
  <c r="AN57" i="26"/>
  <c r="AK57" i="26"/>
  <c r="AJ57" i="26"/>
  <c r="Z65" i="22"/>
  <c r="I66" i="22" s="1"/>
  <c r="B22" i="8" s="1"/>
  <c r="I65" i="22"/>
  <c r="B21" i="8" s="1"/>
  <c r="Z57" i="23"/>
  <c r="AH57" i="23" s="1"/>
  <c r="I77" i="22" l="1"/>
  <c r="B29" i="8" s="1"/>
  <c r="I76" i="22"/>
  <c r="B28" i="8" s="1"/>
  <c r="BG57" i="26"/>
  <c r="E58" i="26" s="1"/>
  <c r="BF57" i="26"/>
  <c r="D58" i="26" s="1"/>
  <c r="BJ57" i="26"/>
  <c r="H58" i="26" s="1"/>
  <c r="Y58" i="26" s="1"/>
  <c r="BD57" i="26"/>
  <c r="BI57" i="26"/>
  <c r="G58" i="26" s="1"/>
  <c r="AP57" i="26"/>
  <c r="AO57" i="26"/>
  <c r="I72" i="22"/>
  <c r="BA57" i="23"/>
  <c r="AD57" i="23"/>
  <c r="BK57" i="23"/>
  <c r="AA57" i="23"/>
  <c r="AB57" i="23" s="1"/>
  <c r="AC57" i="23" s="1"/>
  <c r="AM57" i="23"/>
  <c r="AZ57" i="23"/>
  <c r="AN57" i="23"/>
  <c r="AY57" i="23"/>
  <c r="AJ57" i="23"/>
  <c r="AW57" i="23"/>
  <c r="AV57" i="23"/>
  <c r="AK57" i="23"/>
  <c r="AT57" i="23"/>
  <c r="I78" i="22" l="1"/>
  <c r="B58" i="26"/>
  <c r="S58" i="26" s="1"/>
  <c r="BL57" i="26"/>
  <c r="AQ57" i="26"/>
  <c r="AP57" i="23"/>
  <c r="AO57" i="23"/>
  <c r="BI57" i="23"/>
  <c r="G58" i="23" s="1"/>
  <c r="X58" i="23" s="1"/>
  <c r="BD57" i="23"/>
  <c r="BG57" i="23"/>
  <c r="E58" i="23" s="1"/>
  <c r="V58" i="23" s="1"/>
  <c r="BJ57" i="23"/>
  <c r="H58" i="23" s="1"/>
  <c r="Y58" i="23" s="1"/>
  <c r="BF57" i="23"/>
  <c r="D58" i="23" s="1"/>
  <c r="U58" i="23" s="1"/>
  <c r="AQ57" i="23" l="1"/>
  <c r="I58" i="26"/>
  <c r="J58" i="26" s="1"/>
  <c r="K58" i="26" s="1"/>
  <c r="L58" i="26" s="1"/>
  <c r="B58" i="23"/>
  <c r="BL57" i="23"/>
  <c r="I68" i="22" l="1"/>
  <c r="B24" i="8" s="1"/>
  <c r="Z58" i="26"/>
  <c r="I58" i="23"/>
  <c r="J58" i="23" s="1"/>
  <c r="K58" i="23" s="1"/>
  <c r="L58" i="23" s="1"/>
  <c r="S58" i="23"/>
  <c r="BK58" i="26" l="1"/>
  <c r="BA58" i="26"/>
  <c r="AD58" i="26"/>
  <c r="AA58" i="26"/>
  <c r="AB58" i="26" s="1"/>
  <c r="AC58" i="26" s="1"/>
  <c r="AJ58" i="26"/>
  <c r="AV58" i="26"/>
  <c r="AM58" i="26"/>
  <c r="AW58" i="26"/>
  <c r="AZ58" i="26"/>
  <c r="AK58" i="26"/>
  <c r="AN58" i="26"/>
  <c r="AY58" i="26"/>
  <c r="AT58" i="26"/>
  <c r="AH58" i="26"/>
  <c r="Z58" i="23"/>
  <c r="AH58" i="23" s="1"/>
  <c r="C41" i="19"/>
  <c r="H41" i="19"/>
  <c r="F41" i="19"/>
  <c r="AT40" i="19"/>
  <c r="AU40" i="19" s="1"/>
  <c r="B41" i="19"/>
  <c r="I67" i="22" l="1"/>
  <c r="B23" i="8" s="1"/>
  <c r="I73" i="22"/>
  <c r="AT58" i="23"/>
  <c r="AO58" i="26"/>
  <c r="AP58" i="26"/>
  <c r="BF58" i="26"/>
  <c r="D59" i="26" s="1"/>
  <c r="BJ58" i="26"/>
  <c r="H59" i="26" s="1"/>
  <c r="Y59" i="26" s="1"/>
  <c r="BI58" i="26"/>
  <c r="G59" i="26" s="1"/>
  <c r="BG58" i="26"/>
  <c r="E59" i="26" s="1"/>
  <c r="BD58" i="26"/>
  <c r="BA58" i="23"/>
  <c r="AD58" i="23"/>
  <c r="BK58" i="23"/>
  <c r="AA58" i="23"/>
  <c r="AB58" i="23" s="1"/>
  <c r="AC58" i="23" s="1"/>
  <c r="AN58" i="23"/>
  <c r="AW58" i="23"/>
  <c r="AZ58" i="23"/>
  <c r="AK58" i="23"/>
  <c r="AJ58" i="23"/>
  <c r="AY58" i="23"/>
  <c r="AM58" i="23"/>
  <c r="AV58" i="23"/>
  <c r="I41" i="19"/>
  <c r="AQ58" i="26" l="1"/>
  <c r="B59" i="26"/>
  <c r="S59" i="26" s="1"/>
  <c r="BL58" i="26"/>
  <c r="AP58" i="23"/>
  <c r="BJ58" i="23"/>
  <c r="H59" i="23" s="1"/>
  <c r="Y59" i="23" s="1"/>
  <c r="BI58" i="23"/>
  <c r="G59" i="23" s="1"/>
  <c r="X59" i="23" s="1"/>
  <c r="BG58" i="23"/>
  <c r="E59" i="23" s="1"/>
  <c r="V59" i="23" s="1"/>
  <c r="BD58" i="23"/>
  <c r="BF58" i="23"/>
  <c r="D59" i="23" s="1"/>
  <c r="U59" i="23" s="1"/>
  <c r="AO58" i="23"/>
  <c r="T41" i="19"/>
  <c r="AS41" i="19"/>
  <c r="AQ41" i="19"/>
  <c r="AM41" i="19"/>
  <c r="AN41" i="19"/>
  <c r="AD41" i="19"/>
  <c r="P41" i="19"/>
  <c r="AC41" i="19"/>
  <c r="AG41" i="19"/>
  <c r="AJ41" i="19"/>
  <c r="V41" i="19"/>
  <c r="J41" i="19"/>
  <c r="AI41" i="19"/>
  <c r="Q41" i="19"/>
  <c r="AT41" i="19" l="1"/>
  <c r="AU41" i="19" s="1"/>
  <c r="AQ58" i="23"/>
  <c r="I59" i="26"/>
  <c r="J59" i="26" s="1"/>
  <c r="K59" i="26" s="1"/>
  <c r="L59" i="26" s="1"/>
  <c r="B59" i="23"/>
  <c r="BL58" i="23"/>
  <c r="B42" i="19"/>
  <c r="H42" i="19"/>
  <c r="C42" i="19"/>
  <c r="F42" i="19"/>
  <c r="X41" i="19"/>
  <c r="K41" i="19"/>
  <c r="L41" i="19" s="1"/>
  <c r="W41" i="19"/>
  <c r="Z59" i="26" l="1"/>
  <c r="AH59" i="26" s="1"/>
  <c r="S59" i="23"/>
  <c r="I59" i="23"/>
  <c r="J59" i="23" s="1"/>
  <c r="K59" i="23" s="1"/>
  <c r="L59" i="23" s="1"/>
  <c r="O24" i="8"/>
  <c r="H24" i="8"/>
  <c r="B30" i="8"/>
  <c r="H22" i="8"/>
  <c r="I42" i="19"/>
  <c r="Y41" i="19"/>
  <c r="BA59" i="26" l="1"/>
  <c r="AD59" i="26"/>
  <c r="BK59" i="26"/>
  <c r="AA59" i="26"/>
  <c r="AB59" i="26" s="1"/>
  <c r="AC59" i="26" s="1"/>
  <c r="AW59" i="26"/>
  <c r="AM59" i="26"/>
  <c r="AN59" i="26"/>
  <c r="AV59" i="26"/>
  <c r="AK59" i="26"/>
  <c r="AZ59" i="26"/>
  <c r="AY59" i="26"/>
  <c r="AJ59" i="26"/>
  <c r="AT59" i="26"/>
  <c r="Z59" i="23"/>
  <c r="AT59" i="23" s="1"/>
  <c r="H23" i="8"/>
  <c r="O23" i="8"/>
  <c r="H21" i="8"/>
  <c r="P42" i="19"/>
  <c r="AC42" i="19"/>
  <c r="AD42" i="19"/>
  <c r="AN42" i="19"/>
  <c r="AM42" i="19"/>
  <c r="AQ42" i="19"/>
  <c r="AS42" i="19"/>
  <c r="AJ42" i="19"/>
  <c r="J42" i="19"/>
  <c r="K42" i="19" s="1"/>
  <c r="L42" i="19" s="1"/>
  <c r="V42" i="19"/>
  <c r="T42" i="19"/>
  <c r="AI42" i="19"/>
  <c r="Q42" i="19"/>
  <c r="AG42" i="19"/>
  <c r="W42" i="19" l="1"/>
  <c r="AT42" i="19"/>
  <c r="AU42" i="19" s="1"/>
  <c r="AP59" i="26"/>
  <c r="BG59" i="26"/>
  <c r="E60" i="26" s="1"/>
  <c r="BJ59" i="26"/>
  <c r="H60" i="26" s="1"/>
  <c r="Y60" i="26" s="1"/>
  <c r="BD59" i="26"/>
  <c r="BF59" i="26"/>
  <c r="D60" i="26" s="1"/>
  <c r="BI59" i="26"/>
  <c r="G60" i="26" s="1"/>
  <c r="AO59" i="26"/>
  <c r="BK59" i="23"/>
  <c r="AD59" i="23"/>
  <c r="AA59" i="23"/>
  <c r="AB59" i="23" s="1"/>
  <c r="AC59" i="23" s="1"/>
  <c r="BA59" i="23"/>
  <c r="AZ59" i="23"/>
  <c r="AN59" i="23"/>
  <c r="AM59" i="23"/>
  <c r="AK59" i="23"/>
  <c r="AW59" i="23"/>
  <c r="AY59" i="23"/>
  <c r="AV59" i="23"/>
  <c r="AJ59" i="23"/>
  <c r="AH59" i="23"/>
  <c r="H43" i="19"/>
  <c r="F43" i="19"/>
  <c r="X42" i="19"/>
  <c r="Y42" i="19" s="1"/>
  <c r="C43" i="19"/>
  <c r="B43" i="19"/>
  <c r="AQ59" i="26" l="1"/>
  <c r="B60" i="26"/>
  <c r="S60" i="26" s="1"/>
  <c r="BL59" i="26"/>
  <c r="AO59" i="23"/>
  <c r="AP59" i="23"/>
  <c r="BD59" i="23"/>
  <c r="BG59" i="23"/>
  <c r="E60" i="23" s="1"/>
  <c r="V60" i="23" s="1"/>
  <c r="BF59" i="23"/>
  <c r="D60" i="23" s="1"/>
  <c r="U60" i="23" s="1"/>
  <c r="BJ59" i="23"/>
  <c r="H60" i="23" s="1"/>
  <c r="Y60" i="23" s="1"/>
  <c r="BI59" i="23"/>
  <c r="G60" i="23" s="1"/>
  <c r="X60" i="23" s="1"/>
  <c r="I43" i="19"/>
  <c r="P43" i="19" s="1"/>
  <c r="I60" i="26" l="1"/>
  <c r="J60" i="26" s="1"/>
  <c r="B60" i="23"/>
  <c r="BL59" i="23"/>
  <c r="AQ59" i="23"/>
  <c r="V43" i="19"/>
  <c r="AS43" i="19"/>
  <c r="AQ43" i="19"/>
  <c r="AM43" i="19"/>
  <c r="AT43" i="19" s="1"/>
  <c r="AU43" i="19" s="1"/>
  <c r="AN43" i="19"/>
  <c r="AJ43" i="19"/>
  <c r="J43" i="19"/>
  <c r="K43" i="19" s="1"/>
  <c r="L43" i="19" s="1"/>
  <c r="Q43" i="19"/>
  <c r="AI43" i="19"/>
  <c r="AG43" i="19"/>
  <c r="T43" i="19"/>
  <c r="AC43" i="19"/>
  <c r="AD43" i="19"/>
  <c r="Z60" i="26" l="1"/>
  <c r="AT60" i="26" s="1"/>
  <c r="I69" i="26"/>
  <c r="D25" i="8" s="1"/>
  <c r="K60" i="26"/>
  <c r="I60" i="23"/>
  <c r="J60" i="23" s="1"/>
  <c r="S60" i="23"/>
  <c r="X43" i="19"/>
  <c r="C44" i="19"/>
  <c r="B44" i="19"/>
  <c r="W43" i="19"/>
  <c r="H44" i="19"/>
  <c r="F44" i="19"/>
  <c r="G25" i="8" l="1"/>
  <c r="F25" i="8"/>
  <c r="I70" i="26"/>
  <c r="D26" i="8" s="1"/>
  <c r="L60" i="26"/>
  <c r="AA60" i="26"/>
  <c r="AB60" i="26" s="1"/>
  <c r="AC60" i="26" s="1"/>
  <c r="BA60" i="26"/>
  <c r="AD60" i="26"/>
  <c r="BK60" i="26"/>
  <c r="AJ60" i="26"/>
  <c r="AW60" i="26"/>
  <c r="AZ60" i="26"/>
  <c r="AV60" i="26"/>
  <c r="AM60" i="26"/>
  <c r="AK60" i="26"/>
  <c r="AN60" i="26"/>
  <c r="AY60" i="26"/>
  <c r="AH60" i="26"/>
  <c r="Z60" i="23"/>
  <c r="K60" i="23"/>
  <c r="I69" i="23"/>
  <c r="I25" i="8" s="1"/>
  <c r="Y43" i="19"/>
  <c r="I44" i="19"/>
  <c r="P44" i="19" s="1"/>
  <c r="G26" i="8" l="1"/>
  <c r="F26" i="8"/>
  <c r="AP60" i="26"/>
  <c r="AO60" i="26"/>
  <c r="BI60" i="26"/>
  <c r="G61" i="26" s="1"/>
  <c r="BG60" i="26"/>
  <c r="E61" i="26" s="1"/>
  <c r="BF60" i="26"/>
  <c r="D61" i="26" s="1"/>
  <c r="BD60" i="26"/>
  <c r="BJ60" i="26"/>
  <c r="H61" i="26" s="1"/>
  <c r="Y61" i="26" s="1"/>
  <c r="L60" i="23"/>
  <c r="I70" i="23"/>
  <c r="I26" i="8" s="1"/>
  <c r="BA60" i="23"/>
  <c r="AD60" i="23"/>
  <c r="AA60" i="23"/>
  <c r="AB60" i="23" s="1"/>
  <c r="AC60" i="23" s="1"/>
  <c r="BK60" i="23"/>
  <c r="AM60" i="23"/>
  <c r="AJ60" i="23"/>
  <c r="AY60" i="23"/>
  <c r="AV60" i="23"/>
  <c r="AN60" i="23"/>
  <c r="AK60" i="23"/>
  <c r="AW60" i="23"/>
  <c r="AZ60" i="23"/>
  <c r="AH60" i="23"/>
  <c r="AT60" i="23"/>
  <c r="AG44" i="19"/>
  <c r="AI44" i="19"/>
  <c r="V44" i="19"/>
  <c r="Q44" i="19"/>
  <c r="AD44" i="19"/>
  <c r="AC44" i="19"/>
  <c r="AN44" i="19"/>
  <c r="AM44" i="19"/>
  <c r="AS44" i="19"/>
  <c r="AQ44" i="19"/>
  <c r="AJ44" i="19"/>
  <c r="J44" i="19"/>
  <c r="K44" i="19" s="1"/>
  <c r="L44" i="19" s="1"/>
  <c r="T44" i="19"/>
  <c r="AT44" i="19" l="1"/>
  <c r="AQ60" i="26"/>
  <c r="B61" i="26"/>
  <c r="S61" i="26" s="1"/>
  <c r="BL60" i="26"/>
  <c r="BF60" i="23"/>
  <c r="D61" i="23" s="1"/>
  <c r="U61" i="23" s="1"/>
  <c r="BD60" i="23"/>
  <c r="BJ60" i="23"/>
  <c r="H61" i="23" s="1"/>
  <c r="Y61" i="23" s="1"/>
  <c r="BG60" i="23"/>
  <c r="E61" i="23" s="1"/>
  <c r="V61" i="23" s="1"/>
  <c r="BI60" i="23"/>
  <c r="G61" i="23" s="1"/>
  <c r="X61" i="23" s="1"/>
  <c r="AP60" i="23"/>
  <c r="AO60" i="23"/>
  <c r="AQ60" i="23" s="1"/>
  <c r="W44" i="19"/>
  <c r="H45" i="19"/>
  <c r="AU44" i="19"/>
  <c r="F45" i="19"/>
  <c r="B45" i="19"/>
  <c r="X44" i="19"/>
  <c r="C45" i="19"/>
  <c r="I61" i="26" l="1"/>
  <c r="J61" i="26" s="1"/>
  <c r="K61" i="26" s="1"/>
  <c r="L61" i="26" s="1"/>
  <c r="B61" i="23"/>
  <c r="BL60" i="23"/>
  <c r="Y44" i="19"/>
  <c r="I45" i="19"/>
  <c r="AC45" i="19" s="1"/>
  <c r="Z61" i="26" l="1"/>
  <c r="I61" i="23"/>
  <c r="J61" i="23" s="1"/>
  <c r="K61" i="23" s="1"/>
  <c r="L61" i="23" s="1"/>
  <c r="S61" i="23"/>
  <c r="Q45" i="19"/>
  <c r="V45" i="19"/>
  <c r="AD45" i="19"/>
  <c r="P45" i="19"/>
  <c r="AS45" i="19"/>
  <c r="AQ45" i="19"/>
  <c r="AM45" i="19"/>
  <c r="AN45" i="19"/>
  <c r="AJ45" i="19"/>
  <c r="J45" i="19"/>
  <c r="K45" i="19" s="1"/>
  <c r="L45" i="19" s="1"/>
  <c r="T45" i="19"/>
  <c r="AG45" i="19"/>
  <c r="AI45" i="19"/>
  <c r="AT45" i="19" l="1"/>
  <c r="AU45" i="19" s="1"/>
  <c r="AA61" i="26"/>
  <c r="AB61" i="26" s="1"/>
  <c r="AC61" i="26" s="1"/>
  <c r="BA61" i="26"/>
  <c r="AD61" i="26"/>
  <c r="BK61" i="26"/>
  <c r="AW61" i="26"/>
  <c r="AK61" i="26"/>
  <c r="AZ61" i="26"/>
  <c r="AY61" i="26"/>
  <c r="AN61" i="26"/>
  <c r="AJ61" i="26"/>
  <c r="AM61" i="26"/>
  <c r="AV61" i="26"/>
  <c r="AH61" i="26"/>
  <c r="AT61" i="26"/>
  <c r="Z61" i="23"/>
  <c r="AH61" i="23" s="1"/>
  <c r="B46" i="19"/>
  <c r="H46" i="19"/>
  <c r="C46" i="19"/>
  <c r="F46" i="19"/>
  <c r="W45" i="19"/>
  <c r="X45" i="19"/>
  <c r="AT61" i="23" l="1"/>
  <c r="AP61" i="26"/>
  <c r="AO61" i="26"/>
  <c r="BJ61" i="26"/>
  <c r="H62" i="26" s="1"/>
  <c r="Y62" i="26" s="1"/>
  <c r="BD61" i="26"/>
  <c r="BI61" i="26"/>
  <c r="G62" i="26" s="1"/>
  <c r="BG61" i="26"/>
  <c r="E62" i="26" s="1"/>
  <c r="BF61" i="26"/>
  <c r="D62" i="26" s="1"/>
  <c r="AA61" i="23"/>
  <c r="AB61" i="23" s="1"/>
  <c r="AC61" i="23" s="1"/>
  <c r="BK61" i="23"/>
  <c r="AD61" i="23"/>
  <c r="BA61" i="23"/>
  <c r="AN61" i="23"/>
  <c r="AV61" i="23"/>
  <c r="AJ61" i="23"/>
  <c r="AK61" i="23"/>
  <c r="AY61" i="23"/>
  <c r="AM61" i="23"/>
  <c r="AZ61" i="23"/>
  <c r="AW61" i="23"/>
  <c r="I46" i="19"/>
  <c r="Y45" i="19"/>
  <c r="T46" i="19" l="1"/>
  <c r="AQ46" i="19"/>
  <c r="G47" i="19" s="1"/>
  <c r="P46" i="19"/>
  <c r="AQ61" i="26"/>
  <c r="B62" i="26"/>
  <c r="S62" i="26" s="1"/>
  <c r="BL61" i="26"/>
  <c r="AP61" i="23"/>
  <c r="BG61" i="23"/>
  <c r="E62" i="23" s="1"/>
  <c r="V62" i="23" s="1"/>
  <c r="BF61" i="23"/>
  <c r="D62" i="23" s="1"/>
  <c r="U62" i="23" s="1"/>
  <c r="BJ61" i="23"/>
  <c r="H62" i="23" s="1"/>
  <c r="Y62" i="23" s="1"/>
  <c r="BI61" i="23"/>
  <c r="G62" i="23" s="1"/>
  <c r="X62" i="23" s="1"/>
  <c r="BD61" i="23"/>
  <c r="AO61" i="23"/>
  <c r="AC46" i="19"/>
  <c r="AD46" i="19"/>
  <c r="AI46" i="19"/>
  <c r="AN46" i="19"/>
  <c r="AM46" i="19"/>
  <c r="AS46" i="19"/>
  <c r="AJ46" i="19"/>
  <c r="J46" i="19"/>
  <c r="K46" i="19" s="1"/>
  <c r="L46" i="19" s="1"/>
  <c r="Q46" i="19"/>
  <c r="V46" i="19"/>
  <c r="AG46" i="19"/>
  <c r="AT46" i="19" l="1"/>
  <c r="AU46" i="19" s="1"/>
  <c r="X46" i="19"/>
  <c r="I62" i="26"/>
  <c r="J62" i="26" s="1"/>
  <c r="K62" i="26" s="1"/>
  <c r="L62" i="26" s="1"/>
  <c r="AQ61" i="23"/>
  <c r="B62" i="23"/>
  <c r="BL61" i="23"/>
  <c r="B47" i="19"/>
  <c r="W46" i="19"/>
  <c r="H47" i="19"/>
  <c r="C47" i="19"/>
  <c r="Y46" i="19" l="1"/>
  <c r="Z62" i="26"/>
  <c r="AT62" i="26" s="1"/>
  <c r="S62" i="23"/>
  <c r="I62" i="23"/>
  <c r="J62" i="23" s="1"/>
  <c r="K62" i="23" s="1"/>
  <c r="L62" i="23" s="1"/>
  <c r="I47" i="19"/>
  <c r="U47" i="19" l="1"/>
  <c r="AH47" i="19"/>
  <c r="V47" i="19"/>
  <c r="AR47" i="19"/>
  <c r="G48" i="19" s="1"/>
  <c r="Q47" i="19"/>
  <c r="P47" i="19"/>
  <c r="AD47" i="19"/>
  <c r="AH62" i="26"/>
  <c r="BK62" i="26"/>
  <c r="AA62" i="26"/>
  <c r="AB62" i="26" s="1"/>
  <c r="AC62" i="26" s="1"/>
  <c r="BA62" i="26"/>
  <c r="AD62" i="26"/>
  <c r="AW62" i="26"/>
  <c r="AZ62" i="26"/>
  <c r="AV62" i="26"/>
  <c r="AK62" i="26"/>
  <c r="AN62" i="26"/>
  <c r="AY62" i="26"/>
  <c r="AJ62" i="26"/>
  <c r="AM62" i="26"/>
  <c r="Z62" i="23"/>
  <c r="AH62" i="23" s="1"/>
  <c r="AC47" i="19"/>
  <c r="AI47" i="19"/>
  <c r="AS47" i="19"/>
  <c r="AM47" i="19"/>
  <c r="AN47" i="19"/>
  <c r="AJ47" i="19"/>
  <c r="J47" i="19"/>
  <c r="K47" i="19" s="1"/>
  <c r="L47" i="19" s="1"/>
  <c r="X47" i="19"/>
  <c r="AT47" i="19" l="1"/>
  <c r="AU47" i="19" s="1"/>
  <c r="AT62" i="23"/>
  <c r="AO62" i="26"/>
  <c r="BF62" i="26"/>
  <c r="D63" i="26" s="1"/>
  <c r="BJ62" i="26"/>
  <c r="H63" i="26" s="1"/>
  <c r="Y63" i="26" s="1"/>
  <c r="BD62" i="26"/>
  <c r="BI62" i="26"/>
  <c r="G63" i="26" s="1"/>
  <c r="BG62" i="26"/>
  <c r="E63" i="26" s="1"/>
  <c r="AP62" i="26"/>
  <c r="AA62" i="23"/>
  <c r="AB62" i="23" s="1"/>
  <c r="AC62" i="23" s="1"/>
  <c r="AD62" i="23"/>
  <c r="BK62" i="23"/>
  <c r="BA62" i="23"/>
  <c r="AW62" i="23"/>
  <c r="AK62" i="23"/>
  <c r="AN62" i="23"/>
  <c r="AM62" i="23"/>
  <c r="AY62" i="23"/>
  <c r="AV62" i="23"/>
  <c r="AJ62" i="23"/>
  <c r="AZ62" i="23"/>
  <c r="H48" i="19"/>
  <c r="C48" i="19"/>
  <c r="B48" i="19"/>
  <c r="W47" i="19"/>
  <c r="Y47" i="19" s="1"/>
  <c r="AQ62" i="26" l="1"/>
  <c r="B63" i="26"/>
  <c r="S63" i="26" s="1"/>
  <c r="BL62" i="26"/>
  <c r="AP62" i="23"/>
  <c r="AO62" i="23"/>
  <c r="BI62" i="23"/>
  <c r="G63" i="23" s="1"/>
  <c r="X63" i="23" s="1"/>
  <c r="BG62" i="23"/>
  <c r="E63" i="23" s="1"/>
  <c r="V63" i="23" s="1"/>
  <c r="BD62" i="23"/>
  <c r="BF62" i="23"/>
  <c r="D63" i="23" s="1"/>
  <c r="U63" i="23" s="1"/>
  <c r="BJ62" i="23"/>
  <c r="H63" i="23" s="1"/>
  <c r="Y63" i="23" s="1"/>
  <c r="I48" i="19"/>
  <c r="U48" i="19" l="1"/>
  <c r="AH48" i="19"/>
  <c r="AI48" i="19"/>
  <c r="AR48" i="19"/>
  <c r="G49" i="19" s="1"/>
  <c r="AQ62" i="23"/>
  <c r="I63" i="26"/>
  <c r="J63" i="26" s="1"/>
  <c r="K63" i="26" s="1"/>
  <c r="L63" i="26" s="1"/>
  <c r="B63" i="23"/>
  <c r="BL62" i="23"/>
  <c r="AC48" i="19"/>
  <c r="AN48" i="19"/>
  <c r="AM48" i="19"/>
  <c r="AS48" i="19"/>
  <c r="AJ48" i="19"/>
  <c r="J48" i="19"/>
  <c r="K48" i="19" s="1"/>
  <c r="L48" i="19" s="1"/>
  <c r="V48" i="19"/>
  <c r="AD48" i="19"/>
  <c r="P48" i="19"/>
  <c r="Q48" i="19"/>
  <c r="AT48" i="19" l="1"/>
  <c r="AU48" i="19" s="1"/>
  <c r="E49" i="19"/>
  <c r="D49" i="19"/>
  <c r="Z63" i="26"/>
  <c r="S63" i="23"/>
  <c r="I63" i="23"/>
  <c r="J63" i="23" s="1"/>
  <c r="K63" i="23" s="1"/>
  <c r="L63" i="23" s="1"/>
  <c r="W48" i="19"/>
  <c r="X48" i="19"/>
  <c r="B49" i="19"/>
  <c r="H49" i="19"/>
  <c r="R49" i="19" l="1"/>
  <c r="AF49" i="19"/>
  <c r="S49" i="19"/>
  <c r="AA63" i="26"/>
  <c r="AB63" i="26" s="1"/>
  <c r="AC63" i="26" s="1"/>
  <c r="BA63" i="26"/>
  <c r="AD63" i="26"/>
  <c r="BK63" i="26"/>
  <c r="AZ63" i="26"/>
  <c r="AM63" i="26"/>
  <c r="AV63" i="26"/>
  <c r="AK63" i="26"/>
  <c r="AN63" i="26"/>
  <c r="AW63" i="26"/>
  <c r="AY63" i="26"/>
  <c r="AJ63" i="26"/>
  <c r="AH63" i="26"/>
  <c r="AT63" i="26"/>
  <c r="Z63" i="23"/>
  <c r="Y48" i="19"/>
  <c r="I49" i="19"/>
  <c r="AO49" i="19" l="1"/>
  <c r="D50" i="19" s="1"/>
  <c r="AP49" i="19"/>
  <c r="E50" i="19" s="1"/>
  <c r="AE49" i="19"/>
  <c r="AR49" i="19"/>
  <c r="G50" i="19" s="1"/>
  <c r="BI63" i="26"/>
  <c r="G64" i="26" s="1"/>
  <c r="BG63" i="26"/>
  <c r="E64" i="26" s="1"/>
  <c r="BD63" i="26"/>
  <c r="BJ63" i="26"/>
  <c r="H64" i="26" s="1"/>
  <c r="Y64" i="26" s="1"/>
  <c r="BF63" i="26"/>
  <c r="D64" i="26" s="1"/>
  <c r="AP63" i="26"/>
  <c r="AO63" i="26"/>
  <c r="AA63" i="23"/>
  <c r="AB63" i="23" s="1"/>
  <c r="AC63" i="23" s="1"/>
  <c r="BK63" i="23"/>
  <c r="BA63" i="23"/>
  <c r="AD63" i="23"/>
  <c r="AJ63" i="23"/>
  <c r="AN63" i="23"/>
  <c r="AK63" i="23"/>
  <c r="AM63" i="23"/>
  <c r="AV63" i="23"/>
  <c r="AZ63" i="23"/>
  <c r="AW63" i="23"/>
  <c r="AY63" i="23"/>
  <c r="AH63" i="23"/>
  <c r="AT63" i="23"/>
  <c r="U49" i="19"/>
  <c r="V49" i="19"/>
  <c r="AI49" i="19"/>
  <c r="AC49" i="19"/>
  <c r="P49" i="19"/>
  <c r="AS49" i="19"/>
  <c r="AM49" i="19"/>
  <c r="AT49" i="19" s="1"/>
  <c r="AU49" i="19" s="1"/>
  <c r="J49" i="19"/>
  <c r="K49" i="19" s="1"/>
  <c r="L49" i="19" s="1"/>
  <c r="AJ49" i="19"/>
  <c r="AH49" i="19"/>
  <c r="X65" i="26" l="1"/>
  <c r="U65" i="26"/>
  <c r="V65" i="26"/>
  <c r="AQ63" i="26"/>
  <c r="B64" i="26"/>
  <c r="S64" i="26" s="1"/>
  <c r="BL63" i="26"/>
  <c r="AP63" i="23"/>
  <c r="AO63" i="23"/>
  <c r="BJ63" i="23"/>
  <c r="H64" i="23" s="1"/>
  <c r="Y64" i="23" s="1"/>
  <c r="Y65" i="23" s="1"/>
  <c r="BI63" i="23"/>
  <c r="G64" i="23" s="1"/>
  <c r="X64" i="23" s="1"/>
  <c r="X65" i="23" s="1"/>
  <c r="BF63" i="23"/>
  <c r="D64" i="23" s="1"/>
  <c r="U64" i="23" s="1"/>
  <c r="U65" i="23" s="1"/>
  <c r="BG63" i="23"/>
  <c r="E64" i="23" s="1"/>
  <c r="V64" i="23" s="1"/>
  <c r="V65" i="23" s="1"/>
  <c r="BD63" i="23"/>
  <c r="H50" i="19"/>
  <c r="B50" i="19"/>
  <c r="X49" i="19"/>
  <c r="W49" i="19"/>
  <c r="S65" i="26" l="1"/>
  <c r="Y65" i="26"/>
  <c r="AQ63" i="23"/>
  <c r="I64" i="26"/>
  <c r="J64" i="26" s="1"/>
  <c r="K64" i="26" s="1"/>
  <c r="L64" i="26" s="1"/>
  <c r="B64" i="23"/>
  <c r="BL63" i="23"/>
  <c r="Y49" i="19"/>
  <c r="I50" i="19"/>
  <c r="S50" i="19" l="1"/>
  <c r="R50" i="19"/>
  <c r="AP50" i="19"/>
  <c r="E51" i="19" s="1"/>
  <c r="AO50" i="19"/>
  <c r="D51" i="19" s="1"/>
  <c r="AE50" i="19"/>
  <c r="AF50" i="19"/>
  <c r="P50" i="19"/>
  <c r="AR50" i="19"/>
  <c r="G51" i="19" s="1"/>
  <c r="Z64" i="26"/>
  <c r="S64" i="23"/>
  <c r="S65" i="23" s="1"/>
  <c r="I64" i="23"/>
  <c r="J64" i="23" s="1"/>
  <c r="K64" i="23" s="1"/>
  <c r="L64" i="23" s="1"/>
  <c r="V50" i="19"/>
  <c r="AC50" i="19"/>
  <c r="AI50" i="19"/>
  <c r="AM50" i="19"/>
  <c r="AS50" i="19"/>
  <c r="U50" i="19"/>
  <c r="AH50" i="19"/>
  <c r="AJ50" i="19"/>
  <c r="J50" i="19"/>
  <c r="K50" i="19" s="1"/>
  <c r="L50" i="19" s="1"/>
  <c r="AT50" i="19" l="1"/>
  <c r="AU50" i="19" s="1"/>
  <c r="X50" i="19"/>
  <c r="AT64" i="26"/>
  <c r="Z65" i="26"/>
  <c r="AH64" i="26"/>
  <c r="BK64" i="26"/>
  <c r="AA64" i="26"/>
  <c r="AB64" i="26" s="1"/>
  <c r="AC64" i="26" s="1"/>
  <c r="BA64" i="26"/>
  <c r="AD64" i="26"/>
  <c r="AV64" i="26"/>
  <c r="AZ64" i="26"/>
  <c r="AK64" i="26"/>
  <c r="AY64" i="26"/>
  <c r="AW64" i="26"/>
  <c r="AN64" i="26"/>
  <c r="AJ64" i="26"/>
  <c r="AM64" i="26"/>
  <c r="Z64" i="23"/>
  <c r="AT64" i="23" s="1"/>
  <c r="H51" i="19"/>
  <c r="B51" i="19"/>
  <c r="W50" i="19"/>
  <c r="Y50" i="19" l="1"/>
  <c r="AH64" i="23"/>
  <c r="AO64" i="26"/>
  <c r="BF64" i="26"/>
  <c r="BJ64" i="26"/>
  <c r="BD64" i="26"/>
  <c r="B65" i="26" s="1"/>
  <c r="BI64" i="26"/>
  <c r="BG64" i="26"/>
  <c r="AP64" i="26"/>
  <c r="BK64" i="23"/>
  <c r="BA64" i="23"/>
  <c r="AD64" i="23"/>
  <c r="AA64" i="23"/>
  <c r="AB64" i="23" s="1"/>
  <c r="AC64" i="23" s="1"/>
  <c r="AV64" i="23"/>
  <c r="AY64" i="23"/>
  <c r="AM64" i="23"/>
  <c r="AZ64" i="23"/>
  <c r="AJ64" i="23"/>
  <c r="AK64" i="23"/>
  <c r="AN64" i="23"/>
  <c r="AW64" i="23"/>
  <c r="I51" i="19"/>
  <c r="AE51" i="19" l="1"/>
  <c r="AR51" i="19"/>
  <c r="G52" i="19" s="1"/>
  <c r="AQ64" i="26"/>
  <c r="D65" i="26"/>
  <c r="H65" i="26"/>
  <c r="G65" i="26"/>
  <c r="E65" i="26"/>
  <c r="BL64" i="26"/>
  <c r="AO64" i="23"/>
  <c r="BJ64" i="23"/>
  <c r="H65" i="23" s="1"/>
  <c r="BG64" i="23"/>
  <c r="E65" i="23" s="1"/>
  <c r="BI64" i="23"/>
  <c r="G65" i="23" s="1"/>
  <c r="BF64" i="23"/>
  <c r="D65" i="23" s="1"/>
  <c r="BD64" i="23"/>
  <c r="B65" i="23" s="1"/>
  <c r="AP64" i="23"/>
  <c r="P51" i="19"/>
  <c r="AC51" i="19"/>
  <c r="V51" i="19"/>
  <c r="R51" i="19"/>
  <c r="AI51" i="19"/>
  <c r="AF51" i="19"/>
  <c r="AS51" i="19"/>
  <c r="AM51" i="19"/>
  <c r="AP51" i="19"/>
  <c r="AO51" i="19"/>
  <c r="J51" i="19"/>
  <c r="K51" i="19" s="1"/>
  <c r="L51" i="19" s="1"/>
  <c r="AJ51" i="19"/>
  <c r="AH51" i="19"/>
  <c r="U51" i="19"/>
  <c r="S51" i="19"/>
  <c r="AT51" i="19" l="1"/>
  <c r="AU51" i="19" s="1"/>
  <c r="AQ64" i="23"/>
  <c r="BL64" i="23"/>
  <c r="X51" i="19"/>
  <c r="D52" i="19"/>
  <c r="H52" i="19"/>
  <c r="E52" i="19"/>
  <c r="W51" i="19"/>
  <c r="B52" i="19"/>
  <c r="Y51" i="19" l="1"/>
  <c r="I52" i="19"/>
  <c r="V52" i="19" s="1"/>
  <c r="AI52" i="19" l="1"/>
  <c r="AE52" i="19"/>
  <c r="AM52" i="19"/>
  <c r="AP52" i="19"/>
  <c r="E53" i="19" s="1"/>
  <c r="AS52" i="19"/>
  <c r="H53" i="19" s="1"/>
  <c r="AR52" i="19"/>
  <c r="G53" i="19" s="1"/>
  <c r="AO52" i="19"/>
  <c r="D53" i="19" s="1"/>
  <c r="J52" i="19"/>
  <c r="K52" i="19" s="1"/>
  <c r="L52" i="19" s="1"/>
  <c r="AJ52" i="19"/>
  <c r="U52" i="19"/>
  <c r="AH52" i="19"/>
  <c r="AC52" i="19"/>
  <c r="AF52" i="19"/>
  <c r="R52" i="19"/>
  <c r="P52" i="19"/>
  <c r="S52" i="19"/>
  <c r="B53" i="19" l="1"/>
  <c r="AT52" i="19"/>
  <c r="AU52" i="19" s="1"/>
  <c r="I53" i="19"/>
  <c r="AC53" i="19" s="1"/>
  <c r="W52" i="19"/>
  <c r="X52" i="19"/>
  <c r="U53" i="19" l="1"/>
  <c r="R53" i="19"/>
  <c r="AH53" i="19"/>
  <c r="AE53" i="19"/>
  <c r="S53" i="19"/>
  <c r="P53" i="19"/>
  <c r="AJ53" i="19"/>
  <c r="AR53" i="19"/>
  <c r="G54" i="19" s="1"/>
  <c r="J53" i="19"/>
  <c r="K53" i="19" s="1"/>
  <c r="L53" i="19" s="1"/>
  <c r="AS53" i="19"/>
  <c r="H54" i="19" s="1"/>
  <c r="AP53" i="19"/>
  <c r="E54" i="19" s="1"/>
  <c r="AM53" i="19"/>
  <c r="AO53" i="19"/>
  <c r="D54" i="19" s="1"/>
  <c r="Y52" i="19"/>
  <c r="V53" i="19"/>
  <c r="AF53" i="19"/>
  <c r="AI53" i="19"/>
  <c r="B54" i="19" l="1"/>
  <c r="AT53" i="19"/>
  <c r="AU53" i="19" s="1"/>
  <c r="X53" i="19"/>
  <c r="W53" i="19"/>
  <c r="I54" i="19"/>
  <c r="AC54" i="19" s="1"/>
  <c r="Y53" i="19" l="1"/>
  <c r="AH54" i="19"/>
  <c r="U54" i="19"/>
  <c r="S54" i="19"/>
  <c r="AF54" i="19"/>
  <c r="R54" i="19"/>
  <c r="AE54" i="19"/>
  <c r="AI54" i="19"/>
  <c r="P54" i="19"/>
  <c r="V54" i="19"/>
  <c r="AO54" i="19"/>
  <c r="D55" i="19" s="1"/>
  <c r="AJ54" i="19"/>
  <c r="AP54" i="19"/>
  <c r="E55" i="19" s="1"/>
  <c r="AS54" i="19"/>
  <c r="H55" i="19" s="1"/>
  <c r="J54" i="19"/>
  <c r="K54" i="19" s="1"/>
  <c r="L54" i="19" s="1"/>
  <c r="AM54" i="19"/>
  <c r="AR54" i="19"/>
  <c r="G55" i="19" s="1"/>
  <c r="B55" i="19" l="1"/>
  <c r="I55" i="19" s="1"/>
  <c r="AI55" i="19" s="1"/>
  <c r="AT54" i="19"/>
  <c r="AU54" i="19" s="1"/>
  <c r="X54" i="19"/>
  <c r="W54" i="19"/>
  <c r="Y54" i="19" l="1"/>
  <c r="S55" i="19"/>
  <c r="P55" i="19"/>
  <c r="AC55" i="19"/>
  <c r="AO55" i="19"/>
  <c r="D56" i="19" s="1"/>
  <c r="AS55" i="19"/>
  <c r="H56" i="19" s="1"/>
  <c r="AM55" i="19"/>
  <c r="AJ55" i="19"/>
  <c r="AP55" i="19"/>
  <c r="E56" i="19" s="1"/>
  <c r="AR55" i="19"/>
  <c r="G56" i="19" s="1"/>
  <c r="J55" i="19"/>
  <c r="K55" i="19" s="1"/>
  <c r="L55" i="19" s="1"/>
  <c r="AE55" i="19"/>
  <c r="V55" i="19"/>
  <c r="R55" i="19"/>
  <c r="U55" i="19"/>
  <c r="AF55" i="19"/>
  <c r="AH55" i="19"/>
  <c r="B56" i="19" l="1"/>
  <c r="AT55" i="19"/>
  <c r="AU55" i="19" s="1"/>
  <c r="W55" i="19"/>
  <c r="I56" i="19"/>
  <c r="R56" i="19" s="1"/>
  <c r="X55" i="19"/>
  <c r="AI56" i="19" l="1"/>
  <c r="U56" i="19"/>
  <c r="Y55" i="19"/>
  <c r="AC56" i="19"/>
  <c r="P56" i="19"/>
  <c r="AE56" i="19"/>
  <c r="V56" i="19"/>
  <c r="AJ56" i="19"/>
  <c r="AM56" i="19"/>
  <c r="AR56" i="19"/>
  <c r="G57" i="19" s="1"/>
  <c r="AP56" i="19"/>
  <c r="E57" i="19" s="1"/>
  <c r="J56" i="19"/>
  <c r="K56" i="19" s="1"/>
  <c r="L56" i="19" s="1"/>
  <c r="AO56" i="19"/>
  <c r="D57" i="19" s="1"/>
  <c r="AS56" i="19"/>
  <c r="H57" i="19" s="1"/>
  <c r="S56" i="19"/>
  <c r="AF56" i="19"/>
  <c r="AH56" i="19"/>
  <c r="B57" i="19" l="1"/>
  <c r="AT56" i="19"/>
  <c r="AU56" i="19" s="1"/>
  <c r="I57" i="19"/>
  <c r="R57" i="19" s="1"/>
  <c r="X56" i="19"/>
  <c r="W56" i="19"/>
  <c r="AC57" i="19" l="1"/>
  <c r="S57" i="19"/>
  <c r="AF57" i="19"/>
  <c r="U57" i="19"/>
  <c r="AH57" i="19"/>
  <c r="Y56" i="19"/>
  <c r="AI57" i="19"/>
  <c r="V57" i="19"/>
  <c r="P57" i="19"/>
  <c r="AE57" i="19"/>
  <c r="AP57" i="19"/>
  <c r="E58" i="19" s="1"/>
  <c r="AS57" i="19"/>
  <c r="H58" i="19" s="1"/>
  <c r="AR57" i="19"/>
  <c r="G58" i="19" s="1"/>
  <c r="J57" i="19"/>
  <c r="K57" i="19" s="1"/>
  <c r="L57" i="19" s="1"/>
  <c r="AJ57" i="19"/>
  <c r="AO57" i="19"/>
  <c r="D58" i="19" s="1"/>
  <c r="AM57" i="19"/>
  <c r="B58" i="19" l="1"/>
  <c r="AT57" i="19"/>
  <c r="AU57" i="19" s="1"/>
  <c r="X57" i="19"/>
  <c r="W57" i="19"/>
  <c r="I58" i="19"/>
  <c r="AC58" i="19" s="1"/>
  <c r="Y57" i="19" l="1"/>
  <c r="AI58" i="19"/>
  <c r="U58" i="19"/>
  <c r="S58" i="19"/>
  <c r="R58" i="19"/>
  <c r="AH58" i="19"/>
  <c r="AF58" i="19"/>
  <c r="V58" i="19"/>
  <c r="AE58" i="19"/>
  <c r="AP58" i="19"/>
  <c r="E59" i="19" s="1"/>
  <c r="AM58" i="19"/>
  <c r="AJ58" i="19"/>
  <c r="AS58" i="19"/>
  <c r="H59" i="19" s="1"/>
  <c r="AO58" i="19"/>
  <c r="D59" i="19" s="1"/>
  <c r="AR58" i="19"/>
  <c r="G59" i="19" s="1"/>
  <c r="J58" i="19"/>
  <c r="K58" i="19" s="1"/>
  <c r="L58" i="19" s="1"/>
  <c r="P58" i="19"/>
  <c r="B59" i="19" l="1"/>
  <c r="AT58" i="19"/>
  <c r="AU58" i="19" s="1"/>
  <c r="X58" i="19"/>
  <c r="W58" i="19"/>
  <c r="I59" i="19"/>
  <c r="AC59" i="19" s="1"/>
  <c r="P59" i="19" l="1"/>
  <c r="R59" i="19"/>
  <c r="Y58" i="19"/>
  <c r="J59" i="19"/>
  <c r="AM59" i="19"/>
  <c r="AO59" i="19"/>
  <c r="D60" i="19" s="1"/>
  <c r="AJ59" i="19"/>
  <c r="AP59" i="19"/>
  <c r="E60" i="19" s="1"/>
  <c r="AS59" i="19"/>
  <c r="H60" i="19" s="1"/>
  <c r="AR59" i="19"/>
  <c r="G60" i="19" s="1"/>
  <c r="AI59" i="19"/>
  <c r="S59" i="19"/>
  <c r="V59" i="19"/>
  <c r="U59" i="19"/>
  <c r="AF59" i="19"/>
  <c r="AH59" i="19"/>
  <c r="AE59" i="19"/>
  <c r="B60" i="19" l="1"/>
  <c r="AT59" i="19"/>
  <c r="AU59" i="19" s="1"/>
  <c r="AA59" i="19"/>
  <c r="W59" i="19"/>
  <c r="K59" i="19"/>
  <c r="L59" i="19" s="1"/>
  <c r="I60" i="19"/>
  <c r="AH60" i="19" s="1"/>
  <c r="X59" i="19"/>
  <c r="U60" i="19" l="1"/>
  <c r="AC60" i="19"/>
  <c r="AF60" i="19"/>
  <c r="R60" i="19"/>
  <c r="S60" i="19"/>
  <c r="AE60" i="19"/>
  <c r="AI60" i="19"/>
  <c r="Y59" i="19"/>
  <c r="V60" i="19"/>
  <c r="AR60" i="19"/>
  <c r="G61" i="19" s="1"/>
  <c r="AJ60" i="19"/>
  <c r="AO60" i="19"/>
  <c r="D61" i="19" s="1"/>
  <c r="AM60" i="19"/>
  <c r="AS60" i="19"/>
  <c r="H61" i="19" s="1"/>
  <c r="AP60" i="19"/>
  <c r="E61" i="19" s="1"/>
  <c r="J60" i="19"/>
  <c r="P60" i="19"/>
  <c r="B61" i="19" l="1"/>
  <c r="AT60" i="19"/>
  <c r="AU60" i="19" s="1"/>
  <c r="W60" i="19"/>
  <c r="X60" i="19"/>
  <c r="K60" i="19"/>
  <c r="I69" i="19"/>
  <c r="I10" i="8" s="1"/>
  <c r="I61" i="19"/>
  <c r="AE61" i="19" s="1"/>
  <c r="Y60" i="19" l="1"/>
  <c r="P61" i="19"/>
  <c r="V61" i="19"/>
  <c r="AP61" i="19"/>
  <c r="E62" i="19" s="1"/>
  <c r="AO61" i="19"/>
  <c r="D62" i="19" s="1"/>
  <c r="AJ61" i="19"/>
  <c r="AS61" i="19"/>
  <c r="H62" i="19" s="1"/>
  <c r="AM61" i="19"/>
  <c r="AR61" i="19"/>
  <c r="G62" i="19" s="1"/>
  <c r="J61" i="19"/>
  <c r="AF61" i="19"/>
  <c r="S61" i="19"/>
  <c r="R61" i="19"/>
  <c r="U61" i="19"/>
  <c r="AC61" i="19"/>
  <c r="AI61" i="19"/>
  <c r="I70" i="19"/>
  <c r="I11" i="8" s="1"/>
  <c r="L60" i="19"/>
  <c r="AH61" i="19"/>
  <c r="B62" i="19" l="1"/>
  <c r="AT61" i="19"/>
  <c r="AU61" i="19" s="1"/>
  <c r="I66" i="26"/>
  <c r="D22" i="8" s="1"/>
  <c r="I75" i="26"/>
  <c r="W61" i="19"/>
  <c r="I62" i="19"/>
  <c r="X61" i="19"/>
  <c r="K61" i="19"/>
  <c r="L61" i="19" s="1"/>
  <c r="G22" i="8" l="1"/>
  <c r="F22" i="8"/>
  <c r="S62" i="19"/>
  <c r="I74" i="19"/>
  <c r="I75" i="19"/>
  <c r="I13" i="8" s="1"/>
  <c r="Y61" i="19"/>
  <c r="R62" i="19"/>
  <c r="AF62" i="19"/>
  <c r="I68" i="26"/>
  <c r="D24" i="8" s="1"/>
  <c r="I67" i="26"/>
  <c r="D23" i="8" s="1"/>
  <c r="I75" i="23"/>
  <c r="Z65" i="23"/>
  <c r="I66" i="23" s="1"/>
  <c r="I22" i="8" s="1"/>
  <c r="P62" i="19"/>
  <c r="AC62" i="19"/>
  <c r="AI62" i="19"/>
  <c r="V62" i="19"/>
  <c r="U62" i="19"/>
  <c r="AH62" i="19"/>
  <c r="AE62" i="19"/>
  <c r="AS62" i="19"/>
  <c r="H63" i="19" s="1"/>
  <c r="AM62" i="19"/>
  <c r="AR62" i="19"/>
  <c r="G63" i="19" s="1"/>
  <c r="J62" i="19"/>
  <c r="AJ62" i="19"/>
  <c r="AP62" i="19"/>
  <c r="E63" i="19" s="1"/>
  <c r="AO62" i="19"/>
  <c r="D63" i="19" s="1"/>
  <c r="I76" i="19" l="1"/>
  <c r="I12" i="8"/>
  <c r="G23" i="8"/>
  <c r="F23" i="8"/>
  <c r="G24" i="8"/>
  <c r="F24" i="8"/>
  <c r="B63" i="19"/>
  <c r="AT62" i="19"/>
  <c r="AU62" i="19" s="1"/>
  <c r="X62" i="19"/>
  <c r="I68" i="23"/>
  <c r="I24" i="8" s="1"/>
  <c r="I67" i="23"/>
  <c r="I23" i="8" s="1"/>
  <c r="W62" i="19"/>
  <c r="K62" i="19"/>
  <c r="L62" i="19" s="1"/>
  <c r="I63" i="19"/>
  <c r="U63" i="19" s="1"/>
  <c r="Y62" i="19" l="1"/>
  <c r="I65" i="26"/>
  <c r="AC63" i="19"/>
  <c r="P63" i="19"/>
  <c r="V63" i="19"/>
  <c r="AI63" i="19"/>
  <c r="AH63" i="19"/>
  <c r="AP63" i="19"/>
  <c r="E64" i="19" s="1"/>
  <c r="E65" i="19" s="1"/>
  <c r="AS63" i="19"/>
  <c r="H64" i="19" s="1"/>
  <c r="H65" i="19" s="1"/>
  <c r="AO63" i="19"/>
  <c r="D64" i="19" s="1"/>
  <c r="D65" i="19" s="1"/>
  <c r="AR63" i="19"/>
  <c r="G64" i="19" s="1"/>
  <c r="G65" i="19" s="1"/>
  <c r="AM63" i="19"/>
  <c r="J63" i="19"/>
  <c r="K63" i="19" s="1"/>
  <c r="L63" i="19" s="1"/>
  <c r="AJ63" i="19"/>
  <c r="R63" i="19"/>
  <c r="AF63" i="19"/>
  <c r="S63" i="19"/>
  <c r="AE63" i="19"/>
  <c r="D21" i="8" l="1"/>
  <c r="I76" i="26"/>
  <c r="I77" i="26"/>
  <c r="B64" i="19"/>
  <c r="B65" i="19" s="1"/>
  <c r="AT63" i="19"/>
  <c r="AU63" i="19" s="1"/>
  <c r="I73" i="26"/>
  <c r="I72" i="26"/>
  <c r="I65" i="23"/>
  <c r="I21" i="8" s="1"/>
  <c r="W63" i="19"/>
  <c r="I64" i="19"/>
  <c r="X63" i="19"/>
  <c r="I78" i="26" l="1"/>
  <c r="K21" i="8"/>
  <c r="G21" i="8"/>
  <c r="F21" i="8"/>
  <c r="J21" i="8"/>
  <c r="I76" i="23"/>
  <c r="I28" i="8" s="1"/>
  <c r="I77" i="23"/>
  <c r="I29" i="8" s="1"/>
  <c r="S64" i="19"/>
  <c r="R64" i="19"/>
  <c r="AH64" i="19"/>
  <c r="U64" i="19"/>
  <c r="AE64" i="19"/>
  <c r="AC64" i="19"/>
  <c r="I73" i="23"/>
  <c r="I72" i="23"/>
  <c r="AI64" i="19"/>
  <c r="Y63" i="19"/>
  <c r="V64" i="19"/>
  <c r="P64" i="19"/>
  <c r="AP64" i="19"/>
  <c r="AO64" i="19"/>
  <c r="AJ64" i="19"/>
  <c r="AR64" i="19"/>
  <c r="AM64" i="19"/>
  <c r="J64" i="19"/>
  <c r="K64" i="19" s="1"/>
  <c r="L64" i="19" s="1"/>
  <c r="AS64" i="19"/>
  <c r="AF64" i="19"/>
  <c r="I30" i="8" l="1"/>
  <c r="I78" i="23"/>
  <c r="AT64" i="19"/>
  <c r="AU64" i="19" s="1"/>
  <c r="X64" i="19"/>
  <c r="W64" i="19"/>
  <c r="Y64" i="19" l="1"/>
  <c r="I67" i="19"/>
  <c r="I8" i="8" s="1"/>
  <c r="I73" i="19"/>
  <c r="I14" i="8"/>
  <c r="I65" i="19" l="1"/>
  <c r="I71" i="19" s="1"/>
  <c r="I6" i="8" l="1"/>
  <c r="I72" i="19"/>
  <c r="I66" i="19"/>
  <c r="I7" i="8" l="1"/>
  <c r="I68" i="19"/>
  <c r="I9" i="8" s="1"/>
</calcChain>
</file>

<file path=xl/sharedStrings.xml><?xml version="1.0" encoding="utf-8"?>
<sst xmlns="http://schemas.openxmlformats.org/spreadsheetml/2006/main" count="677" uniqueCount="178">
  <si>
    <t>Withdrawals are made evenly from all funds. The calculation is simply the withdrawal amount divided by the number of funds used. Four funds used  between 1988 and 1998; five funds used starting in 1999; one fund used in 2003 and 2009 to reflect panicking. The formula would need to be adjusted if additional or fewer funds used are used.</t>
  </si>
  <si>
    <t>Allocations are calculated post withdrawals</t>
  </si>
  <si>
    <t>Adjust return and standard deviation calculations to reflect addition of new year</t>
  </si>
  <si>
    <t>Withdrawals are made evenly from all funds. The calculation is simply the withdrawal amount divided by the number of funds used. Four funds used  between 1988 and 1998; five funds used starting in 1999. The formula would need to be adjusted if additional or fewer funds used are used.</t>
  </si>
  <si>
    <t>4. Panic Grid</t>
  </si>
  <si>
    <t>Balance Check</t>
    <phoneticPr fontId="11" type="noConversion"/>
  </si>
  <si>
    <t>Year-end allocations are calculated after withdrawal amounts have been deducted. Rebalance if allocations are five percentage points above or below. VIMSX, NAESX and VGTSX targets only apply after balances are shifted to those funds. Numbers in blue (manually shaded) are signals to rebalance.</t>
  </si>
  <si>
    <t>6. Allocations Test - False Values Signal Rebalancing Needed</t>
  </si>
  <si>
    <t>Used for rebalancing the portfolio. Numbers pull from Table 4 unless rebalancing is necessary. If rebalancing is necessary, allocations are adjusted back to targets for all funds. Rebalanced cells are shaded in blue. Balance check should always equal $0.00</t>
  </si>
  <si>
    <t>6. Panic Grid</t>
  </si>
  <si>
    <t>Shift allocation to all bonds in year following a +20% decline for VFINX (S&amp;P 500). Change back to original allocation after 12 months. Shifts occur after withdrawals have been made from all funds. A conservative estimate of what some investors do during and following bear markets</t>
  </si>
  <si>
    <t>Total Return (Post Withdrawals)</t>
  </si>
  <si>
    <t>Standard Deviation (Post Withdrawals)</t>
  </si>
  <si>
    <t>Annualized Return (Post Withdrawals)</t>
  </si>
  <si>
    <t>End of year performance for non-rebalance portfolio based solely on annual fund performance.  Manually adjust standard deviation for number of periods</t>
  </si>
  <si>
    <t xml:space="preserve">VTRIX (actively-managed) balance changed fully to VGTSX (passively managed) in 1996. </t>
  </si>
  <si>
    <t>VEMX split 67% into VIMSX (mid-cap index) and 33% into NAESX (small-cap index) in 1998.</t>
  </si>
  <si>
    <t>Rebalanced Portfolio</t>
  </si>
  <si>
    <t>4. Allocations Test - False Values Signal Rebalancing Needed</t>
  </si>
  <si>
    <t>A test to see if rebalancing is needed. Allocations above or below targets by more than five percentage points are flagged as being "FALSE." Cells in blue are manually shaded</t>
  </si>
  <si>
    <t>Used for rebalancing the portfolio. Numbers pull from Table 3 unless rebalancing is necessary. If rebalancing is necessary, allocations are adjusted back to targets for all funds. Rebalanced cells are shaded in blue. Balance check should always equal $0.00</t>
  </si>
  <si>
    <t>5. Rebalance Grid</t>
  </si>
  <si>
    <t>Panic Portfolio</t>
  </si>
  <si>
    <t>1A</t>
  </si>
  <si>
    <t>CPI Data downloaded from Econostats. Most current data is preliminary; all other is end of year</t>
  </si>
  <si>
    <t>3. Withdrawal Amount</t>
  </si>
  <si>
    <t>Withdrawals are made annually, at end of year, but before rebalancing is considered</t>
  </si>
  <si>
    <t>A 4% withdrawal rate is used based on studies of what a safe withdrawal rate is</t>
  </si>
  <si>
    <t>Withdrawals are withdrawn evenly from each fund</t>
  </si>
  <si>
    <t>Initial withdrawal amount increased annually based on CPI</t>
  </si>
  <si>
    <t>General Instructions</t>
  </si>
  <si>
    <t>When a new year of data is added, new rows must be added to all spreadsheets</t>
  </si>
  <si>
    <t>All items shaded in Orange are manually adjusted; all other are based on formulas</t>
  </si>
  <si>
    <t>Rebalancing is done manually; including blue shading of cells</t>
  </si>
  <si>
    <t>Portfolio Strategy</t>
  </si>
  <si>
    <t>Rebalance at 5% Thresholds</t>
  </si>
  <si>
    <t>Total Return</t>
  </si>
  <si>
    <t>Annualized Return</t>
  </si>
  <si>
    <t>Largest Annual Loss</t>
  </si>
  <si>
    <t>Non-Rebalanced Portfolio</t>
  </si>
  <si>
    <t>Final</t>
  </si>
  <si>
    <t>CPI</t>
  </si>
  <si>
    <t>Total Withdrawals</t>
  </si>
  <si>
    <t>Return data from Morningstar; available in truncated form in AAII's Mutual Fund Guide</t>
  </si>
  <si>
    <t>CPI  (CPI-U - US city average all urban consumers ) seas adj data used</t>
  </si>
  <si>
    <t>Emerging Stocks (*Merged into International in models because allocation is too small for withdrawals)</t>
  </si>
  <si>
    <t>Return calculations, including standard deviation, need to be manually adjusted each year</t>
  </si>
  <si>
    <t>Largest annual loss and drawdown based on 2008, manually adjust as necessary</t>
  </si>
  <si>
    <t>Year</t>
  </si>
  <si>
    <t>1. Return Data from Morningstar</t>
  </si>
  <si>
    <t>LC Stocks</t>
  </si>
  <si>
    <t>Ext Mkt</t>
  </si>
  <si>
    <t>Mcap Stk</t>
  </si>
  <si>
    <t>Small Cap</t>
  </si>
  <si>
    <t>VFINX</t>
  </si>
  <si>
    <t>VEXMX</t>
  </si>
  <si>
    <t>VIMSX</t>
  </si>
  <si>
    <t>NAESX</t>
  </si>
  <si>
    <t>Small Cap (NAESX) data available from 1988, but not Mid Cap (VIMSX)</t>
  </si>
  <si>
    <t>Extended Market (VEXMX) has both mid &amp; small-cap stocks; rotated out of it when VIMSX available</t>
  </si>
  <si>
    <t>Intl Val</t>
  </si>
  <si>
    <t>VTRIX</t>
  </si>
  <si>
    <t>Tot Int Stk</t>
  </si>
  <si>
    <t>Bonds</t>
  </si>
  <si>
    <t>VGTSX</t>
  </si>
  <si>
    <t>VBMFX</t>
  </si>
  <si>
    <t>Large-Cap Stocks</t>
  </si>
  <si>
    <t>Mid-Cap Stocks</t>
  </si>
  <si>
    <t>Small-Cap Stocks</t>
  </si>
  <si>
    <t>International Stocks</t>
  </si>
  <si>
    <t>Total</t>
  </si>
  <si>
    <t>Stating Balance</t>
  </si>
  <si>
    <t>Fund</t>
  </si>
  <si>
    <t>Annual</t>
  </si>
  <si>
    <t>GEOMean</t>
  </si>
  <si>
    <t>Return</t>
  </si>
  <si>
    <t xml:space="preserve">Gain / </t>
  </si>
  <si>
    <t>Loss</t>
  </si>
  <si>
    <t>Ending Portfolio Value</t>
  </si>
  <si>
    <t>Total Return</t>
    <phoneticPr fontId="0" type="noConversion"/>
  </si>
  <si>
    <t>Standard Deviation</t>
  </si>
  <si>
    <t>Annualized Return</t>
    <phoneticPr fontId="0" type="noConversion"/>
  </si>
  <si>
    <t>Largest Drawdown</t>
  </si>
  <si>
    <t>Largest Annual Loss (2008)</t>
  </si>
  <si>
    <t xml:space="preserve">Balance Check </t>
  </si>
  <si>
    <t>Content in shaded in Orange is manually entered or adjusted</t>
  </si>
  <si>
    <t>Target Allocation</t>
  </si>
  <si>
    <t>Check</t>
  </si>
  <si>
    <t>Balance</t>
  </si>
  <si>
    <t>Table</t>
  </si>
  <si>
    <t>Notes</t>
  </si>
  <si>
    <t>Instructions</t>
  </si>
  <si>
    <t>Annual return information for funds; changes in NAV pulled from AAII Mutual Fund Guide; source of data is Morningstar.</t>
  </si>
  <si>
    <t>Funds Used:</t>
  </si>
  <si>
    <t>Index funds used as much as possible to limit impact of active management</t>
  </si>
  <si>
    <t>1988 first calendar year with full-year data for VEXMX</t>
  </si>
  <si>
    <t>International Value (VTRIX) is an active fund; only used until index alternative became available</t>
  </si>
  <si>
    <t>Total International Stock (VGTSX) has Developed &amp; Emerging Market stocks</t>
  </si>
  <si>
    <t>Emerging market fund (VEIEX)  not used because 5% position is too small to handle withdrawals</t>
  </si>
  <si>
    <t>Allocations based on AAII Moderate Allocation Model (http://www.aaii.com/asset-allocation)</t>
  </si>
  <si>
    <t>Allocations:</t>
  </si>
  <si>
    <t>Rebalancing Rules</t>
  </si>
  <si>
    <t>All holdings rebalanced back to target whenever one fund more than 5 percentage points off target</t>
  </si>
  <si>
    <t>Rebalancing triggers based on Vanguard study: http://www.aaii.com/journal/article/the-advantages-of-diversification-and-rebalancing</t>
  </si>
  <si>
    <t>Withdrawals</t>
  </si>
  <si>
    <t>Ending Equity Allocation</t>
  </si>
  <si>
    <t>Ending Fixed-Income Allocation</t>
  </si>
  <si>
    <t>Allocation Check</t>
  </si>
  <si>
    <t>Rebalance vs Panic</t>
  </si>
  <si>
    <t>No Change vs Panic</t>
  </si>
  <si>
    <t>Rebalance vs Not Rebalancing</t>
  </si>
  <si>
    <t>Equity</t>
  </si>
  <si>
    <t>Allocation</t>
  </si>
  <si>
    <t>Starting</t>
  </si>
  <si>
    <t>Panic and Sell When S&amp;P 500 Falls &gt; 20%</t>
  </si>
  <si>
    <t>Table 1. Performance of the Three Strategies</t>
  </si>
  <si>
    <t>2. Rebalanced Strategy (5% Triggers) - End of Year Balance</t>
  </si>
  <si>
    <t>4. Rebalanced Strategy - Withdrawal Equal Amounts from All Funds</t>
  </si>
  <si>
    <t>5. Rebalanced Strategy - Annual Allocations</t>
  </si>
  <si>
    <t>7. Rebalanced Strategy (5% Triggers) - Rebalance Grid</t>
  </si>
  <si>
    <t>2. Panic Strategy - End of Year Balance</t>
  </si>
  <si>
    <t>4. Panic Strategy - Withdrawal Equal Amounts from All Funds</t>
  </si>
  <si>
    <t>5. Panic Strategy - Annual Allocations</t>
  </si>
  <si>
    <t>2. Non-Rebalanced Strategy - End of Year Balance</t>
  </si>
  <si>
    <t>4. Non-Rebalanced Strategy - Withdrawal Equal Amounts from All Funds</t>
  </si>
  <si>
    <t>3. Panic Strategy - Annual Allocations</t>
  </si>
  <si>
    <t>3. Allocations prior to Rebalancing</t>
  </si>
  <si>
    <t>No Rebalancing</t>
  </si>
  <si>
    <t>Portfolio allocations - per fund dollar amount divided by portfolio's total balance.  Rebalance if allocations are five percentage points above or below. VIMSX, NAESX and VGTSX targets only apply after balances are shifted to those funds. Numbers in blue (manually shaded) are signals to rebalance.</t>
  </si>
  <si>
    <t>Portfolio allocations - per fund dollar amount divided by portfolio's total balance</t>
  </si>
  <si>
    <t>3. Non-Rebalanced Strategy Annual Allocations</t>
  </si>
  <si>
    <t>Annual return information for funds; data pulls from Non-Rebalanced Strategy tab</t>
  </si>
  <si>
    <t>End of year performance calculated as balances from prior year (Table 5) times fund return for current year (Table 1). 1988 end of year balance based solely on annual fund performance (Table 1).  Manually adjust standard deviation for number of periods.</t>
  </si>
  <si>
    <t>Portfolio allocations - per fund dollar amount divided by portfolio's total balance.  Shift allocation to all bonds in year following a +20% decline for VFINX (S&amp;P 500). Change back to original allocation after 12 months. Numbers blue reflect panicking and adjustment back to target allocation.</t>
  </si>
  <si>
    <t>Used for adjusting the portfolio for panicking and shifting back to regular allocation. Numbers pull from Table 2 panic adjustment is necessary. If rebalancing is necessary, allocations are adjusted back to targets for all funds. Rebalanced cells are shaded in blue. Balance check should always equal $0.00</t>
  </si>
  <si>
    <t>End of year performance calculated as balances from prior year (table 4) times fund return for current year (table 1). 1988 end of year balance based solely on annual fund performance. Manually adjust standard deviation for number of periods</t>
  </si>
  <si>
    <t>Post-withdrawal portfolio allocations - per fund dollar amount divided by portfolio's total balance from Table 4.</t>
  </si>
  <si>
    <t xml:space="preserve">Annual balances calculated using end of year post-withdrawal data for previous years times fund returns for current year (Table 4), since all data beyond 1988 factors in withdrawals. 1988 returns are pre-withdrawals. Largest drawdown and worse return calculated before withdrawals to show impact of market on the portfolio. No rebalancing occurs.
</t>
  </si>
  <si>
    <t>5. Non-Rebalanced Strategy - Annual Allocations</t>
  </si>
  <si>
    <t xml:space="preserve">Annual balances calculated using end of year post-withdrawal data for previous years times fund returns for current year (Table 7), since all data beyond 1988 factors in withdrawals and rebalancing. 1988 returns are pre-withdrawals. Returns calculated before any rebalancing adjustments are made for that specific year. Largest drawdown and worse return calculated before withdrawals and rebalancing to show impact of market on the portfolio. </t>
  </si>
  <si>
    <t xml:space="preserve">Annual balances calculated using end of year post-withdrawal data for previous years times fund returns for current year (Table 4), since all data beyond 1988 factors in withdrawals. 1988 returns are pre-withdrawals. Returns calculated before any panicking adjustments are made for that specific year. Starting values for 1989 and beyond are from Table 6, and reflect any adjustments for panicking. Largest drawdown and worse return calculated before withdrawals to show impact of market on the portfolio. </t>
  </si>
  <si>
    <t>https://research.stlouisfed.org/fred2/series/CPIAUCSL</t>
  </si>
  <si>
    <t>Panic and Selll When S&amp;P 500 Falls +20%</t>
  </si>
  <si>
    <t>CPI Data from Econostats thru 2013, data from FRED for 2014 forward used</t>
  </si>
  <si>
    <t>1A. CPI Data</t>
  </si>
  <si>
    <t>Reduction in Volatility:</t>
  </si>
  <si>
    <t>Difference in Returns:</t>
  </si>
  <si>
    <t>Withdrawal Check</t>
  </si>
  <si>
    <t>Gain/Loss Check</t>
  </si>
  <si>
    <t>Data for 2014 and beyond calculated from Nov CPI report, calculated as year-over-change in November CPI</t>
  </si>
  <si>
    <t>At end of calender year, Nov data would be most current available</t>
  </si>
  <si>
    <t>Investors should use most currently available data and be consistent as possible with source</t>
  </si>
  <si>
    <t>Number of Periods</t>
  </si>
  <si>
    <t>Rebalance vs No Rebalancing</t>
  </si>
  <si>
    <t>Rebalancing Annually</t>
  </si>
  <si>
    <t>7. Annual Rebalance - Rebalance Grid</t>
  </si>
  <si>
    <t>2. Annual Rebalance (5% Triggers) - End of Year Balance</t>
  </si>
  <si>
    <t>4. Annual Rebalance - Withdrawal Equal Amounts from All Funds</t>
  </si>
  <si>
    <t>5. Annual Rebalance - Annual Allocations</t>
  </si>
  <si>
    <t>Number of Years</t>
  </si>
  <si>
    <t>Times Rebalanced</t>
  </si>
  <si>
    <t>Total Years</t>
  </si>
  <si>
    <t>Average Years between Rebalancing</t>
  </si>
  <si>
    <t>4. Non-Rebalanced Strategy - Withdrawal Annually</t>
  </si>
  <si>
    <t>4.5% &amp; 4% Withdrawals-No Rebalancing</t>
  </si>
  <si>
    <t>4.5% and 4% Withdrawals-Rebalancing</t>
  </si>
  <si>
    <t>Withdrawal amount starts at 4.5% (4%) of year-end 1988 balance. Initial amount is adjusted upwards annually based on change in CPI using data in Table 1A</t>
  </si>
  <si>
    <t>Withdrawal amount starts at 4.5% (4%) of year-end 1988 balance. Initial amount is adjusted upwards annually based on change in CPI using data in Table 1A.</t>
  </si>
  <si>
    <t>4.5% and 4% Withdrawals-Panic</t>
  </si>
  <si>
    <t>CPI Data pulled from 4.5% Withdrawals - No Rebalancing tab.</t>
  </si>
  <si>
    <t>4.5% Withdrawals-60-40 Portfolio</t>
  </si>
  <si>
    <t xml:space="preserve">Annual balances calculated using end of year post-withdrawal data for previous years times fund returns for current year (Table 4), since all data beyond 1988 factors in withdrawals. 1988 returns are pre-withdrawals. Returns calculated before annual rebalancing back to a 60/40 allocation for each year. Starting values for 1989 and beyond are from Table 6, and reflect any adjustments for panicking. Largest drawdown and worse return calculated before withdrawals to show impact of market on the portfolio. </t>
  </si>
  <si>
    <t>Withdrawal amount starts at 4.5% of year-end 1988 balance. Initial amount is adjusted upwards annually based on change in CPI using data in Table 1A.</t>
  </si>
  <si>
    <t>Withdrawals are made evenly from both funds. The calculation is simply the withdrawal amount divided by the number of funds used. The formula would need to be adjusted if additional or fewer funds used are used.</t>
  </si>
  <si>
    <t>Constant allocation to 60% large-cap stocks/40% bonds is used with annual rebalancing</t>
  </si>
  <si>
    <t>4. Annual Rebalance - Withdrawal Proportionately from both Funds</t>
  </si>
  <si>
    <t>Non-Withdrawal Portfolio Results (1990 - 2014)</t>
  </si>
  <si>
    <t>Withdrawal Portfolio Results (1990 - 2014)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</si>
</sst>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164" formatCode="0.0%"/>
  </numFmts>
  <fonts count="14" x14ac:knownFonts="1">
    <font>
      <sz val="11"/>
      <color theme="1"/>
      <name val="Calibri"/>
      <family val="2"/>
      <scheme val="minor"/>
    </font>
    <font>
      <sz val="11"/>
      <color theme="1"/>
      <name val="Calibri"/>
      <family val="2"/>
      <scheme val="minor"/>
    </font>
    <font>
      <sz val="11"/>
      <name val="Calibri"/>
      <family val="2"/>
      <scheme val="minor"/>
    </font>
    <font>
      <sz val="11"/>
      <color theme="7" tint="-0.499984740745262"/>
      <name val="Calibri"/>
      <family val="2"/>
      <scheme val="minor"/>
    </font>
    <font>
      <b/>
      <sz val="11"/>
      <color theme="7" tint="-0.499984740745262"/>
      <name val="Calibri"/>
      <family val="2"/>
      <scheme val="minor"/>
    </font>
    <font>
      <b/>
      <sz val="11"/>
      <color theme="1"/>
      <name val="Calibri"/>
      <family val="2"/>
      <scheme val="minor"/>
    </font>
    <font>
      <b/>
      <sz val="9"/>
      <color indexed="63"/>
      <name val="Arial"/>
      <family val="2"/>
    </font>
    <font>
      <u/>
      <sz val="11"/>
      <color theme="1"/>
      <name val="Calibri"/>
      <family val="2"/>
      <scheme val="minor"/>
    </font>
    <font>
      <u/>
      <sz val="11"/>
      <color theme="10"/>
      <name val="Calibri"/>
      <family val="2"/>
      <scheme val="minor"/>
    </font>
    <font>
      <b/>
      <u/>
      <sz val="11"/>
      <color theme="1"/>
      <name val="Calibri"/>
      <family val="2"/>
      <scheme val="minor"/>
    </font>
    <font>
      <b/>
      <sz val="11"/>
      <color rgb="FFFF0000"/>
      <name val="Calibri"/>
      <family val="2"/>
      <scheme val="minor"/>
    </font>
    <font>
      <sz val="8"/>
      <name val="Verdana"/>
      <family val="2"/>
    </font>
    <font>
      <b/>
      <sz val="11"/>
      <name val="Calibri"/>
      <family val="2"/>
      <scheme val="minor"/>
    </font>
    <font>
      <b/>
      <i/>
      <sz val="11"/>
      <color rgb="FFFF0000"/>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indexed="44"/>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0" fontId="8" fillId="0" borderId="0" applyNumberFormat="0" applyFill="0" applyBorder="0" applyAlignment="0" applyProtection="0"/>
  </cellStyleXfs>
  <cellXfs count="87">
    <xf numFmtId="0" fontId="0" fillId="0" borderId="0" xfId="0"/>
    <xf numFmtId="0" fontId="0" fillId="0" borderId="0" xfId="0" applyFill="1"/>
    <xf numFmtId="6" fontId="0" fillId="0" borderId="0" xfId="0" applyNumberFormat="1"/>
    <xf numFmtId="0" fontId="0" fillId="2" borderId="0" xfId="0" applyFill="1"/>
    <xf numFmtId="0" fontId="2" fillId="2" borderId="0" xfId="0" applyFont="1" applyFill="1" applyAlignment="1">
      <alignment horizontal="center"/>
    </xf>
    <xf numFmtId="0" fontId="0" fillId="2" borderId="0" xfId="0" applyFill="1" applyAlignment="1">
      <alignment horizontal="center"/>
    </xf>
    <xf numFmtId="164" fontId="0" fillId="0" borderId="0" xfId="1" applyNumberFormat="1" applyFont="1"/>
    <xf numFmtId="164" fontId="0" fillId="0" borderId="0" xfId="0" applyNumberFormat="1"/>
    <xf numFmtId="0" fontId="0" fillId="0" borderId="0" xfId="0" applyAlignment="1">
      <alignment wrapText="1"/>
    </xf>
    <xf numFmtId="0" fontId="0" fillId="0" borderId="1" xfId="0" applyFill="1" applyBorder="1"/>
    <xf numFmtId="6" fontId="0" fillId="0" borderId="1" xfId="0" applyNumberFormat="1" applyBorder="1"/>
    <xf numFmtId="0" fontId="0" fillId="0" borderId="0" xfId="0" applyFill="1" applyBorder="1"/>
    <xf numFmtId="164" fontId="0" fillId="0" borderId="0" xfId="1" applyNumberFormat="1" applyFont="1" applyFill="1" applyBorder="1"/>
    <xf numFmtId="164" fontId="2" fillId="3" borderId="0" xfId="1" applyNumberFormat="1" applyFont="1" applyFill="1"/>
    <xf numFmtId="0" fontId="3" fillId="3" borderId="0" xfId="0" applyFont="1" applyFill="1"/>
    <xf numFmtId="2" fontId="3" fillId="3" borderId="0" xfId="0" applyNumberFormat="1" applyFont="1" applyFill="1"/>
    <xf numFmtId="0" fontId="4" fillId="3" borderId="0" xfId="0" applyFont="1" applyFill="1"/>
    <xf numFmtId="0" fontId="3" fillId="4" borderId="0" xfId="0" applyFont="1" applyFill="1"/>
    <xf numFmtId="0" fontId="4" fillId="4" borderId="0" xfId="0" applyFont="1" applyFill="1"/>
    <xf numFmtId="2" fontId="3" fillId="4" borderId="0" xfId="0" applyNumberFormat="1" applyFont="1" applyFill="1"/>
    <xf numFmtId="0" fontId="5" fillId="0" borderId="0" xfId="0" applyFont="1"/>
    <xf numFmtId="0" fontId="0" fillId="0" borderId="0" xfId="0" applyAlignment="1">
      <alignment horizontal="right"/>
    </xf>
    <xf numFmtId="9" fontId="0" fillId="0" borderId="0" xfId="1" applyFont="1"/>
    <xf numFmtId="9" fontId="0" fillId="5" borderId="0" xfId="1" applyFont="1" applyFill="1"/>
    <xf numFmtId="9" fontId="0" fillId="0" borderId="0" xfId="0" applyNumberFormat="1"/>
    <xf numFmtId="9" fontId="0" fillId="4" borderId="0" xfId="0" applyNumberFormat="1" applyFill="1"/>
    <xf numFmtId="6" fontId="0" fillId="0" borderId="0" xfId="0" applyNumberFormat="1" applyAlignment="1">
      <alignment horizontal="right"/>
    </xf>
    <xf numFmtId="6" fontId="0" fillId="6" borderId="0" xfId="0" applyNumberFormat="1" applyFill="1"/>
    <xf numFmtId="0" fontId="0" fillId="6" borderId="0" xfId="0" applyFill="1"/>
    <xf numFmtId="164" fontId="0" fillId="3" borderId="0" xfId="1" applyNumberFormat="1" applyFont="1" applyFill="1" applyBorder="1"/>
    <xf numFmtId="10" fontId="6" fillId="0" borderId="0" xfId="0" applyNumberFormat="1" applyFont="1"/>
    <xf numFmtId="6" fontId="0" fillId="3" borderId="0" xfId="0" applyNumberFormat="1" applyFill="1"/>
    <xf numFmtId="164" fontId="0" fillId="3" borderId="0" xfId="0" applyNumberFormat="1" applyFill="1"/>
    <xf numFmtId="6" fontId="0" fillId="2" borderId="0" xfId="0" applyNumberFormat="1" applyFill="1"/>
    <xf numFmtId="0" fontId="0" fillId="0" borderId="0" xfId="0" applyAlignment="1">
      <alignment horizontal="center"/>
    </xf>
    <xf numFmtId="0" fontId="0" fillId="7" borderId="0" xfId="0" applyFill="1"/>
    <xf numFmtId="9" fontId="0" fillId="7" borderId="0" xfId="0" applyNumberFormat="1" applyFill="1"/>
    <xf numFmtId="0" fontId="7" fillId="0" borderId="0" xfId="0" applyFont="1"/>
    <xf numFmtId="164" fontId="0" fillId="8" borderId="0" xfId="1" applyNumberFormat="1" applyFont="1" applyFill="1"/>
    <xf numFmtId="0" fontId="0" fillId="8" borderId="0" xfId="0" applyFill="1"/>
    <xf numFmtId="6" fontId="0" fillId="8" borderId="0" xfId="0" applyNumberFormat="1" applyFill="1"/>
    <xf numFmtId="0" fontId="0" fillId="0" borderId="0" xfId="0" applyAlignment="1">
      <alignment horizontal="right" wrapText="1"/>
    </xf>
    <xf numFmtId="1" fontId="0" fillId="0" borderId="0" xfId="0" applyNumberFormat="1"/>
    <xf numFmtId="6" fontId="0" fillId="0" borderId="0" xfId="0" applyNumberFormat="1" applyBorder="1"/>
    <xf numFmtId="10" fontId="0" fillId="0" borderId="0" xfId="0" applyNumberFormat="1"/>
    <xf numFmtId="0" fontId="0" fillId="3" borderId="0" xfId="0" applyFill="1"/>
    <xf numFmtId="10" fontId="0" fillId="3" borderId="0" xfId="0" applyNumberFormat="1" applyFill="1"/>
    <xf numFmtId="0" fontId="0" fillId="0" borderId="2" xfId="0" applyBorder="1"/>
    <xf numFmtId="0" fontId="8" fillId="0" borderId="0" xfId="2"/>
    <xf numFmtId="0" fontId="0" fillId="4" borderId="0" xfId="0" applyFill="1"/>
    <xf numFmtId="10" fontId="0" fillId="4" borderId="0" xfId="0" applyNumberFormat="1" applyFill="1"/>
    <xf numFmtId="164" fontId="0" fillId="3" borderId="0" xfId="1" applyNumberFormat="1" applyFont="1" applyFill="1"/>
    <xf numFmtId="6" fontId="0" fillId="3" borderId="1" xfId="0" applyNumberFormat="1" applyFill="1" applyBorder="1"/>
    <xf numFmtId="0" fontId="9" fillId="0" borderId="0" xfId="0" applyFont="1"/>
    <xf numFmtId="0" fontId="7" fillId="0" borderId="0" xfId="0" applyFont="1" applyBorder="1"/>
    <xf numFmtId="0" fontId="7" fillId="0" borderId="0" xfId="0" applyFont="1" applyAlignment="1">
      <alignment horizontal="left"/>
    </xf>
    <xf numFmtId="9" fontId="0" fillId="4" borderId="0" xfId="1" applyFont="1" applyFill="1"/>
    <xf numFmtId="0" fontId="10" fillId="0" borderId="0" xfId="0" applyFont="1"/>
    <xf numFmtId="164" fontId="0" fillId="2" borderId="0" xfId="1" applyNumberFormat="1" applyFont="1" applyFill="1"/>
    <xf numFmtId="164" fontId="0" fillId="0" borderId="0" xfId="1" applyNumberFormat="1" applyFont="1" applyFill="1"/>
    <xf numFmtId="164" fontId="0" fillId="0" borderId="0" xfId="0" applyNumberFormat="1" applyFill="1"/>
    <xf numFmtId="164" fontId="0" fillId="9" borderId="0" xfId="0" applyNumberFormat="1" applyFill="1"/>
    <xf numFmtId="0" fontId="0" fillId="7" borderId="0" xfId="0" applyFill="1" applyAlignment="1">
      <alignment horizontal="center"/>
    </xf>
    <xf numFmtId="6" fontId="0" fillId="0" borderId="0" xfId="0" applyNumberFormat="1" applyFill="1"/>
    <xf numFmtId="6" fontId="0" fillId="0" borderId="0" xfId="0" applyNumberFormat="1" applyAlignment="1">
      <alignment wrapText="1"/>
    </xf>
    <xf numFmtId="0" fontId="12" fillId="0" borderId="0" xfId="0" applyFont="1"/>
    <xf numFmtId="164" fontId="0" fillId="2" borderId="0" xfId="0" applyNumberFormat="1" applyFill="1"/>
    <xf numFmtId="6" fontId="0" fillId="0" borderId="1" xfId="0" applyNumberFormat="1" applyFont="1" applyBorder="1"/>
    <xf numFmtId="6" fontId="0" fillId="0" borderId="0" xfId="0" applyNumberFormat="1" applyFont="1"/>
    <xf numFmtId="6" fontId="0" fillId="0" borderId="0" xfId="0" applyNumberFormat="1" applyFont="1" applyBorder="1"/>
    <xf numFmtId="164" fontId="2" fillId="0" borderId="0" xfId="1" applyNumberFormat="1" applyFont="1" applyFill="1" applyBorder="1"/>
    <xf numFmtId="0" fontId="0" fillId="0" borderId="0" xfId="0" applyFill="1" applyAlignment="1">
      <alignment horizontal="center"/>
    </xf>
    <xf numFmtId="0" fontId="0" fillId="8" borderId="0" xfId="0" applyFill="1" applyAlignment="1">
      <alignment horizontal="right" wrapText="1"/>
    </xf>
    <xf numFmtId="8" fontId="0" fillId="0" borderId="0" xfId="0" applyNumberFormat="1"/>
    <xf numFmtId="0" fontId="0" fillId="0" borderId="1" xfId="0" applyBorder="1"/>
    <xf numFmtId="1" fontId="0" fillId="2" borderId="0" xfId="0" applyNumberFormat="1" applyFill="1"/>
    <xf numFmtId="0" fontId="0" fillId="0" borderId="0" xfId="0" applyFill="1" applyAlignment="1">
      <alignment horizontal="right" wrapText="1"/>
    </xf>
    <xf numFmtId="0" fontId="0" fillId="0" borderId="0" xfId="0" applyFont="1"/>
    <xf numFmtId="164" fontId="0" fillId="0" borderId="0" xfId="0" applyNumberFormat="1" applyFont="1"/>
    <xf numFmtId="0" fontId="13" fillId="0" borderId="0" xfId="0" applyFont="1"/>
    <xf numFmtId="0" fontId="0" fillId="0" borderId="0" xfId="1" applyNumberFormat="1" applyFont="1"/>
    <xf numFmtId="10" fontId="5" fillId="0" borderId="0" xfId="0" applyNumberFormat="1" applyFont="1"/>
    <xf numFmtId="0" fontId="0" fillId="0" borderId="1" xfId="0" applyFill="1" applyBorder="1" applyAlignment="1">
      <alignment horizontal="right"/>
    </xf>
    <xf numFmtId="6" fontId="0" fillId="7" borderId="0" xfId="0" applyNumberFormat="1" applyFill="1"/>
    <xf numFmtId="164" fontId="0" fillId="7" borderId="0" xfId="1" applyNumberFormat="1" applyFont="1" applyFill="1"/>
    <xf numFmtId="9" fontId="0" fillId="0" borderId="0" xfId="1" applyFont="1" applyFill="1"/>
    <xf numFmtId="6" fontId="0" fillId="0" borderId="0" xfId="0" applyNumberFormat="1" applyFont="1" applyFill="1" applyBorder="1"/>
  </cellXfs>
  <cellStyles count="3">
    <cellStyle name="Hyperlink" xfId="2" builtinId="8"/>
    <cellStyle name="Normal" xfId="0" builtinId="0"/>
    <cellStyle name="Percent" xfId="1" builtinId="5"/>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7.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6.xml"/><Relationship Id="rId2" Type="http://schemas.openxmlformats.org/officeDocument/2006/relationships/worksheet" Target="worksheets/sheet2.xml"/><Relationship Id="rId16" Type="http://schemas.openxmlformats.org/officeDocument/2006/relationships/chartsheet" Target="chartsheets/sheet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Staying</a:t>
            </a:r>
            <a:r>
              <a:rPr lang="en-US" baseline="0"/>
              <a:t> Invested versus Panicking</a:t>
            </a:r>
            <a:endParaRPr lang="en-US"/>
          </a:p>
        </c:rich>
      </c:tx>
      <c:overlay val="0"/>
    </c:title>
    <c:autoTitleDeleted val="0"/>
    <c:plotArea>
      <c:layout/>
      <c:lineChart>
        <c:grouping val="standard"/>
        <c:varyColors val="0"/>
        <c:ser>
          <c:idx val="0"/>
          <c:order val="0"/>
          <c:tx>
            <c:strRef>
              <c:f>'Chart Data'!$B$1</c:f>
              <c:strCache>
                <c:ptCount val="1"/>
                <c:pt idx="0">
                  <c:v>Rebalance at 5% Thresholds</c:v>
                </c:pt>
              </c:strCache>
            </c:strRef>
          </c:tx>
          <c:marker>
            <c:symbol val="none"/>
          </c:marker>
          <c:cat>
            <c:strRef>
              <c:f>'Chart Data'!$A$2:$A$31</c:f>
              <c:strCache>
                <c:ptCount val="26"/>
                <c:pt idx="0">
                  <c:v>Starting</c:v>
                </c:pt>
                <c:pt idx="1">
                  <c:v>1990</c:v>
                </c:pt>
                <c:pt idx="2">
                  <c:v>1991</c:v>
                </c:pt>
                <c:pt idx="3">
                  <c:v>1992</c:v>
                </c:pt>
                <c:pt idx="4">
                  <c:v>1993</c:v>
                </c:pt>
                <c:pt idx="5">
                  <c:v>1994</c:v>
                </c:pt>
                <c:pt idx="6">
                  <c:v>1995</c:v>
                </c:pt>
                <c:pt idx="7">
                  <c:v>1996</c:v>
                </c:pt>
                <c:pt idx="8">
                  <c:v>1997</c:v>
                </c:pt>
                <c:pt idx="9">
                  <c:v>1998</c:v>
                </c:pt>
                <c:pt idx="10">
                  <c:v>1999</c:v>
                </c:pt>
                <c:pt idx="11">
                  <c:v>2000</c:v>
                </c:pt>
                <c:pt idx="12">
                  <c:v>2001</c:v>
                </c:pt>
                <c:pt idx="13">
                  <c:v>2002</c:v>
                </c:pt>
                <c:pt idx="14">
                  <c:v>2003</c:v>
                </c:pt>
                <c:pt idx="15">
                  <c:v>2004</c:v>
                </c:pt>
                <c:pt idx="16">
                  <c:v>2005</c:v>
                </c:pt>
                <c:pt idx="17">
                  <c:v>2006</c:v>
                </c:pt>
                <c:pt idx="18">
                  <c:v>2007</c:v>
                </c:pt>
                <c:pt idx="19">
                  <c:v>2008</c:v>
                </c:pt>
                <c:pt idx="20">
                  <c:v>2009</c:v>
                </c:pt>
                <c:pt idx="21">
                  <c:v>2010</c:v>
                </c:pt>
                <c:pt idx="22">
                  <c:v>2011</c:v>
                </c:pt>
                <c:pt idx="23">
                  <c:v>2012</c:v>
                </c:pt>
                <c:pt idx="24">
                  <c:v>2013</c:v>
                </c:pt>
                <c:pt idx="25">
                  <c:v>2014</c:v>
                </c:pt>
              </c:strCache>
            </c:strRef>
          </c:cat>
          <c:val>
            <c:numRef>
              <c:f>'Chart Data'!$B$2:$B$31</c:f>
              <c:numCache>
                <c:formatCode>"$"#,##0_);[Red]\("$"#,##0\)</c:formatCode>
                <c:ptCount val="30"/>
                <c:pt idx="0">
                  <c:v>100000</c:v>
                </c:pt>
                <c:pt idx="1">
                  <c:v>95265.5</c:v>
                </c:pt>
                <c:pt idx="2">
                  <c:v>118618.30583000001</c:v>
                </c:pt>
                <c:pt idx="3">
                  <c:v>126045.91483718021</c:v>
                </c:pt>
                <c:pt idx="4">
                  <c:v>145365.98057159354</c:v>
                </c:pt>
                <c:pt idx="5">
                  <c:v>145554.67743193626</c:v>
                </c:pt>
                <c:pt idx="6">
                  <c:v>181104.64419403306</c:v>
                </c:pt>
                <c:pt idx="7">
                  <c:v>205548.79016875965</c:v>
                </c:pt>
                <c:pt idx="8">
                  <c:v>241152.10166268068</c:v>
                </c:pt>
                <c:pt idx="9">
                  <c:v>275525.00073584251</c:v>
                </c:pt>
                <c:pt idx="10">
                  <c:v>317788.01755021402</c:v>
                </c:pt>
                <c:pt idx="11">
                  <c:v>320571.42862092901</c:v>
                </c:pt>
                <c:pt idx="12">
                  <c:v>309443.40356417082</c:v>
                </c:pt>
                <c:pt idx="13">
                  <c:v>280816.6683760765</c:v>
                </c:pt>
                <c:pt idx="14">
                  <c:v>354812.42212650942</c:v>
                </c:pt>
                <c:pt idx="15">
                  <c:v>403236.15706106898</c:v>
                </c:pt>
                <c:pt idx="16">
                  <c:v>438029.66760130378</c:v>
                </c:pt>
                <c:pt idx="17">
                  <c:v>502536.45158112841</c:v>
                </c:pt>
                <c:pt idx="18">
                  <c:v>540619.66895484948</c:v>
                </c:pt>
                <c:pt idx="19">
                  <c:v>395438.64409613353</c:v>
                </c:pt>
                <c:pt idx="20">
                  <c:v>498560.34282623505</c:v>
                </c:pt>
                <c:pt idx="21">
                  <c:v>576722.91762952565</c:v>
                </c:pt>
                <c:pt idx="22">
                  <c:v>571232.51545369264</c:v>
                </c:pt>
                <c:pt idx="23">
                  <c:v>643206.1514388551</c:v>
                </c:pt>
                <c:pt idx="24">
                  <c:v>770833.54852496157</c:v>
                </c:pt>
                <c:pt idx="25">
                  <c:v>825092.52200563368</c:v>
                </c:pt>
              </c:numCache>
            </c:numRef>
          </c:val>
          <c:smooth val="0"/>
          <c:extLst>
            <c:ext xmlns:c16="http://schemas.microsoft.com/office/drawing/2014/chart" uri="{C3380CC4-5D6E-409C-BE32-E72D297353CC}">
              <c16:uniqueId val="{00000000-8252-4044-A89C-530EB48DCC74}"/>
            </c:ext>
          </c:extLst>
        </c:ser>
        <c:ser>
          <c:idx val="1"/>
          <c:order val="1"/>
          <c:tx>
            <c:strRef>
              <c:f>'Chart Data'!$C$1</c:f>
              <c:strCache>
                <c:ptCount val="1"/>
                <c:pt idx="0">
                  <c:v>No Rebalancing</c:v>
                </c:pt>
              </c:strCache>
            </c:strRef>
          </c:tx>
          <c:marker>
            <c:symbol val="none"/>
          </c:marker>
          <c:cat>
            <c:strRef>
              <c:f>'Chart Data'!$A$2:$A$31</c:f>
              <c:strCache>
                <c:ptCount val="26"/>
                <c:pt idx="0">
                  <c:v>Starting</c:v>
                </c:pt>
                <c:pt idx="1">
                  <c:v>1990</c:v>
                </c:pt>
                <c:pt idx="2">
                  <c:v>1991</c:v>
                </c:pt>
                <c:pt idx="3">
                  <c:v>1992</c:v>
                </c:pt>
                <c:pt idx="4">
                  <c:v>1993</c:v>
                </c:pt>
                <c:pt idx="5">
                  <c:v>1994</c:v>
                </c:pt>
                <c:pt idx="6">
                  <c:v>1995</c:v>
                </c:pt>
                <c:pt idx="7">
                  <c:v>1996</c:v>
                </c:pt>
                <c:pt idx="8">
                  <c:v>1997</c:v>
                </c:pt>
                <c:pt idx="9">
                  <c:v>1998</c:v>
                </c:pt>
                <c:pt idx="10">
                  <c:v>1999</c:v>
                </c:pt>
                <c:pt idx="11">
                  <c:v>2000</c:v>
                </c:pt>
                <c:pt idx="12">
                  <c:v>2001</c:v>
                </c:pt>
                <c:pt idx="13">
                  <c:v>2002</c:v>
                </c:pt>
                <c:pt idx="14">
                  <c:v>2003</c:v>
                </c:pt>
                <c:pt idx="15">
                  <c:v>2004</c:v>
                </c:pt>
                <c:pt idx="16">
                  <c:v>2005</c:v>
                </c:pt>
                <c:pt idx="17">
                  <c:v>2006</c:v>
                </c:pt>
                <c:pt idx="18">
                  <c:v>2007</c:v>
                </c:pt>
                <c:pt idx="19">
                  <c:v>2008</c:v>
                </c:pt>
                <c:pt idx="20">
                  <c:v>2009</c:v>
                </c:pt>
                <c:pt idx="21">
                  <c:v>2010</c:v>
                </c:pt>
                <c:pt idx="22">
                  <c:v>2011</c:v>
                </c:pt>
                <c:pt idx="23">
                  <c:v>2012</c:v>
                </c:pt>
                <c:pt idx="24">
                  <c:v>2013</c:v>
                </c:pt>
                <c:pt idx="25">
                  <c:v>2014</c:v>
                </c:pt>
              </c:strCache>
            </c:strRef>
          </c:cat>
          <c:val>
            <c:numRef>
              <c:f>'Chart Data'!$C$2:$C$31</c:f>
              <c:numCache>
                <c:formatCode>"$"#,##0_);[Red]\("$"#,##0\)</c:formatCode>
                <c:ptCount val="30"/>
                <c:pt idx="0">
                  <c:v>100000</c:v>
                </c:pt>
                <c:pt idx="1">
                  <c:v>95265.5</c:v>
                </c:pt>
                <c:pt idx="2">
                  <c:v>118618.30583000001</c:v>
                </c:pt>
                <c:pt idx="3">
                  <c:v>126045.91483718021</c:v>
                </c:pt>
                <c:pt idx="4">
                  <c:v>143948.5319869965</c:v>
                </c:pt>
                <c:pt idx="5">
                  <c:v>143501.96676915168</c:v>
                </c:pt>
                <c:pt idx="6">
                  <c:v>180547.00227780559</c:v>
                </c:pt>
                <c:pt idx="7">
                  <c:v>205457.56785559453</c:v>
                </c:pt>
                <c:pt idx="8">
                  <c:v>246490.82467164175</c:v>
                </c:pt>
                <c:pt idx="9">
                  <c:v>283052.03961869888</c:v>
                </c:pt>
                <c:pt idx="10">
                  <c:v>328842.41277419892</c:v>
                </c:pt>
                <c:pt idx="11">
                  <c:v>332454.19349038199</c:v>
                </c:pt>
                <c:pt idx="12">
                  <c:v>320121.02608184848</c:v>
                </c:pt>
                <c:pt idx="13">
                  <c:v>281784.71060940484</c:v>
                </c:pt>
                <c:pt idx="14">
                  <c:v>355106.61866908032</c:v>
                </c:pt>
                <c:pt idx="15">
                  <c:v>405638.56260253122</c:v>
                </c:pt>
                <c:pt idx="16">
                  <c:v>440409.59752773272</c:v>
                </c:pt>
                <c:pt idx="17">
                  <c:v>501525.17039485159</c:v>
                </c:pt>
                <c:pt idx="18">
                  <c:v>534290.96850835346</c:v>
                </c:pt>
                <c:pt idx="19">
                  <c:v>366083.78011282563</c:v>
                </c:pt>
                <c:pt idx="20">
                  <c:v>463589.15080175741</c:v>
                </c:pt>
                <c:pt idx="21">
                  <c:v>543906.42133331019</c:v>
                </c:pt>
                <c:pt idx="22">
                  <c:v>540270.4854135589</c:v>
                </c:pt>
                <c:pt idx="23">
                  <c:v>613580.22049616242</c:v>
                </c:pt>
                <c:pt idx="24">
                  <c:v>765300.96634121216</c:v>
                </c:pt>
                <c:pt idx="25">
                  <c:v>838644.6628670682</c:v>
                </c:pt>
              </c:numCache>
            </c:numRef>
          </c:val>
          <c:smooth val="0"/>
          <c:extLst>
            <c:ext xmlns:c16="http://schemas.microsoft.com/office/drawing/2014/chart" uri="{C3380CC4-5D6E-409C-BE32-E72D297353CC}">
              <c16:uniqueId val="{00000001-8252-4044-A89C-530EB48DCC74}"/>
            </c:ext>
          </c:extLst>
        </c:ser>
        <c:ser>
          <c:idx val="2"/>
          <c:order val="2"/>
          <c:tx>
            <c:strRef>
              <c:f>'Chart Data'!$D$1</c:f>
              <c:strCache>
                <c:ptCount val="1"/>
                <c:pt idx="0">
                  <c:v>Panic and Sell When S&amp;P 500 Falls &gt; 20%</c:v>
                </c:pt>
              </c:strCache>
            </c:strRef>
          </c:tx>
          <c:marker>
            <c:symbol val="none"/>
          </c:marker>
          <c:cat>
            <c:strRef>
              <c:f>'Chart Data'!$A$2:$A$31</c:f>
              <c:strCache>
                <c:ptCount val="26"/>
                <c:pt idx="0">
                  <c:v>Starting</c:v>
                </c:pt>
                <c:pt idx="1">
                  <c:v>1990</c:v>
                </c:pt>
                <c:pt idx="2">
                  <c:v>1991</c:v>
                </c:pt>
                <c:pt idx="3">
                  <c:v>1992</c:v>
                </c:pt>
                <c:pt idx="4">
                  <c:v>1993</c:v>
                </c:pt>
                <c:pt idx="5">
                  <c:v>1994</c:v>
                </c:pt>
                <c:pt idx="6">
                  <c:v>1995</c:v>
                </c:pt>
                <c:pt idx="7">
                  <c:v>1996</c:v>
                </c:pt>
                <c:pt idx="8">
                  <c:v>1997</c:v>
                </c:pt>
                <c:pt idx="9">
                  <c:v>1998</c:v>
                </c:pt>
                <c:pt idx="10">
                  <c:v>1999</c:v>
                </c:pt>
                <c:pt idx="11">
                  <c:v>2000</c:v>
                </c:pt>
                <c:pt idx="12">
                  <c:v>2001</c:v>
                </c:pt>
                <c:pt idx="13">
                  <c:v>2002</c:v>
                </c:pt>
                <c:pt idx="14">
                  <c:v>2003</c:v>
                </c:pt>
                <c:pt idx="15">
                  <c:v>2004</c:v>
                </c:pt>
                <c:pt idx="16">
                  <c:v>2005</c:v>
                </c:pt>
                <c:pt idx="17">
                  <c:v>2006</c:v>
                </c:pt>
                <c:pt idx="18">
                  <c:v>2007</c:v>
                </c:pt>
                <c:pt idx="19">
                  <c:v>2008</c:v>
                </c:pt>
                <c:pt idx="20">
                  <c:v>2009</c:v>
                </c:pt>
                <c:pt idx="21">
                  <c:v>2010</c:v>
                </c:pt>
                <c:pt idx="22">
                  <c:v>2011</c:v>
                </c:pt>
                <c:pt idx="23">
                  <c:v>2012</c:v>
                </c:pt>
                <c:pt idx="24">
                  <c:v>2013</c:v>
                </c:pt>
                <c:pt idx="25">
                  <c:v>2014</c:v>
                </c:pt>
              </c:strCache>
            </c:strRef>
          </c:cat>
          <c:val>
            <c:numRef>
              <c:f>'Chart Data'!$D$2:$D$31</c:f>
              <c:numCache>
                <c:formatCode>"$"#,##0_);[Red]\("$"#,##0\)</c:formatCode>
                <c:ptCount val="30"/>
                <c:pt idx="0">
                  <c:v>100000</c:v>
                </c:pt>
                <c:pt idx="1">
                  <c:v>95265.5</c:v>
                </c:pt>
                <c:pt idx="2">
                  <c:v>118618.30583000001</c:v>
                </c:pt>
                <c:pt idx="3">
                  <c:v>126045.91483718021</c:v>
                </c:pt>
                <c:pt idx="4">
                  <c:v>143948.5319869965</c:v>
                </c:pt>
                <c:pt idx="5">
                  <c:v>143501.96676915168</c:v>
                </c:pt>
                <c:pt idx="6">
                  <c:v>180547.00227780559</c:v>
                </c:pt>
                <c:pt idx="7">
                  <c:v>205457.56785559453</c:v>
                </c:pt>
                <c:pt idx="8">
                  <c:v>246490.82467164175</c:v>
                </c:pt>
                <c:pt idx="9">
                  <c:v>283052.03961869888</c:v>
                </c:pt>
                <c:pt idx="10">
                  <c:v>328842.41277419892</c:v>
                </c:pt>
                <c:pt idx="11">
                  <c:v>332454.19349038199</c:v>
                </c:pt>
                <c:pt idx="12">
                  <c:v>320121.02608184848</c:v>
                </c:pt>
                <c:pt idx="13">
                  <c:v>281784.71060940484</c:v>
                </c:pt>
                <c:pt idx="14">
                  <c:v>292971.56362059823</c:v>
                </c:pt>
                <c:pt idx="15">
                  <c:v>332955.44370884664</c:v>
                </c:pt>
                <c:pt idx="16">
                  <c:v>361684.73431747081</c:v>
                </c:pt>
                <c:pt idx="17">
                  <c:v>414948.52157001244</c:v>
                </c:pt>
                <c:pt idx="18">
                  <c:v>448039.38759003766</c:v>
                </c:pt>
                <c:pt idx="19">
                  <c:v>313471.12515872857</c:v>
                </c:pt>
                <c:pt idx="20">
                  <c:v>332059.96288064116</c:v>
                </c:pt>
                <c:pt idx="21">
                  <c:v>381855.67491422215</c:v>
                </c:pt>
                <c:pt idx="22">
                  <c:v>377683.27307627455</c:v>
                </c:pt>
                <c:pt idx="23">
                  <c:v>426373.31436217594</c:v>
                </c:pt>
                <c:pt idx="24">
                  <c:v>515261.49973517703</c:v>
                </c:pt>
                <c:pt idx="25">
                  <c:v>556678.59269060323</c:v>
                </c:pt>
              </c:numCache>
            </c:numRef>
          </c:val>
          <c:smooth val="0"/>
          <c:extLst>
            <c:ext xmlns:c16="http://schemas.microsoft.com/office/drawing/2014/chart" uri="{C3380CC4-5D6E-409C-BE32-E72D297353CC}">
              <c16:uniqueId val="{00000002-8252-4044-A89C-530EB48DCC74}"/>
            </c:ext>
          </c:extLst>
        </c:ser>
        <c:dLbls>
          <c:showLegendKey val="0"/>
          <c:showVal val="0"/>
          <c:showCatName val="0"/>
          <c:showSerName val="0"/>
          <c:showPercent val="0"/>
          <c:showBubbleSize val="0"/>
        </c:dLbls>
        <c:smooth val="0"/>
        <c:axId val="182273624"/>
        <c:axId val="182272448"/>
      </c:lineChart>
      <c:catAx>
        <c:axId val="182273624"/>
        <c:scaling>
          <c:orientation val="minMax"/>
        </c:scaling>
        <c:delete val="0"/>
        <c:axPos val="b"/>
        <c:numFmt formatCode="General" sourceLinked="0"/>
        <c:majorTickMark val="out"/>
        <c:minorTickMark val="none"/>
        <c:tickLblPos val="nextTo"/>
        <c:crossAx val="182272448"/>
        <c:crosses val="autoZero"/>
        <c:auto val="1"/>
        <c:lblAlgn val="ctr"/>
        <c:lblOffset val="100"/>
        <c:noMultiLvlLbl val="0"/>
      </c:catAx>
      <c:valAx>
        <c:axId val="182272448"/>
        <c:scaling>
          <c:orientation val="minMax"/>
          <c:min val="100000"/>
        </c:scaling>
        <c:delete val="0"/>
        <c:axPos val="l"/>
        <c:majorGridlines/>
        <c:numFmt formatCode="&quot;$&quot;#,##0_);[Red]\(&quot;$&quot;#,##0\)" sourceLinked="1"/>
        <c:majorTickMark val="out"/>
        <c:minorTickMark val="none"/>
        <c:tickLblPos val="nextTo"/>
        <c:crossAx val="182273624"/>
        <c:crosses val="autoZero"/>
        <c:crossBetween val="between"/>
        <c:majorUnit val="100000"/>
      </c:valAx>
    </c:plotArea>
    <c:legend>
      <c:legendPos val="b"/>
      <c:overlay val="0"/>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Ref>
              <c:f>'Panic Chart'!$A$2:$A$3</c:f>
              <c:strCache>
                <c:ptCount val="2"/>
                <c:pt idx="0">
                  <c:v>Rebalance at 5% Thresholds</c:v>
                </c:pt>
                <c:pt idx="1">
                  <c:v>Panic and Selll When S&amp;P 500 Falls +20%</c:v>
                </c:pt>
              </c:strCache>
            </c:strRef>
          </c:cat>
          <c:val>
            <c:numRef>
              <c:f>'Panic Chart'!$B$2:$B$3</c:f>
              <c:numCache>
                <c:formatCode>"$"#,##0_);[Red]\("$"#,##0\)</c:formatCode>
                <c:ptCount val="2"/>
                <c:pt idx="0">
                  <c:v>825092.52200563368</c:v>
                </c:pt>
                <c:pt idx="1">
                  <c:v>556678.59269060323</c:v>
                </c:pt>
              </c:numCache>
            </c:numRef>
          </c:val>
          <c:extLst>
            <c:ext xmlns:c16="http://schemas.microsoft.com/office/drawing/2014/chart" uri="{C3380CC4-5D6E-409C-BE32-E72D297353CC}">
              <c16:uniqueId val="{00000000-DB37-49BF-B48A-98BBA8C97AA0}"/>
            </c:ext>
          </c:extLst>
        </c:ser>
        <c:dLbls>
          <c:showLegendKey val="0"/>
          <c:showVal val="0"/>
          <c:showCatName val="0"/>
          <c:showSerName val="0"/>
          <c:showPercent val="0"/>
          <c:showBubbleSize val="0"/>
        </c:dLbls>
        <c:gapWidth val="219"/>
        <c:overlap val="-27"/>
        <c:axId val="252160592"/>
        <c:axId val="252159808"/>
      </c:barChart>
      <c:catAx>
        <c:axId val="252160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159808"/>
        <c:crosses val="autoZero"/>
        <c:auto val="1"/>
        <c:lblAlgn val="ctr"/>
        <c:lblOffset val="100"/>
        <c:noMultiLvlLbl val="0"/>
      </c:catAx>
      <c:valAx>
        <c:axId val="25215980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160592"/>
        <c:crosses val="autoZero"/>
        <c:crossBetween val="between"/>
        <c:majorUnit val="10000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B00-000000000000}">
  <sheetPr/>
  <sheetViews>
    <sheetView zoomScale="190"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8669421" cy="6283158"/>
    <xdr:graphicFrame macro="">
      <xdr:nvGraphicFramePr>
        <xdr:cNvPr id="2" name="Chart 1">
          <a:extLst>
            <a:ext uri="{FF2B5EF4-FFF2-40B4-BE49-F238E27FC236}">
              <a16:creationId xmlns:a16="http://schemas.microsoft.com/office/drawing/2014/main" id="{00000000-0008-0000-0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0</xdr:col>
      <xdr:colOff>57150</xdr:colOff>
      <xdr:row>3</xdr:row>
      <xdr:rowOff>152400</xdr:rowOff>
    </xdr:from>
    <xdr:to>
      <xdr:col>4</xdr:col>
      <xdr:colOff>209550</xdr:colOff>
      <xdr:row>18</xdr:row>
      <xdr:rowOff>38100</xdr:rowOff>
    </xdr:to>
    <xdr:graphicFrame macro="">
      <xdr:nvGraphicFramePr>
        <xdr:cNvPr id="2" name="Chart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hyperlink" Target="https://research.stlouisfed.org/fred2/series/CPIAUCS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0"/>
  <sheetViews>
    <sheetView topLeftCell="A71" workbookViewId="0">
      <selection activeCell="A80" sqref="A80"/>
    </sheetView>
  </sheetViews>
  <sheetFormatPr baseColWidth="10" defaultColWidth="8.83203125" defaultRowHeight="15" x14ac:dyDescent="0.2"/>
  <cols>
    <col min="2" max="2" width="84.1640625" style="8" customWidth="1"/>
    <col min="4" max="4" width="60.5" customWidth="1"/>
  </cols>
  <sheetData>
    <row r="1" spans="1:4" x14ac:dyDescent="0.2">
      <c r="A1" s="20" t="s">
        <v>91</v>
      </c>
    </row>
    <row r="3" spans="1:4" x14ac:dyDescent="0.2">
      <c r="A3" s="53" t="s">
        <v>30</v>
      </c>
    </row>
    <row r="4" spans="1:4" x14ac:dyDescent="0.2">
      <c r="A4" t="s">
        <v>31</v>
      </c>
    </row>
    <row r="5" spans="1:4" x14ac:dyDescent="0.2">
      <c r="A5" t="s">
        <v>2</v>
      </c>
    </row>
    <row r="6" spans="1:4" x14ac:dyDescent="0.2">
      <c r="A6" t="s">
        <v>32</v>
      </c>
    </row>
    <row r="7" spans="1:4" x14ac:dyDescent="0.2">
      <c r="A7" t="s">
        <v>33</v>
      </c>
    </row>
    <row r="8" spans="1:4" x14ac:dyDescent="0.2">
      <c r="A8" t="s">
        <v>46</v>
      </c>
    </row>
    <row r="9" spans="1:4" x14ac:dyDescent="0.2">
      <c r="A9" t="s">
        <v>47</v>
      </c>
    </row>
    <row r="10" spans="1:4" x14ac:dyDescent="0.2">
      <c r="A10" t="s">
        <v>15</v>
      </c>
    </row>
    <row r="11" spans="1:4" x14ac:dyDescent="0.2">
      <c r="A11" t="s">
        <v>16</v>
      </c>
    </row>
    <row r="14" spans="1:4" x14ac:dyDescent="0.2">
      <c r="A14" s="54" t="s">
        <v>39</v>
      </c>
    </row>
    <row r="15" spans="1:4" x14ac:dyDescent="0.2">
      <c r="A15" s="34" t="s">
        <v>89</v>
      </c>
    </row>
    <row r="16" spans="1:4" ht="30" x14ac:dyDescent="0.2">
      <c r="A16" s="34">
        <v>1</v>
      </c>
      <c r="B16" s="8" t="s">
        <v>92</v>
      </c>
      <c r="C16" s="34"/>
      <c r="D16" s="8"/>
    </row>
    <row r="17" spans="1:4" ht="30" x14ac:dyDescent="0.2">
      <c r="A17" s="34">
        <v>2</v>
      </c>
      <c r="B17" s="8" t="s">
        <v>14</v>
      </c>
      <c r="C17" s="34"/>
      <c r="D17" s="8"/>
    </row>
    <row r="18" spans="1:4" x14ac:dyDescent="0.2">
      <c r="A18" s="34">
        <v>3</v>
      </c>
      <c r="B18" s="8" t="s">
        <v>129</v>
      </c>
      <c r="C18" s="34"/>
      <c r="D18" s="8"/>
    </row>
    <row r="19" spans="1:4" x14ac:dyDescent="0.2">
      <c r="A19" s="34"/>
    </row>
    <row r="20" spans="1:4" x14ac:dyDescent="0.2">
      <c r="A20" s="34"/>
    </row>
    <row r="21" spans="1:4" x14ac:dyDescent="0.2">
      <c r="A21" s="55" t="s">
        <v>17</v>
      </c>
    </row>
    <row r="22" spans="1:4" x14ac:dyDescent="0.2">
      <c r="A22" s="34" t="s">
        <v>89</v>
      </c>
    </row>
    <row r="23" spans="1:4" x14ac:dyDescent="0.2">
      <c r="A23" s="34">
        <v>1</v>
      </c>
      <c r="B23" s="8" t="s">
        <v>131</v>
      </c>
      <c r="C23" s="34"/>
      <c r="D23" s="8"/>
    </row>
    <row r="24" spans="1:4" ht="45" x14ac:dyDescent="0.2">
      <c r="A24" s="34">
        <v>2</v>
      </c>
      <c r="B24" s="8" t="s">
        <v>132</v>
      </c>
      <c r="C24" s="34"/>
      <c r="D24" s="8"/>
    </row>
    <row r="25" spans="1:4" ht="45" x14ac:dyDescent="0.2">
      <c r="A25" s="34">
        <v>3</v>
      </c>
      <c r="B25" s="8" t="s">
        <v>128</v>
      </c>
      <c r="C25" s="34"/>
      <c r="D25" s="8"/>
    </row>
    <row r="26" spans="1:4" ht="30" x14ac:dyDescent="0.2">
      <c r="A26" s="34">
        <v>4</v>
      </c>
      <c r="B26" s="8" t="s">
        <v>19</v>
      </c>
      <c r="C26" s="34"/>
      <c r="D26" s="8"/>
    </row>
    <row r="27" spans="1:4" ht="45" x14ac:dyDescent="0.2">
      <c r="A27" s="34">
        <v>5</v>
      </c>
      <c r="B27" s="8" t="s">
        <v>20</v>
      </c>
      <c r="C27" s="34"/>
      <c r="D27" s="8"/>
    </row>
    <row r="28" spans="1:4" x14ac:dyDescent="0.2">
      <c r="A28" s="34"/>
    </row>
    <row r="29" spans="1:4" x14ac:dyDescent="0.2">
      <c r="A29" s="34"/>
    </row>
    <row r="30" spans="1:4" x14ac:dyDescent="0.2">
      <c r="A30" s="34"/>
    </row>
    <row r="31" spans="1:4" x14ac:dyDescent="0.2">
      <c r="A31" s="55" t="s">
        <v>22</v>
      </c>
    </row>
    <row r="32" spans="1:4" x14ac:dyDescent="0.2">
      <c r="A32" s="34" t="s">
        <v>89</v>
      </c>
    </row>
    <row r="33" spans="1:4" x14ac:dyDescent="0.2">
      <c r="A33" s="34">
        <v>1</v>
      </c>
      <c r="B33" s="8" t="s">
        <v>131</v>
      </c>
      <c r="C33" s="34"/>
      <c r="D33" s="8"/>
    </row>
    <row r="34" spans="1:4" ht="45" x14ac:dyDescent="0.2">
      <c r="A34" s="34">
        <v>2</v>
      </c>
      <c r="B34" s="8" t="s">
        <v>135</v>
      </c>
      <c r="C34" s="34"/>
      <c r="D34" s="8"/>
    </row>
    <row r="35" spans="1:4" ht="45" x14ac:dyDescent="0.2">
      <c r="A35" s="34">
        <v>3</v>
      </c>
      <c r="B35" s="8" t="s">
        <v>133</v>
      </c>
      <c r="C35" s="34"/>
      <c r="D35" s="8"/>
    </row>
    <row r="36" spans="1:4" ht="45" x14ac:dyDescent="0.2">
      <c r="A36" s="34">
        <v>4</v>
      </c>
      <c r="B36" s="8" t="s">
        <v>134</v>
      </c>
      <c r="C36" s="34"/>
      <c r="D36" s="8"/>
    </row>
    <row r="37" spans="1:4" x14ac:dyDescent="0.2">
      <c r="A37" s="34"/>
    </row>
    <row r="38" spans="1:4" x14ac:dyDescent="0.2">
      <c r="A38" s="34"/>
    </row>
    <row r="39" spans="1:4" x14ac:dyDescent="0.2">
      <c r="A39" s="55" t="s">
        <v>164</v>
      </c>
    </row>
    <row r="40" spans="1:4" x14ac:dyDescent="0.2">
      <c r="A40" s="34" t="s">
        <v>89</v>
      </c>
    </row>
    <row r="41" spans="1:4" x14ac:dyDescent="0.2">
      <c r="A41" s="34">
        <v>1</v>
      </c>
      <c r="B41" s="8" t="s">
        <v>131</v>
      </c>
      <c r="C41" s="34"/>
      <c r="D41" s="8"/>
    </row>
    <row r="42" spans="1:4" x14ac:dyDescent="0.2">
      <c r="A42" s="34" t="s">
        <v>23</v>
      </c>
      <c r="B42" s="8" t="s">
        <v>24</v>
      </c>
      <c r="C42" s="34"/>
      <c r="D42" s="8"/>
    </row>
    <row r="43" spans="1:4" ht="75" x14ac:dyDescent="0.2">
      <c r="A43" s="34">
        <v>2</v>
      </c>
      <c r="B43" s="8" t="s">
        <v>137</v>
      </c>
      <c r="C43" s="34"/>
      <c r="D43" s="8"/>
    </row>
    <row r="44" spans="1:4" ht="30" x14ac:dyDescent="0.2">
      <c r="A44" s="34">
        <v>3</v>
      </c>
      <c r="B44" s="8" t="s">
        <v>166</v>
      </c>
      <c r="C44" s="34"/>
      <c r="D44" s="8"/>
    </row>
    <row r="45" spans="1:4" ht="45" x14ac:dyDescent="0.2">
      <c r="A45" s="34">
        <v>4</v>
      </c>
      <c r="B45" s="8" t="s">
        <v>3</v>
      </c>
      <c r="C45" s="34"/>
      <c r="D45" s="8"/>
    </row>
    <row r="46" spans="1:4" ht="30" x14ac:dyDescent="0.2">
      <c r="A46" s="34">
        <v>5</v>
      </c>
      <c r="B46" s="8" t="s">
        <v>136</v>
      </c>
      <c r="C46" s="34"/>
      <c r="D46" s="8"/>
    </row>
    <row r="47" spans="1:4" x14ac:dyDescent="0.2">
      <c r="A47" s="34"/>
    </row>
    <row r="48" spans="1:4" x14ac:dyDescent="0.2">
      <c r="A48" s="34"/>
    </row>
    <row r="49" spans="1:4" x14ac:dyDescent="0.2">
      <c r="A49" s="55" t="s">
        <v>165</v>
      </c>
    </row>
    <row r="50" spans="1:4" x14ac:dyDescent="0.2">
      <c r="A50" s="34" t="s">
        <v>89</v>
      </c>
    </row>
    <row r="51" spans="1:4" x14ac:dyDescent="0.2">
      <c r="A51" s="34">
        <v>1</v>
      </c>
      <c r="B51" s="8" t="s">
        <v>131</v>
      </c>
      <c r="C51" s="34"/>
      <c r="D51" s="8"/>
    </row>
    <row r="52" spans="1:4" x14ac:dyDescent="0.2">
      <c r="A52" s="34" t="s">
        <v>23</v>
      </c>
      <c r="B52" s="8" t="s">
        <v>169</v>
      </c>
      <c r="C52" s="34"/>
      <c r="D52" s="8"/>
    </row>
    <row r="53" spans="1:4" ht="75" x14ac:dyDescent="0.2">
      <c r="A53" s="34">
        <v>2</v>
      </c>
      <c r="B53" s="8" t="s">
        <v>139</v>
      </c>
      <c r="C53" s="34"/>
      <c r="D53" s="8"/>
    </row>
    <row r="54" spans="1:4" ht="30" x14ac:dyDescent="0.2">
      <c r="A54" s="34">
        <v>3</v>
      </c>
      <c r="B54" s="8" t="s">
        <v>167</v>
      </c>
      <c r="C54" s="34"/>
      <c r="D54" s="8"/>
    </row>
    <row r="55" spans="1:4" ht="45" x14ac:dyDescent="0.2">
      <c r="A55" s="34">
        <v>4</v>
      </c>
      <c r="B55" s="8" t="s">
        <v>3</v>
      </c>
      <c r="C55" s="34"/>
      <c r="D55" s="8"/>
    </row>
    <row r="56" spans="1:4" ht="45" x14ac:dyDescent="0.2">
      <c r="A56" s="34">
        <v>5</v>
      </c>
      <c r="B56" s="8" t="s">
        <v>6</v>
      </c>
      <c r="C56" s="34"/>
      <c r="D56" s="8"/>
    </row>
    <row r="57" spans="1:4" ht="30" x14ac:dyDescent="0.2">
      <c r="A57" s="34">
        <v>6</v>
      </c>
      <c r="B57" s="8" t="s">
        <v>19</v>
      </c>
      <c r="C57" s="34"/>
      <c r="D57" s="8"/>
    </row>
    <row r="58" spans="1:4" ht="45" x14ac:dyDescent="0.2">
      <c r="A58" s="34">
        <v>7</v>
      </c>
      <c r="B58" s="8" t="s">
        <v>8</v>
      </c>
      <c r="C58" s="34"/>
      <c r="D58" s="8"/>
    </row>
    <row r="61" spans="1:4" x14ac:dyDescent="0.2">
      <c r="A61" s="37" t="s">
        <v>168</v>
      </c>
    </row>
    <row r="62" spans="1:4" x14ac:dyDescent="0.2">
      <c r="A62" s="34" t="s">
        <v>89</v>
      </c>
    </row>
    <row r="63" spans="1:4" x14ac:dyDescent="0.2">
      <c r="A63" s="34">
        <v>1</v>
      </c>
      <c r="B63" s="8" t="s">
        <v>131</v>
      </c>
      <c r="C63" s="34"/>
      <c r="D63" s="8"/>
    </row>
    <row r="64" spans="1:4" x14ac:dyDescent="0.2">
      <c r="A64" s="34" t="s">
        <v>23</v>
      </c>
      <c r="B64" s="8" t="s">
        <v>169</v>
      </c>
      <c r="C64" s="34"/>
      <c r="D64" s="8"/>
    </row>
    <row r="65" spans="1:4" ht="75" x14ac:dyDescent="0.2">
      <c r="A65" s="34">
        <v>2</v>
      </c>
      <c r="B65" s="8" t="s">
        <v>140</v>
      </c>
      <c r="C65" s="34"/>
      <c r="D65" s="8"/>
    </row>
    <row r="66" spans="1:4" ht="30" x14ac:dyDescent="0.2">
      <c r="A66" s="34">
        <v>3</v>
      </c>
      <c r="B66" s="8" t="s">
        <v>167</v>
      </c>
      <c r="C66" s="34"/>
      <c r="D66" s="8"/>
    </row>
    <row r="67" spans="1:4" ht="60" x14ac:dyDescent="0.2">
      <c r="A67" s="34">
        <v>4</v>
      </c>
      <c r="B67" s="8" t="s">
        <v>0</v>
      </c>
      <c r="C67" s="34"/>
      <c r="D67" s="8"/>
    </row>
    <row r="68" spans="1:4" x14ac:dyDescent="0.2">
      <c r="A68" s="34">
        <v>5</v>
      </c>
      <c r="B68" s="8" t="s">
        <v>1</v>
      </c>
      <c r="C68" s="34"/>
      <c r="D68" s="8"/>
    </row>
    <row r="69" spans="1:4" ht="45" x14ac:dyDescent="0.2">
      <c r="A69" s="34">
        <v>6</v>
      </c>
      <c r="B69" s="8" t="s">
        <v>10</v>
      </c>
      <c r="C69" s="34"/>
      <c r="D69" s="8"/>
    </row>
    <row r="70" spans="1:4" x14ac:dyDescent="0.2">
      <c r="C70" s="34"/>
      <c r="D70" s="8"/>
    </row>
    <row r="72" spans="1:4" x14ac:dyDescent="0.2">
      <c r="A72" s="37" t="s">
        <v>170</v>
      </c>
    </row>
    <row r="73" spans="1:4" x14ac:dyDescent="0.2">
      <c r="A73" s="34" t="s">
        <v>89</v>
      </c>
    </row>
    <row r="74" spans="1:4" x14ac:dyDescent="0.2">
      <c r="A74" s="34">
        <v>1</v>
      </c>
      <c r="B74" s="8" t="s">
        <v>131</v>
      </c>
    </row>
    <row r="75" spans="1:4" x14ac:dyDescent="0.2">
      <c r="A75" s="34" t="s">
        <v>23</v>
      </c>
      <c r="B75" s="8" t="s">
        <v>169</v>
      </c>
    </row>
    <row r="76" spans="1:4" ht="75" x14ac:dyDescent="0.2">
      <c r="A76" s="34">
        <v>2</v>
      </c>
      <c r="B76" s="8" t="s">
        <v>171</v>
      </c>
    </row>
    <row r="77" spans="1:4" ht="30" x14ac:dyDescent="0.2">
      <c r="A77" s="34">
        <v>3</v>
      </c>
      <c r="B77" s="8" t="s">
        <v>172</v>
      </c>
    </row>
    <row r="78" spans="1:4" ht="30" x14ac:dyDescent="0.2">
      <c r="A78" s="34">
        <v>4</v>
      </c>
      <c r="B78" s="8" t="s">
        <v>173</v>
      </c>
    </row>
    <row r="79" spans="1:4" x14ac:dyDescent="0.2">
      <c r="A79" s="34">
        <v>5</v>
      </c>
      <c r="B79" s="8" t="s">
        <v>1</v>
      </c>
    </row>
    <row r="80" spans="1:4" x14ac:dyDescent="0.2">
      <c r="A80" s="34">
        <v>6</v>
      </c>
      <c r="B80" s="8" t="s">
        <v>174</v>
      </c>
    </row>
  </sheetData>
  <phoneticPr fontId="11" type="noConversion"/>
  <pageMargins left="0.7" right="0.7" top="0.75" bottom="0.75" header="0.3" footer="0.3"/>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169AE-11F4-4903-A8C0-2E489A28186E}">
  <dimension ref="A1:AP79"/>
  <sheetViews>
    <sheetView tabSelected="1" zoomScale="120" zoomScaleNormal="120" workbookViewId="0">
      <selection activeCell="I40" sqref="I40"/>
    </sheetView>
  </sheetViews>
  <sheetFormatPr baseColWidth="10" defaultColWidth="8.83203125" defaultRowHeight="15" x14ac:dyDescent="0.2"/>
  <cols>
    <col min="1" max="1" width="25.5" customWidth="1"/>
    <col min="2" max="4" width="9.33203125" bestFit="1" customWidth="1"/>
    <col min="5" max="5" width="9.5" customWidth="1"/>
    <col min="9" max="9" width="11.6640625" customWidth="1"/>
    <col min="10" max="10" width="10" bestFit="1" customWidth="1"/>
    <col min="15" max="15" width="9.83203125" bestFit="1" customWidth="1"/>
    <col min="16" max="16" width="9.83203125" customWidth="1"/>
    <col min="19" max="19" width="10.83203125" bestFit="1" customWidth="1"/>
    <col min="20" max="20" width="9.33203125" bestFit="1" customWidth="1"/>
    <col min="21" max="21" width="11.83203125" bestFit="1" customWidth="1"/>
    <col min="22" max="22" width="10.1640625" customWidth="1"/>
    <col min="24" max="24" width="10.83203125" bestFit="1" customWidth="1"/>
    <col min="26" max="26" width="10.83203125" bestFit="1" customWidth="1"/>
    <col min="27" max="30" width="10.83203125" customWidth="1"/>
  </cols>
  <sheetData>
    <row r="1" spans="1:16" x14ac:dyDescent="0.2">
      <c r="A1" s="20" t="s">
        <v>49</v>
      </c>
      <c r="N1" s="20" t="s">
        <v>144</v>
      </c>
    </row>
    <row r="2" spans="1:16"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5" t="s">
        <v>48</v>
      </c>
      <c r="O3" s="45" t="s">
        <v>41</v>
      </c>
      <c r="P3" s="44"/>
    </row>
    <row r="4" spans="1:16" x14ac:dyDescent="0.2">
      <c r="A4" s="17">
        <f>'Non-Rebalanced Portfolio'!A4</f>
        <v>1990</v>
      </c>
      <c r="B4" s="17">
        <f>'Non-Rebalanced Portfolio'!B4</f>
        <v>-3.32</v>
      </c>
      <c r="C4" s="17">
        <f>'Non-Rebalanced Portfolio'!C4</f>
        <v>-14.045</v>
      </c>
      <c r="D4" s="17"/>
      <c r="E4" s="17"/>
      <c r="F4" s="17">
        <f>'Non-Rebalanced Portfolio'!F4</f>
        <v>-12.26</v>
      </c>
      <c r="G4" s="17"/>
      <c r="H4" s="17">
        <f>'Non-Rebalanced Portfolio'!H4</f>
        <v>8.65</v>
      </c>
      <c r="N4" s="45">
        <v>1989</v>
      </c>
      <c r="O4" s="46">
        <v>4.5999999999999999E-2</v>
      </c>
      <c r="P4" s="44"/>
    </row>
    <row r="5" spans="1:16" x14ac:dyDescent="0.2">
      <c r="A5" s="17">
        <f>'Non-Rebalanced Portfolio'!A5</f>
        <v>1991</v>
      </c>
      <c r="B5" s="17">
        <f>'Non-Rebalanced Portfolio'!B5</f>
        <v>30.22</v>
      </c>
      <c r="C5" s="17">
        <f>'Non-Rebalanced Portfolio'!C5</f>
        <v>41.85</v>
      </c>
      <c r="D5" s="17"/>
      <c r="E5" s="17"/>
      <c r="F5" s="17">
        <f>'Non-Rebalanced Portfolio'!F5</f>
        <v>9.9559999999999995</v>
      </c>
      <c r="G5" s="17"/>
      <c r="H5" s="17">
        <f>'Non-Rebalanced Portfolio'!H5</f>
        <v>15.25</v>
      </c>
      <c r="N5" s="45">
        <v>1990</v>
      </c>
      <c r="O5" s="46">
        <v>6.3E-2</v>
      </c>
      <c r="P5" s="44"/>
    </row>
    <row r="6" spans="1:16" x14ac:dyDescent="0.2">
      <c r="A6" s="17">
        <f>'Non-Rebalanced Portfolio'!A6</f>
        <v>1992</v>
      </c>
      <c r="B6" s="17">
        <f>'Non-Rebalanced Portfolio'!B6</f>
        <v>7.42</v>
      </c>
      <c r="C6" s="17">
        <f>'Non-Rebalanced Portfolio'!C6</f>
        <v>12.465999999999999</v>
      </c>
      <c r="D6" s="17"/>
      <c r="E6" s="17"/>
      <c r="F6" s="17">
        <f>'Non-Rebalanced Portfolio'!F6</f>
        <v>-8.7210000000000001</v>
      </c>
      <c r="G6" s="17"/>
      <c r="H6" s="17">
        <f>'Non-Rebalanced Portfolio'!H6</f>
        <v>7.14</v>
      </c>
      <c r="N6" s="45">
        <v>1991</v>
      </c>
      <c r="O6" s="46">
        <v>0.03</v>
      </c>
      <c r="P6" s="44"/>
    </row>
    <row r="7" spans="1:16" x14ac:dyDescent="0.2">
      <c r="A7" s="17">
        <f>'Non-Rebalanced Portfolio'!A7</f>
        <v>1993</v>
      </c>
      <c r="B7" s="17">
        <f>'Non-Rebalanced Portfolio'!B7</f>
        <v>9.89</v>
      </c>
      <c r="C7" s="17">
        <f>'Non-Rebalanced Portfolio'!C7</f>
        <v>14.49</v>
      </c>
      <c r="D7" s="17"/>
      <c r="E7" s="17"/>
      <c r="F7" s="17">
        <f>'Non-Rebalanced Portfolio'!F7</f>
        <v>30.494</v>
      </c>
      <c r="G7" s="17"/>
      <c r="H7" s="17">
        <f>'Non-Rebalanced Portfolio'!H7</f>
        <v>9.68</v>
      </c>
      <c r="N7" s="45">
        <v>1992</v>
      </c>
      <c r="O7" s="46">
        <v>0.03</v>
      </c>
      <c r="P7" s="44"/>
    </row>
    <row r="8" spans="1:16" x14ac:dyDescent="0.2">
      <c r="A8" s="17">
        <f>'Non-Rebalanced Portfolio'!A8</f>
        <v>1994</v>
      </c>
      <c r="B8" s="17">
        <f>'Non-Rebalanced Portfolio'!B8</f>
        <v>1.18</v>
      </c>
      <c r="C8" s="17">
        <f>'Non-Rebalanced Portfolio'!C8</f>
        <v>-1.764</v>
      </c>
      <c r="D8" s="17"/>
      <c r="E8" s="17"/>
      <c r="F8" s="17">
        <f>'Non-Rebalanced Portfolio'!F8</f>
        <v>5.2549999999999999</v>
      </c>
      <c r="G8" s="17"/>
      <c r="H8" s="17">
        <f>'Non-Rebalanced Portfolio'!H8</f>
        <v>-2.66</v>
      </c>
      <c r="N8" s="45">
        <v>1993</v>
      </c>
      <c r="O8" s="46">
        <v>2.8000000000000001E-2</v>
      </c>
      <c r="P8" s="44"/>
    </row>
    <row r="9" spans="1:16" x14ac:dyDescent="0.2">
      <c r="A9" s="17">
        <f>'Non-Rebalanced Portfolio'!A9</f>
        <v>1995</v>
      </c>
      <c r="B9" s="17">
        <f>'Non-Rebalanced Portfolio'!B9</f>
        <v>37.450000000000003</v>
      </c>
      <c r="C9" s="17">
        <f>'Non-Rebalanced Portfolio'!C9</f>
        <v>33.796999999999997</v>
      </c>
      <c r="D9" s="17"/>
      <c r="E9" s="17"/>
      <c r="F9" s="17">
        <f>'Non-Rebalanced Portfolio'!F9</f>
        <v>9.6460000000000008</v>
      </c>
      <c r="G9" s="17"/>
      <c r="H9" s="17">
        <f>'Non-Rebalanced Portfolio'!H9</f>
        <v>18.18</v>
      </c>
      <c r="N9" s="45">
        <v>1994</v>
      </c>
      <c r="O9" s="46">
        <v>2.5999999999999999E-2</v>
      </c>
      <c r="P9" s="44"/>
    </row>
    <row r="10" spans="1:16" x14ac:dyDescent="0.2">
      <c r="A10" s="17">
        <f>'Non-Rebalanced Portfolio'!A10</f>
        <v>1996</v>
      </c>
      <c r="B10" s="17">
        <f>'Non-Rebalanced Portfolio'!B10</f>
        <v>22.88</v>
      </c>
      <c r="C10" s="17">
        <f>'Non-Rebalanced Portfolio'!C10</f>
        <v>17.646999999999998</v>
      </c>
      <c r="D10" s="17"/>
      <c r="E10" s="17"/>
      <c r="F10" s="17">
        <f>'Non-Rebalanced Portfolio'!F10</f>
        <v>10.218999999999999</v>
      </c>
      <c r="G10" s="17"/>
      <c r="H10" s="17">
        <f>'Non-Rebalanced Portfolio'!H10</f>
        <v>3.58</v>
      </c>
      <c r="N10" s="45">
        <v>1995</v>
      </c>
      <c r="O10" s="46">
        <v>2.5000000000000001E-2</v>
      </c>
      <c r="P10" s="44"/>
    </row>
    <row r="11" spans="1:16" x14ac:dyDescent="0.2">
      <c r="A11" s="17">
        <f>'Non-Rebalanced Portfolio'!A11</f>
        <v>1997</v>
      </c>
      <c r="B11" s="17">
        <f>'Non-Rebalanced Portfolio'!B11</f>
        <v>33.19</v>
      </c>
      <c r="C11" s="17">
        <f>'Non-Rebalanced Portfolio'!C11</f>
        <v>26.687000000000001</v>
      </c>
      <c r="D11" s="17"/>
      <c r="E11" s="17"/>
      <c r="F11" s="17">
        <f>'Non-Rebalanced Portfolio'!F11</f>
        <v>0</v>
      </c>
      <c r="G11" s="18">
        <f>'Non-Rebalanced Portfolio'!G11</f>
        <v>-0.77500000000000002</v>
      </c>
      <c r="H11" s="17">
        <f>'Non-Rebalanced Portfolio'!H11</f>
        <v>9.44</v>
      </c>
      <c r="N11" s="45">
        <v>1996</v>
      </c>
      <c r="O11" s="46">
        <v>3.4000000000000002E-2</v>
      </c>
      <c r="P11" s="44"/>
    </row>
    <row r="12" spans="1:16" x14ac:dyDescent="0.2">
      <c r="A12" s="17">
        <f>'Non-Rebalanced Portfolio'!A12</f>
        <v>1998</v>
      </c>
      <c r="B12" s="17">
        <f>'Non-Rebalanced Portfolio'!B12</f>
        <v>28.66</v>
      </c>
      <c r="C12" s="17">
        <f>'Non-Rebalanced Portfolio'!C12</f>
        <v>8.3529999999999998</v>
      </c>
      <c r="D12" s="18"/>
      <c r="E12" s="18"/>
      <c r="F12" s="17">
        <f>'Non-Rebalanced Portfolio'!F12</f>
        <v>0</v>
      </c>
      <c r="G12" s="18">
        <f>'Non-Rebalanced Portfolio'!G12</f>
        <v>15.603</v>
      </c>
      <c r="H12" s="17">
        <f>'Non-Rebalanced Portfolio'!H12</f>
        <v>8.58</v>
      </c>
      <c r="N12" s="45">
        <v>1997</v>
      </c>
      <c r="O12" s="46">
        <v>1.7000000000000001E-2</v>
      </c>
      <c r="P12" s="44"/>
    </row>
    <row r="13" spans="1:16" x14ac:dyDescent="0.2">
      <c r="A13" s="17">
        <f>'Non-Rebalanced Portfolio'!A13</f>
        <v>1999</v>
      </c>
      <c r="B13" s="17">
        <f>'Non-Rebalanced Portfolio'!B13</f>
        <v>21.07</v>
      </c>
      <c r="C13" s="17">
        <f>'Non-Rebalanced Portfolio'!C13</f>
        <v>0</v>
      </c>
      <c r="D13" s="18">
        <f>'Non-Rebalanced Portfolio'!D13</f>
        <v>15.319000000000001</v>
      </c>
      <c r="E13" s="18">
        <f>'Non-Rebalanced Portfolio'!E13</f>
        <v>23.132999999999999</v>
      </c>
      <c r="F13" s="17"/>
      <c r="G13" s="18">
        <f>'Non-Rebalanced Portfolio'!G13</f>
        <v>29.919</v>
      </c>
      <c r="H13" s="17">
        <f>'Non-Rebalanced Portfolio'!H13</f>
        <v>-0.76</v>
      </c>
      <c r="N13" s="45">
        <v>1998</v>
      </c>
      <c r="O13" s="46">
        <v>1.6E-2</v>
      </c>
      <c r="P13" s="44"/>
    </row>
    <row r="14" spans="1:16" x14ac:dyDescent="0.2">
      <c r="A14" s="17">
        <f>'Non-Rebalanced Portfolio'!A14</f>
        <v>2000</v>
      </c>
      <c r="B14" s="17">
        <f>'Non-Rebalanced Portfolio'!B14</f>
        <v>-9.06</v>
      </c>
      <c r="C14" s="17">
        <f>'Non-Rebalanced Portfolio'!C14</f>
        <v>0</v>
      </c>
      <c r="D14" s="18">
        <f>'Non-Rebalanced Portfolio'!D14</f>
        <v>18.097999999999999</v>
      </c>
      <c r="E14" s="18">
        <f>'Non-Rebalanced Portfolio'!E14</f>
        <v>-2.665</v>
      </c>
      <c r="F14" s="17"/>
      <c r="G14" s="17">
        <f>'Non-Rebalanced Portfolio'!G14</f>
        <v>-15.614000000000001</v>
      </c>
      <c r="H14" s="17">
        <f>'Non-Rebalanced Portfolio'!H14</f>
        <v>11.39</v>
      </c>
      <c r="N14" s="45">
        <v>1999</v>
      </c>
      <c r="O14" s="46">
        <v>2.7E-2</v>
      </c>
      <c r="P14" s="44"/>
    </row>
    <row r="15" spans="1:16" x14ac:dyDescent="0.2">
      <c r="A15" s="17">
        <f>'Non-Rebalanced Portfolio'!A15</f>
        <v>2001</v>
      </c>
      <c r="B15" s="17">
        <f>'Non-Rebalanced Portfolio'!B15</f>
        <v>-12.02</v>
      </c>
      <c r="C15" s="17"/>
      <c r="D15" s="18">
        <f>'Non-Rebalanced Portfolio'!D15</f>
        <v>-0.499</v>
      </c>
      <c r="E15" s="18">
        <f>'Non-Rebalanced Portfolio'!E15</f>
        <v>3.1</v>
      </c>
      <c r="F15" s="17"/>
      <c r="G15" s="17">
        <f>'Non-Rebalanced Portfolio'!G15</f>
        <v>-20.152999999999999</v>
      </c>
      <c r="H15" s="17">
        <f>'Non-Rebalanced Portfolio'!H15</f>
        <v>8.43</v>
      </c>
      <c r="N15" s="45">
        <v>2000</v>
      </c>
      <c r="O15" s="46">
        <v>3.4000000000000002E-2</v>
      </c>
      <c r="P15" s="44"/>
    </row>
    <row r="16" spans="1:16" x14ac:dyDescent="0.2">
      <c r="A16" s="17">
        <f>'Non-Rebalanced Portfolio'!A16</f>
        <v>2002</v>
      </c>
      <c r="B16" s="17">
        <f>'Non-Rebalanced Portfolio'!B16</f>
        <v>-22.15</v>
      </c>
      <c r="C16" s="17"/>
      <c r="D16" s="17">
        <f>'Non-Rebalanced Portfolio'!D16</f>
        <v>-14.608000000000001</v>
      </c>
      <c r="E16" s="17">
        <f>'Non-Rebalanced Portfolio'!E16</f>
        <v>-20.021999999999998</v>
      </c>
      <c r="F16" s="17"/>
      <c r="G16" s="17">
        <f>'Non-Rebalanced Portfolio'!G16</f>
        <v>-15.083</v>
      </c>
      <c r="H16" s="17">
        <f>'Non-Rebalanced Portfolio'!H16</f>
        <v>8.26</v>
      </c>
      <c r="N16" s="45">
        <v>2001</v>
      </c>
      <c r="O16" s="46">
        <v>1.6E-2</v>
      </c>
      <c r="P16" s="44"/>
    </row>
    <row r="17" spans="1:16" x14ac:dyDescent="0.2">
      <c r="A17" s="17">
        <f>'Non-Rebalanced Portfolio'!A17</f>
        <v>2003</v>
      </c>
      <c r="B17" s="17">
        <f>'Non-Rebalanced Portfolio'!B17</f>
        <v>28.5</v>
      </c>
      <c r="C17" s="17"/>
      <c r="D17" s="17">
        <f>'Non-Rebalanced Portfolio'!D17</f>
        <v>34.142000000000003</v>
      </c>
      <c r="E17" s="17">
        <f>'Non-Rebalanced Portfolio'!E17</f>
        <v>45.628</v>
      </c>
      <c r="F17" s="17"/>
      <c r="G17" s="17">
        <f>'Non-Rebalanced Portfolio'!G17</f>
        <v>40.340000000000003</v>
      </c>
      <c r="H17" s="17">
        <f>'Non-Rebalanced Portfolio'!H17</f>
        <v>3.97</v>
      </c>
      <c r="N17" s="45">
        <v>2002</v>
      </c>
      <c r="O17" s="46">
        <v>2.5000000000000001E-2</v>
      </c>
      <c r="P17" s="44"/>
    </row>
    <row r="18" spans="1:16" x14ac:dyDescent="0.2">
      <c r="A18" s="17">
        <f>'Non-Rebalanced Portfolio'!A18</f>
        <v>2004</v>
      </c>
      <c r="B18" s="17">
        <f>'Non-Rebalanced Portfolio'!B18</f>
        <v>10.74</v>
      </c>
      <c r="C18" s="17"/>
      <c r="D18" s="17">
        <f>'Non-Rebalanced Portfolio'!D18</f>
        <v>20.353000000000002</v>
      </c>
      <c r="E18" s="17">
        <f>'Non-Rebalanced Portfolio'!E18</f>
        <v>19.896999999999998</v>
      </c>
      <c r="F18" s="17"/>
      <c r="G18" s="17">
        <f>'Non-Rebalanced Portfolio'!G18</f>
        <v>20.837</v>
      </c>
      <c r="H18" s="17">
        <f>'Non-Rebalanced Portfolio'!H18</f>
        <v>4.24</v>
      </c>
      <c r="N18" s="45">
        <v>2003</v>
      </c>
      <c r="O18" s="46">
        <v>0.02</v>
      </c>
      <c r="P18" s="44"/>
    </row>
    <row r="19" spans="1:16" x14ac:dyDescent="0.2">
      <c r="A19" s="17">
        <f>'Non-Rebalanced Portfolio'!A19</f>
        <v>2005</v>
      </c>
      <c r="B19" s="17">
        <f>'Non-Rebalanced Portfolio'!B19</f>
        <v>4.7699999999999996</v>
      </c>
      <c r="C19" s="17"/>
      <c r="D19" s="17">
        <f>'Non-Rebalanced Portfolio'!D19</f>
        <v>13.930999999999999</v>
      </c>
      <c r="E19" s="17">
        <f>'Non-Rebalanced Portfolio'!E19</f>
        <v>7.3630000000000004</v>
      </c>
      <c r="F19" s="17"/>
      <c r="G19" s="17">
        <f>'Non-Rebalanced Portfolio'!G19</f>
        <v>15.571</v>
      </c>
      <c r="H19" s="17">
        <f>'Non-Rebalanced Portfolio'!H19</f>
        <v>2.4</v>
      </c>
      <c r="N19" s="45">
        <v>2004</v>
      </c>
      <c r="O19" s="46">
        <v>3.3000000000000002E-2</v>
      </c>
      <c r="P19" s="44"/>
    </row>
    <row r="20" spans="1:16" x14ac:dyDescent="0.2">
      <c r="A20" s="17">
        <f>'Non-Rebalanced Portfolio'!A20</f>
        <v>2006</v>
      </c>
      <c r="B20" s="17">
        <f>'Non-Rebalanced Portfolio'!B20</f>
        <v>15.64</v>
      </c>
      <c r="C20" s="17"/>
      <c r="D20" s="17">
        <f>'Non-Rebalanced Portfolio'!D20</f>
        <v>13.597</v>
      </c>
      <c r="E20" s="17">
        <f>'Non-Rebalanced Portfolio'!E20</f>
        <v>15.656000000000001</v>
      </c>
      <c r="F20" s="17"/>
      <c r="G20" s="17">
        <f>'Non-Rebalanced Portfolio'!G20</f>
        <v>26.637</v>
      </c>
      <c r="H20" s="17">
        <f>'Non-Rebalanced Portfolio'!H20</f>
        <v>4.2699999999999996</v>
      </c>
      <c r="N20" s="45">
        <v>2005</v>
      </c>
      <c r="O20" s="46">
        <v>3.3000000000000002E-2</v>
      </c>
      <c r="P20" s="44"/>
    </row>
    <row r="21" spans="1:16" x14ac:dyDescent="0.2">
      <c r="A21" s="17">
        <f>'Non-Rebalanced Portfolio'!A21</f>
        <v>2007</v>
      </c>
      <c r="B21" s="17">
        <f>'Non-Rebalanced Portfolio'!B21</f>
        <v>5.39</v>
      </c>
      <c r="C21" s="17"/>
      <c r="D21" s="17">
        <f>'Non-Rebalanced Portfolio'!D21</f>
        <v>6.0209999999999999</v>
      </c>
      <c r="E21" s="17">
        <f>'Non-Rebalanced Portfolio'!E21</f>
        <v>1.1559999999999999</v>
      </c>
      <c r="F21" s="17"/>
      <c r="G21" s="17">
        <f>'Non-Rebalanced Portfolio'!G21</f>
        <v>15.522</v>
      </c>
      <c r="H21" s="17">
        <f>'Non-Rebalanced Portfolio'!H21</f>
        <v>6.92</v>
      </c>
      <c r="N21" s="45">
        <v>2006</v>
      </c>
      <c r="O21" s="46">
        <v>2.5000000000000001E-2</v>
      </c>
      <c r="P21" s="44"/>
    </row>
    <row r="22" spans="1:16" x14ac:dyDescent="0.2">
      <c r="A22" s="17">
        <f>'Non-Rebalanced Portfolio'!A22</f>
        <v>2008</v>
      </c>
      <c r="B22" s="17">
        <f>'Non-Rebalanced Portfolio'!B22</f>
        <v>-37.020000000000003</v>
      </c>
      <c r="C22" s="17"/>
      <c r="D22" s="17">
        <f>'Non-Rebalanced Portfolio'!D22</f>
        <v>-41.823999999999998</v>
      </c>
      <c r="E22" s="17">
        <f>'Non-Rebalanced Portfolio'!E22</f>
        <v>-36.07</v>
      </c>
      <c r="F22" s="17"/>
      <c r="G22" s="17">
        <f>'Non-Rebalanced Portfolio'!G22</f>
        <v>-44.100999999999999</v>
      </c>
      <c r="H22" s="17">
        <f>'Non-Rebalanced Portfolio'!H22</f>
        <v>5.05</v>
      </c>
      <c r="N22" s="45">
        <v>2007</v>
      </c>
      <c r="O22" s="46">
        <v>4.1000000000000002E-2</v>
      </c>
      <c r="P22" s="44"/>
    </row>
    <row r="23" spans="1:16" x14ac:dyDescent="0.2">
      <c r="A23" s="17">
        <f>'Non-Rebalanced Portfolio'!A23</f>
        <v>2009</v>
      </c>
      <c r="B23" s="17">
        <f>'Non-Rebalanced Portfolio'!B23</f>
        <v>26.49</v>
      </c>
      <c r="C23" s="17"/>
      <c r="D23" s="17">
        <f>'Non-Rebalanced Portfolio'!D23</f>
        <v>40.218000000000004</v>
      </c>
      <c r="E23" s="17">
        <f>'Non-Rebalanced Portfolio'!E23</f>
        <v>36.118000000000002</v>
      </c>
      <c r="F23" s="17"/>
      <c r="G23" s="17">
        <f>'Non-Rebalanced Portfolio'!G23</f>
        <v>36.726999999999997</v>
      </c>
      <c r="H23" s="17">
        <f>'Non-Rebalanced Portfolio'!H23</f>
        <v>5.93</v>
      </c>
      <c r="N23" s="45">
        <v>2008</v>
      </c>
      <c r="O23" s="46">
        <v>0</v>
      </c>
      <c r="P23" s="44"/>
    </row>
    <row r="24" spans="1:16" x14ac:dyDescent="0.2">
      <c r="A24" s="17">
        <f>'Non-Rebalanced Portfolio'!A24</f>
        <v>2010</v>
      </c>
      <c r="B24" s="17">
        <f>'Non-Rebalanced Portfolio'!B24</f>
        <v>14.91</v>
      </c>
      <c r="C24" s="17"/>
      <c r="D24" s="17">
        <f>'Non-Rebalanced Portfolio'!D24</f>
        <v>25.46</v>
      </c>
      <c r="E24" s="17">
        <f>'Non-Rebalanced Portfolio'!E24</f>
        <v>27.72</v>
      </c>
      <c r="F24" s="17"/>
      <c r="G24" s="17">
        <f>'Non-Rebalanced Portfolio'!G24</f>
        <v>11.12</v>
      </c>
      <c r="H24" s="17">
        <f>'Non-Rebalanced Portfolio'!H24</f>
        <v>6.42</v>
      </c>
      <c r="N24" s="45">
        <v>2009</v>
      </c>
      <c r="O24" s="46">
        <v>2.8000000000000001E-2</v>
      </c>
      <c r="P24" s="44"/>
    </row>
    <row r="25" spans="1:16" x14ac:dyDescent="0.2">
      <c r="A25" s="17">
        <f>'Non-Rebalanced Portfolio'!A25</f>
        <v>2011</v>
      </c>
      <c r="B25" s="17">
        <f>'Non-Rebalanced Portfolio'!B25</f>
        <v>1.97</v>
      </c>
      <c r="C25" s="17"/>
      <c r="D25" s="17">
        <f>'Non-Rebalanced Portfolio'!D25</f>
        <v>-2.11</v>
      </c>
      <c r="E25" s="17">
        <f>'Non-Rebalanced Portfolio'!E25</f>
        <v>-2.8</v>
      </c>
      <c r="F25" s="17"/>
      <c r="G25" s="17">
        <f>'Non-Rebalanced Portfolio'!G25</f>
        <v>-14.56</v>
      </c>
      <c r="H25" s="17">
        <f>'Non-Rebalanced Portfolio'!H25</f>
        <v>7.56</v>
      </c>
      <c r="N25" s="45">
        <v>2010</v>
      </c>
      <c r="O25" s="46">
        <v>1.4E-2</v>
      </c>
      <c r="P25" s="44"/>
    </row>
    <row r="26" spans="1:16" x14ac:dyDescent="0.2">
      <c r="A26" s="17">
        <f>'Non-Rebalanced Portfolio'!A26</f>
        <v>2012</v>
      </c>
      <c r="B26" s="17">
        <f>'Non-Rebalanced Portfolio'!B26</f>
        <v>15.82</v>
      </c>
      <c r="C26" s="17"/>
      <c r="D26" s="17">
        <f>'Non-Rebalanced Portfolio'!D26</f>
        <v>15.8</v>
      </c>
      <c r="E26" s="17">
        <f>'Non-Rebalanced Portfolio'!E26</f>
        <v>18.04</v>
      </c>
      <c r="F26" s="17"/>
      <c r="G26" s="17">
        <f>'Non-Rebalanced Portfolio'!G26</f>
        <v>18.14</v>
      </c>
      <c r="H26" s="17">
        <f>'Non-Rebalanced Portfolio'!H26</f>
        <v>4.05</v>
      </c>
      <c r="N26" s="45">
        <v>2011</v>
      </c>
      <c r="O26" s="46">
        <v>0.03</v>
      </c>
      <c r="P26" s="44"/>
    </row>
    <row r="27" spans="1:16" x14ac:dyDescent="0.2">
      <c r="A27" s="17">
        <f>'Non-Rebalanced Portfolio'!A27</f>
        <v>2013</v>
      </c>
      <c r="B27" s="17">
        <f>'Non-Rebalanced Portfolio'!B27</f>
        <v>32.18</v>
      </c>
      <c r="C27" s="17"/>
      <c r="D27" s="17">
        <f>'Non-Rebalanced Portfolio'!D27</f>
        <v>35</v>
      </c>
      <c r="E27" s="17">
        <f>'Non-Rebalanced Portfolio'!E27</f>
        <v>37.619999999999997</v>
      </c>
      <c r="F27" s="17"/>
      <c r="G27" s="17">
        <f>'Non-Rebalanced Portfolio'!G27</f>
        <v>15.04</v>
      </c>
      <c r="H27" s="17">
        <f>'Non-Rebalanced Portfolio'!H27</f>
        <v>-2.2599999999999998</v>
      </c>
      <c r="N27" s="45">
        <v>2012</v>
      </c>
      <c r="O27" s="46">
        <v>1.7999999999999999E-2</v>
      </c>
    </row>
    <row r="28" spans="1:16" x14ac:dyDescent="0.2">
      <c r="A28" s="17">
        <f>'Non-Rebalanced Portfolio'!A28</f>
        <v>2014</v>
      </c>
      <c r="B28" s="17">
        <f>'Non-Rebalanced Portfolio'!B28</f>
        <v>13.51</v>
      </c>
      <c r="C28" s="19"/>
      <c r="D28" s="17">
        <f>'Non-Rebalanced Portfolio'!D28</f>
        <v>13.6</v>
      </c>
      <c r="E28" s="17">
        <f>'Non-Rebalanced Portfolio'!E28</f>
        <v>7.37</v>
      </c>
      <c r="F28" s="19"/>
      <c r="G28" s="17">
        <f>'Non-Rebalanced Portfolio'!G28</f>
        <v>-4.24</v>
      </c>
      <c r="H28" s="17">
        <f>'Non-Rebalanced Portfolio'!H28</f>
        <v>5.76</v>
      </c>
      <c r="N28" s="45">
        <v>2013</v>
      </c>
      <c r="O28" s="46">
        <v>1.15559170535223E-2</v>
      </c>
    </row>
    <row r="29" spans="1:16" x14ac:dyDescent="0.2">
      <c r="A29" s="17">
        <f>'Non-Rebalanced Portfolio'!A29</f>
        <v>2015</v>
      </c>
      <c r="B29" s="17">
        <f>'Non-Rebalanced Portfolio'!B29</f>
        <v>1.25</v>
      </c>
      <c r="C29" s="19"/>
      <c r="D29" s="17">
        <f>'Non-Rebalanced Portfolio'!D29</f>
        <v>-1.46</v>
      </c>
      <c r="E29" s="17">
        <f>'Non-Rebalanced Portfolio'!E29</f>
        <v>-3.78</v>
      </c>
      <c r="F29" s="19"/>
      <c r="G29" s="17">
        <f>'Non-Rebalanced Portfolio'!G29</f>
        <v>-4.37</v>
      </c>
      <c r="H29" s="17">
        <f>'Non-Rebalanced Portfolio'!H29</f>
        <v>0.3</v>
      </c>
      <c r="N29" s="45">
        <v>2014</v>
      </c>
      <c r="O29" s="46">
        <v>1.29E-2</v>
      </c>
    </row>
    <row r="30" spans="1:16" x14ac:dyDescent="0.2">
      <c r="A30" s="17">
        <f>'Non-Rebalanced Portfolio'!A30</f>
        <v>2016</v>
      </c>
      <c r="B30" s="17">
        <f>'Non-Rebalanced Portfolio'!B30</f>
        <v>11.82</v>
      </c>
      <c r="C30" s="19"/>
      <c r="D30" s="17">
        <f>'Non-Rebalanced Portfolio'!D30</f>
        <v>11.07</v>
      </c>
      <c r="E30" s="17">
        <f>'Non-Rebalanced Portfolio'!E30</f>
        <v>18.170000000000002</v>
      </c>
      <c r="F30" s="19"/>
      <c r="G30" s="17">
        <f>'Non-Rebalanced Portfolio'!G30</f>
        <v>4.6500000000000004</v>
      </c>
      <c r="H30" s="17">
        <f>'Non-Rebalanced Portfolio'!H30</f>
        <v>2.5</v>
      </c>
      <c r="N30" s="45">
        <v>2015</v>
      </c>
      <c r="O30" s="46">
        <v>4.4000000000000003E-3</v>
      </c>
    </row>
    <row r="31" spans="1:16" x14ac:dyDescent="0.2">
      <c r="A31" s="17">
        <f>'Non-Rebalanced Portfolio'!A31</f>
        <v>2017</v>
      </c>
      <c r="B31" s="17">
        <f>'Non-Rebalanced Portfolio'!B31</f>
        <v>21.67</v>
      </c>
      <c r="C31" s="19"/>
      <c r="D31" s="17">
        <f>'Non-Rebalanced Portfolio'!D31</f>
        <v>19.600000000000001</v>
      </c>
      <c r="E31" s="17">
        <f>'Non-Rebalanced Portfolio'!E31</f>
        <v>16.100000000000001</v>
      </c>
      <c r="F31" s="19"/>
      <c r="G31" s="17">
        <f>'Non-Rebalanced Portfolio'!G31</f>
        <v>27.4</v>
      </c>
      <c r="H31" s="17">
        <f>'Non-Rebalanced Portfolio'!H31</f>
        <v>3.46</v>
      </c>
      <c r="N31" s="45">
        <v>2016</v>
      </c>
      <c r="O31" s="46">
        <v>1.7000000000000001E-2</v>
      </c>
    </row>
    <row r="32" spans="1:16" hidden="1" x14ac:dyDescent="0.2">
      <c r="A32" s="17">
        <f>'Non-Rebalanced Portfolio'!A32</f>
        <v>2017</v>
      </c>
      <c r="B32" s="17">
        <f>'Non-Rebalanced Portfolio'!B32</f>
        <v>21.67</v>
      </c>
      <c r="C32" s="19"/>
      <c r="D32" s="17">
        <f>'Non-Rebalanced Portfolio'!D32</f>
        <v>19.600000000000001</v>
      </c>
      <c r="E32" s="17">
        <f>'Non-Rebalanced Portfolio'!E32</f>
        <v>16.100000000000001</v>
      </c>
      <c r="F32" s="19"/>
      <c r="G32" s="17">
        <f>'Non-Rebalanced Portfolio'!G32</f>
        <v>27.4</v>
      </c>
      <c r="H32" s="17">
        <f>'Non-Rebalanced Portfolio'!H32</f>
        <v>3.46</v>
      </c>
      <c r="N32" s="45">
        <v>2017</v>
      </c>
      <c r="O32" s="46">
        <v>2.23E-2</v>
      </c>
    </row>
    <row r="33" spans="1:42" hidden="1" x14ac:dyDescent="0.2">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5">
        <v>2017</v>
      </c>
      <c r="O33" s="46">
        <v>2.23E-2</v>
      </c>
    </row>
    <row r="36" spans="1:42" x14ac:dyDescent="0.2">
      <c r="A36" s="20" t="s">
        <v>123</v>
      </c>
      <c r="N36" s="20" t="s">
        <v>25</v>
      </c>
      <c r="R36" s="20" t="s">
        <v>124</v>
      </c>
      <c r="AF36" s="20" t="s">
        <v>138</v>
      </c>
    </row>
    <row r="37" spans="1:42" x14ac:dyDescent="0.2">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76</v>
      </c>
      <c r="K37" s="5" t="s">
        <v>73</v>
      </c>
      <c r="L37" s="5" t="s">
        <v>74</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76</v>
      </c>
      <c r="AB37" s="5" t="s">
        <v>73</v>
      </c>
      <c r="AC37" s="5" t="s">
        <v>74</v>
      </c>
      <c r="AD37" s="5" t="s">
        <v>88</v>
      </c>
      <c r="AG37" s="4" t="str">
        <f t="shared" ref="AG37:AM38" si="2">B37</f>
        <v>LC Stocks</v>
      </c>
      <c r="AH37" s="4" t="str">
        <f t="shared" si="2"/>
        <v>Ext Mkt</v>
      </c>
      <c r="AI37" s="4" t="str">
        <f t="shared" si="2"/>
        <v>Mcap Stk</v>
      </c>
      <c r="AJ37" s="4" t="str">
        <f t="shared" si="2"/>
        <v>Small Cap</v>
      </c>
      <c r="AK37" s="4" t="str">
        <f t="shared" si="2"/>
        <v>Intl Val</v>
      </c>
      <c r="AL37" s="4" t="str">
        <f t="shared" si="2"/>
        <v>Tot Int Stk</v>
      </c>
      <c r="AM37" s="4" t="str">
        <f t="shared" si="2"/>
        <v>Bonds</v>
      </c>
      <c r="AN37" s="5"/>
      <c r="AO37" s="5" t="s">
        <v>111</v>
      </c>
      <c r="AP37" s="5" t="s">
        <v>112</v>
      </c>
    </row>
    <row r="38" spans="1:42" x14ac:dyDescent="0.2">
      <c r="A38" t="s">
        <v>72</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70</v>
      </c>
      <c r="J38" s="5" t="s">
        <v>77</v>
      </c>
      <c r="K38" s="5" t="s">
        <v>75</v>
      </c>
      <c r="L38" s="5" t="s">
        <v>75</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77</v>
      </c>
      <c r="AB38" s="5" t="s">
        <v>75</v>
      </c>
      <c r="AC38" s="5" t="s">
        <v>75</v>
      </c>
      <c r="AD38" s="5" t="s">
        <v>87</v>
      </c>
      <c r="AF38" t="s">
        <v>72</v>
      </c>
      <c r="AG38" s="4" t="str">
        <f t="shared" si="2"/>
        <v>VFINX</v>
      </c>
      <c r="AH38" s="4" t="str">
        <f t="shared" si="2"/>
        <v>VEXMX</v>
      </c>
      <c r="AI38" s="4" t="str">
        <f t="shared" si="2"/>
        <v>VIMSX</v>
      </c>
      <c r="AJ38" s="4" t="str">
        <f t="shared" si="2"/>
        <v>NAESX</v>
      </c>
      <c r="AK38" s="4" t="str">
        <f t="shared" si="2"/>
        <v>VTRIX</v>
      </c>
      <c r="AL38" s="4" t="str">
        <f t="shared" si="2"/>
        <v>VGTSX</v>
      </c>
      <c r="AM38" s="4" t="str">
        <f t="shared" si="2"/>
        <v>VBMFX</v>
      </c>
      <c r="AN38" s="5" t="s">
        <v>70</v>
      </c>
      <c r="AO38" s="5" t="s">
        <v>112</v>
      </c>
      <c r="AP38" s="5" t="s">
        <v>87</v>
      </c>
    </row>
    <row r="39" spans="1:42" x14ac:dyDescent="0.2">
      <c r="A39" t="s">
        <v>71</v>
      </c>
      <c r="B39" s="2">
        <v>20000</v>
      </c>
      <c r="C39" s="2">
        <v>30000</v>
      </c>
      <c r="F39" s="2">
        <v>20000</v>
      </c>
      <c r="H39" s="2">
        <v>30000</v>
      </c>
      <c r="I39" s="2">
        <f>SUM(B39:H39)</f>
        <v>100000</v>
      </c>
      <c r="N39" s="21"/>
      <c r="R39" t="str">
        <f>A39</f>
        <v>Stating Balance</v>
      </c>
      <c r="S39" s="2">
        <f>B39</f>
        <v>20000</v>
      </c>
      <c r="T39" s="2">
        <f t="shared" si="1"/>
        <v>30000</v>
      </c>
      <c r="U39" s="2">
        <f t="shared" si="1"/>
        <v>0</v>
      </c>
      <c r="V39" s="2">
        <f t="shared" si="1"/>
        <v>0</v>
      </c>
      <c r="W39" s="2">
        <f t="shared" si="1"/>
        <v>20000</v>
      </c>
      <c r="X39" s="2">
        <f t="shared" si="1"/>
        <v>0</v>
      </c>
      <c r="Y39" s="2">
        <f t="shared" si="1"/>
        <v>30000</v>
      </c>
      <c r="Z39" s="2">
        <f t="shared" si="1"/>
        <v>100000</v>
      </c>
      <c r="AD39" s="2"/>
      <c r="AF39" s="21" t="s">
        <v>86</v>
      </c>
      <c r="AG39" s="6">
        <f t="shared" ref="AG39:AH54" si="3">S39/$Z39</f>
        <v>0.2</v>
      </c>
      <c r="AH39" s="6">
        <f t="shared" si="3"/>
        <v>0.3</v>
      </c>
      <c r="AI39" s="23">
        <v>0.2</v>
      </c>
      <c r="AJ39" s="23">
        <v>0.1</v>
      </c>
      <c r="AK39" s="6">
        <f t="shared" ref="AK39:AK48" si="4">W39/$Z39</f>
        <v>0.2</v>
      </c>
      <c r="AL39" s="23">
        <v>0.2</v>
      </c>
      <c r="AM39" s="6">
        <f>Y39/$Z39</f>
        <v>0.3</v>
      </c>
      <c r="AN39" s="6">
        <f>Z39/$Z39</f>
        <v>1</v>
      </c>
      <c r="AO39" s="24"/>
    </row>
    <row r="40" spans="1:42" x14ac:dyDescent="0.2">
      <c r="A40">
        <f t="shared" ref="A40:A64" si="5">A4</f>
        <v>1990</v>
      </c>
      <c r="B40" s="2">
        <f>B39*(1+(B4/100))</f>
        <v>19336</v>
      </c>
      <c r="C40" s="2">
        <f>C39*(1+(C4/100))</f>
        <v>25786.5</v>
      </c>
      <c r="D40" s="2"/>
      <c r="E40" s="2"/>
      <c r="F40" s="2">
        <f>F39*(1+(F4/100))</f>
        <v>17548</v>
      </c>
      <c r="G40" s="2"/>
      <c r="H40" s="2">
        <f>H39*(1+(H4/100))</f>
        <v>32595</v>
      </c>
      <c r="I40" s="2">
        <f>SUM(B40:H40)</f>
        <v>95265.5</v>
      </c>
      <c r="J40" s="2">
        <f>I40-I39</f>
        <v>-4734.5</v>
      </c>
      <c r="K40" s="6">
        <f>(J40/I39)</f>
        <v>-4.7344999999999998E-2</v>
      </c>
      <c r="L40" s="7">
        <f>K40+1</f>
        <v>0.95265500000000003</v>
      </c>
      <c r="N40">
        <f>A40</f>
        <v>1990</v>
      </c>
      <c r="O40" s="2">
        <f>I40*0.045</f>
        <v>4286.9475000000002</v>
      </c>
      <c r="P40" s="2"/>
      <c r="Q40" s="2"/>
      <c r="R40">
        <f>A40</f>
        <v>1990</v>
      </c>
      <c r="S40" s="2">
        <f>B40-($O40/4)</f>
        <v>18264.263125000001</v>
      </c>
      <c r="T40" s="2">
        <f>C40-($O40/4)</f>
        <v>24714.763125000001</v>
      </c>
      <c r="U40" s="2"/>
      <c r="V40" s="2"/>
      <c r="W40" s="2">
        <f t="shared" ref="W40:X48" si="6">F40-($O40/4)</f>
        <v>16476.263125000001</v>
      </c>
      <c r="X40" s="2"/>
      <c r="Y40" s="2">
        <f>H40-($O40/4)</f>
        <v>31523.263125000001</v>
      </c>
      <c r="Z40" s="2">
        <f>SUM(S40:Y40)</f>
        <v>90978.552500000005</v>
      </c>
      <c r="AA40" s="2">
        <f>Z40-Z39</f>
        <v>-9021.4474999999948</v>
      </c>
      <c r="AB40" s="6">
        <f>(AA40/Z39)</f>
        <v>-9.0214474999999947E-2</v>
      </c>
      <c r="AC40" s="7">
        <f>AB40+1</f>
        <v>0.90978552500000009</v>
      </c>
      <c r="AD40" s="2">
        <f>Z40-(I40-O40)</f>
        <v>0</v>
      </c>
      <c r="AF40">
        <f t="shared" ref="AF40:AF64" si="7">A40</f>
        <v>1990</v>
      </c>
      <c r="AG40" s="6">
        <f t="shared" si="3"/>
        <v>0.2007535031402044</v>
      </c>
      <c r="AH40" s="6">
        <f t="shared" si="3"/>
        <v>0.27165482903237004</v>
      </c>
      <c r="AI40" s="7"/>
      <c r="AJ40" s="7"/>
      <c r="AK40" s="6">
        <f t="shared" si="4"/>
        <v>0.18110051954277906</v>
      </c>
      <c r="AL40" s="7"/>
      <c r="AM40" s="6">
        <f t="shared" ref="AM40:AM64" si="8">Y40/$Z40</f>
        <v>0.34649114828464656</v>
      </c>
      <c r="AN40" s="6">
        <f>SUM(AG40:AM40)</f>
        <v>1</v>
      </c>
      <c r="AO40" s="7">
        <f>SUM(AG40:AL40)</f>
        <v>0.65350885171535356</v>
      </c>
      <c r="AP40" s="7">
        <f>AN40-(AO40+AM40)</f>
        <v>0</v>
      </c>
    </row>
    <row r="41" spans="1:42" x14ac:dyDescent="0.2">
      <c r="A41">
        <f t="shared" si="5"/>
        <v>1991</v>
      </c>
      <c r="B41" s="2">
        <f t="shared" ref="B41:B50" si="9">S40*(1+(B5/100))</f>
        <v>23783.723441375001</v>
      </c>
      <c r="C41" s="2">
        <f t="shared" ref="C41:C48" si="10">T40*(1+(C5/100))</f>
        <v>35057.891492812501</v>
      </c>
      <c r="D41" s="2"/>
      <c r="E41" s="2"/>
      <c r="F41" s="2">
        <f t="shared" ref="F41:F46" si="11">W40*(1+(F5/100))</f>
        <v>18116.639881725005</v>
      </c>
      <c r="G41" s="2"/>
      <c r="H41" s="2">
        <f t="shared" ref="H41:H64" si="12">Y40*(1+(H5/100))</f>
        <v>36330.560751562502</v>
      </c>
      <c r="I41" s="2">
        <f t="shared" ref="I41:I64" si="13">SUM(B41:H41)</f>
        <v>113288.815567475</v>
      </c>
      <c r="J41" s="2">
        <f t="shared" ref="J41:J64" si="14">I41-I40</f>
        <v>18023.315567475001</v>
      </c>
      <c r="K41" s="6">
        <f t="shared" ref="K41:K64" si="15">(J41/I40)</f>
        <v>0.18919037392838961</v>
      </c>
      <c r="L41" s="7">
        <f t="shared" ref="L41:L64" si="16">K41+1</f>
        <v>1.1891903739283896</v>
      </c>
      <c r="N41">
        <f t="shared" ref="N41:N64" si="17">A41</f>
        <v>1991</v>
      </c>
      <c r="O41" s="2">
        <f t="shared" ref="O41:O64" si="18">O40*(1+O5)</f>
        <v>4557.0251925000002</v>
      </c>
      <c r="P41" s="2"/>
      <c r="Q41" s="2"/>
      <c r="R41">
        <f t="shared" ref="R41:R64" si="19">A41</f>
        <v>1991</v>
      </c>
      <c r="S41" s="2">
        <f t="shared" ref="S41:T48" si="20">B41-($O41/4)</f>
        <v>22644.46714325</v>
      </c>
      <c r="T41" s="2">
        <f t="shared" si="20"/>
        <v>33918.6351946875</v>
      </c>
      <c r="U41" s="2"/>
      <c r="V41" s="2"/>
      <c r="W41" s="2">
        <f t="shared" si="6"/>
        <v>16977.383583600003</v>
      </c>
      <c r="X41" s="2"/>
      <c r="Y41" s="2">
        <f t="shared" ref="Y41:Y48" si="21">H41-($O41/4)</f>
        <v>35191.3044534375</v>
      </c>
      <c r="Z41" s="2">
        <f t="shared" ref="Z41:Z64" si="22">SUM(S41:Y41)</f>
        <v>108731.79037497501</v>
      </c>
      <c r="AA41" s="2">
        <f t="shared" ref="AA41:AA55" si="23">Z41-Z40</f>
        <v>17753.237874975006</v>
      </c>
      <c r="AB41" s="6">
        <f t="shared" ref="AB41:AB55" si="24">(AA41/Z40)</f>
        <v>0.19513651720250225</v>
      </c>
      <c r="AC41" s="7">
        <f t="shared" ref="AC41:AC64" si="25">AB41+1</f>
        <v>1.1951365172025024</v>
      </c>
      <c r="AD41" s="2">
        <f t="shared" ref="AD41:AD64" si="26">Z41-(I41-O41)</f>
        <v>0</v>
      </c>
      <c r="AF41">
        <f t="shared" si="7"/>
        <v>1991</v>
      </c>
      <c r="AG41" s="6">
        <f t="shared" si="3"/>
        <v>0.20825985726122745</v>
      </c>
      <c r="AH41" s="6">
        <f t="shared" si="3"/>
        <v>0.31194773007705379</v>
      </c>
      <c r="AI41" s="7"/>
      <c r="AJ41" s="7"/>
      <c r="AK41" s="6">
        <f t="shared" si="4"/>
        <v>0.15614001687134368</v>
      </c>
      <c r="AL41" s="7"/>
      <c r="AM41" s="6">
        <f t="shared" si="8"/>
        <v>0.32365239579037502</v>
      </c>
      <c r="AN41" s="6">
        <f t="shared" ref="AN41:AN64" si="27">SUM(AG41:AM41)</f>
        <v>1</v>
      </c>
      <c r="AO41" s="7">
        <f t="shared" ref="AO41:AO64" si="28">SUM(AG41:AL41)</f>
        <v>0.67634760420962492</v>
      </c>
      <c r="AP41" s="7">
        <f t="shared" ref="AP41:AP64" si="29">AN41-(AO41+AM41)</f>
        <v>0</v>
      </c>
    </row>
    <row r="42" spans="1:42" x14ac:dyDescent="0.2">
      <c r="A42">
        <f t="shared" si="5"/>
        <v>1992</v>
      </c>
      <c r="B42" s="2">
        <f t="shared" si="9"/>
        <v>24324.686605279152</v>
      </c>
      <c r="C42" s="2">
        <f t="shared" si="10"/>
        <v>38146.932258057241</v>
      </c>
      <c r="D42" s="2"/>
      <c r="E42" s="2"/>
      <c r="F42" s="2">
        <f t="shared" si="11"/>
        <v>15496.785961274247</v>
      </c>
      <c r="G42" s="2"/>
      <c r="H42" s="2">
        <f t="shared" si="12"/>
        <v>37703.963591412932</v>
      </c>
      <c r="I42" s="2">
        <f t="shared" ref="I42:I48" si="30">SUM(B42:H42)</f>
        <v>115672.36841602357</v>
      </c>
      <c r="J42" s="2">
        <f t="shared" si="14"/>
        <v>2383.5528485485702</v>
      </c>
      <c r="K42" s="6">
        <f t="shared" si="15"/>
        <v>2.1039613103986617E-2</v>
      </c>
      <c r="L42" s="7">
        <f t="shared" si="16"/>
        <v>1.0210396131039867</v>
      </c>
      <c r="N42">
        <f t="shared" si="17"/>
        <v>1992</v>
      </c>
      <c r="O42" s="2">
        <f t="shared" si="18"/>
        <v>4693.7359482750007</v>
      </c>
      <c r="P42" s="2"/>
      <c r="Q42" s="2"/>
      <c r="R42">
        <f t="shared" si="19"/>
        <v>1992</v>
      </c>
      <c r="S42" s="2">
        <f t="shared" si="20"/>
        <v>23151.252618210401</v>
      </c>
      <c r="T42" s="2">
        <f t="shared" si="20"/>
        <v>36973.498270988493</v>
      </c>
      <c r="U42" s="2"/>
      <c r="V42" s="2"/>
      <c r="W42" s="2">
        <f t="shared" si="6"/>
        <v>14323.351974205496</v>
      </c>
      <c r="X42" s="2"/>
      <c r="Y42" s="2">
        <f t="shared" si="21"/>
        <v>36530.529604344185</v>
      </c>
      <c r="Z42" s="2">
        <f t="shared" si="22"/>
        <v>110978.63246774857</v>
      </c>
      <c r="AA42" s="2">
        <f t="shared" si="23"/>
        <v>2246.8420927735569</v>
      </c>
      <c r="AB42" s="6">
        <f t="shared" si="24"/>
        <v>2.0664077037865783E-2</v>
      </c>
      <c r="AC42" s="7">
        <f t="shared" si="25"/>
        <v>1.0206640770378659</v>
      </c>
      <c r="AD42" s="2">
        <f t="shared" si="26"/>
        <v>0</v>
      </c>
      <c r="AF42">
        <f t="shared" si="7"/>
        <v>1992</v>
      </c>
      <c r="AG42" s="6">
        <f t="shared" si="3"/>
        <v>0.20861000089308518</v>
      </c>
      <c r="AH42" s="6">
        <f t="shared" si="3"/>
        <v>0.33315871216680687</v>
      </c>
      <c r="AI42" s="7"/>
      <c r="AJ42" s="7"/>
      <c r="AK42" s="6">
        <f t="shared" si="4"/>
        <v>0.12906405184230393</v>
      </c>
      <c r="AL42" s="7"/>
      <c r="AM42" s="6">
        <f t="shared" si="8"/>
        <v>0.32916723509780405</v>
      </c>
      <c r="AN42" s="6">
        <f t="shared" si="27"/>
        <v>1</v>
      </c>
      <c r="AO42" s="7">
        <f t="shared" si="28"/>
        <v>0.67083276490219601</v>
      </c>
      <c r="AP42" s="7">
        <f t="shared" si="29"/>
        <v>0</v>
      </c>
    </row>
    <row r="43" spans="1:42" x14ac:dyDescent="0.2">
      <c r="A43">
        <f t="shared" si="5"/>
        <v>1993</v>
      </c>
      <c r="B43" s="2">
        <f t="shared" si="9"/>
        <v>25440.911502151408</v>
      </c>
      <c r="C43" s="2">
        <f t="shared" si="10"/>
        <v>42330.958170454731</v>
      </c>
      <c r="D43" s="2"/>
      <c r="E43" s="2"/>
      <c r="F43" s="2">
        <f t="shared" si="11"/>
        <v>18691.114925219721</v>
      </c>
      <c r="G43" s="2"/>
      <c r="H43" s="2">
        <f t="shared" si="12"/>
        <v>40066.684870044701</v>
      </c>
      <c r="I43" s="2">
        <f t="shared" si="30"/>
        <v>126529.66946787057</v>
      </c>
      <c r="J43" s="2">
        <f t="shared" si="14"/>
        <v>10857.301051846996</v>
      </c>
      <c r="K43" s="6">
        <f t="shared" si="15"/>
        <v>9.386252914609626E-2</v>
      </c>
      <c r="L43" s="7">
        <f t="shared" si="16"/>
        <v>1.0938625291460962</v>
      </c>
      <c r="N43">
        <f t="shared" si="17"/>
        <v>1993</v>
      </c>
      <c r="O43" s="2">
        <f t="shared" si="18"/>
        <v>4834.5480267232506</v>
      </c>
      <c r="P43" s="2"/>
      <c r="Q43" s="2"/>
      <c r="R43">
        <f t="shared" si="19"/>
        <v>1993</v>
      </c>
      <c r="S43" s="2">
        <f t="shared" si="20"/>
        <v>24232.274495470596</v>
      </c>
      <c r="T43" s="2">
        <f t="shared" si="20"/>
        <v>41122.321163773915</v>
      </c>
      <c r="U43" s="2"/>
      <c r="V43" s="2"/>
      <c r="W43" s="2">
        <f t="shared" si="6"/>
        <v>17482.477918538909</v>
      </c>
      <c r="X43" s="2"/>
      <c r="Y43" s="2">
        <f t="shared" si="21"/>
        <v>38858.047863363885</v>
      </c>
      <c r="Z43" s="2">
        <f t="shared" si="22"/>
        <v>121695.1214411473</v>
      </c>
      <c r="AA43" s="2">
        <f t="shared" si="23"/>
        <v>10716.488973398737</v>
      </c>
      <c r="AB43" s="6">
        <f t="shared" si="24"/>
        <v>9.6563534214688121E-2</v>
      </c>
      <c r="AC43" s="7">
        <f t="shared" si="25"/>
        <v>1.0965635342146882</v>
      </c>
      <c r="AD43" s="2">
        <f t="shared" si="26"/>
        <v>0</v>
      </c>
      <c r="AF43">
        <f t="shared" si="7"/>
        <v>1993</v>
      </c>
      <c r="AG43" s="6">
        <f t="shared" si="3"/>
        <v>0.19912280959585968</v>
      </c>
      <c r="AH43" s="6">
        <f t="shared" si="3"/>
        <v>0.33791265152449834</v>
      </c>
      <c r="AI43" s="7"/>
      <c r="AJ43" s="7"/>
      <c r="AK43" s="6">
        <f t="shared" si="4"/>
        <v>0.14365800133568682</v>
      </c>
      <c r="AL43" s="7"/>
      <c r="AM43" s="6">
        <f t="shared" si="8"/>
        <v>0.31930653754395516</v>
      </c>
      <c r="AN43" s="6">
        <f t="shared" si="27"/>
        <v>1</v>
      </c>
      <c r="AO43" s="7">
        <f t="shared" si="28"/>
        <v>0.6806934624560449</v>
      </c>
      <c r="AP43" s="7">
        <f t="shared" si="29"/>
        <v>0</v>
      </c>
    </row>
    <row r="44" spans="1:42" x14ac:dyDescent="0.2">
      <c r="A44">
        <f t="shared" si="5"/>
        <v>1994</v>
      </c>
      <c r="B44" s="2">
        <f t="shared" si="9"/>
        <v>24518.21533451715</v>
      </c>
      <c r="C44" s="2">
        <f t="shared" si="10"/>
        <v>40396.923418444945</v>
      </c>
      <c r="D44" s="2"/>
      <c r="E44" s="2"/>
      <c r="F44" s="2">
        <f t="shared" si="11"/>
        <v>18401.18213315813</v>
      </c>
      <c r="G44" s="2"/>
      <c r="H44" s="2">
        <f t="shared" si="12"/>
        <v>37824.423790198409</v>
      </c>
      <c r="I44" s="2">
        <f t="shared" si="30"/>
        <v>121140.74467631863</v>
      </c>
      <c r="J44" s="2">
        <f t="shared" si="14"/>
        <v>-5388.9247915519372</v>
      </c>
      <c r="K44" s="6">
        <f t="shared" si="15"/>
        <v>-4.2590206820387978E-2</v>
      </c>
      <c r="L44" s="7">
        <f t="shared" si="16"/>
        <v>0.95740979317961206</v>
      </c>
      <c r="N44">
        <f t="shared" si="17"/>
        <v>1994</v>
      </c>
      <c r="O44" s="2">
        <f t="shared" si="18"/>
        <v>4969.9153714715021</v>
      </c>
      <c r="P44" s="2"/>
      <c r="Q44" s="2"/>
      <c r="R44">
        <f t="shared" si="19"/>
        <v>1994</v>
      </c>
      <c r="S44" s="2">
        <f t="shared" si="20"/>
        <v>23275.736491649273</v>
      </c>
      <c r="T44" s="2">
        <f t="shared" si="20"/>
        <v>39154.444575577072</v>
      </c>
      <c r="U44" s="2"/>
      <c r="V44" s="2"/>
      <c r="W44" s="2">
        <f t="shared" si="6"/>
        <v>17158.703290290254</v>
      </c>
      <c r="X44" s="2"/>
      <c r="Y44" s="2">
        <f t="shared" si="21"/>
        <v>36581.944947330536</v>
      </c>
      <c r="Z44" s="2">
        <f t="shared" si="22"/>
        <v>116170.82930484714</v>
      </c>
      <c r="AA44" s="2">
        <f t="shared" si="23"/>
        <v>-5524.292136300166</v>
      </c>
      <c r="AB44" s="6">
        <f t="shared" si="24"/>
        <v>-4.5394524208365705E-2</v>
      </c>
      <c r="AC44" s="7">
        <f t="shared" si="25"/>
        <v>0.95460547579163424</v>
      </c>
      <c r="AD44" s="2">
        <f t="shared" si="26"/>
        <v>0</v>
      </c>
      <c r="AF44">
        <f t="shared" si="7"/>
        <v>1994</v>
      </c>
      <c r="AG44" s="6">
        <f t="shared" si="3"/>
        <v>0.20035784052613378</v>
      </c>
      <c r="AH44" s="6">
        <f t="shared" si="3"/>
        <v>0.33704196492245736</v>
      </c>
      <c r="AI44" s="7"/>
      <c r="AJ44" s="7"/>
      <c r="AK44" s="6">
        <f t="shared" si="4"/>
        <v>0.14770233967482163</v>
      </c>
      <c r="AL44" s="7"/>
      <c r="AM44" s="6">
        <f t="shared" si="8"/>
        <v>0.31489785487658717</v>
      </c>
      <c r="AN44" s="6">
        <f t="shared" si="27"/>
        <v>0.99999999999999989</v>
      </c>
      <c r="AO44" s="7">
        <f t="shared" si="28"/>
        <v>0.68510214512341272</v>
      </c>
      <c r="AP44" s="7">
        <f t="shared" si="29"/>
        <v>0</v>
      </c>
    </row>
    <row r="45" spans="1:42" x14ac:dyDescent="0.2">
      <c r="A45">
        <f t="shared" si="5"/>
        <v>1995</v>
      </c>
      <c r="B45" s="2">
        <f t="shared" si="9"/>
        <v>31992.499807771928</v>
      </c>
      <c r="C45" s="2">
        <f t="shared" si="10"/>
        <v>52387.472208784849</v>
      </c>
      <c r="D45" s="2"/>
      <c r="E45" s="2"/>
      <c r="F45" s="2">
        <f t="shared" si="11"/>
        <v>18813.83180967165</v>
      </c>
      <c r="G45" s="2"/>
      <c r="H45" s="2">
        <f t="shared" si="12"/>
        <v>43232.542538755224</v>
      </c>
      <c r="I45" s="2">
        <f t="shared" si="30"/>
        <v>146426.34636498365</v>
      </c>
      <c r="J45" s="2">
        <f t="shared" si="14"/>
        <v>25285.601688665018</v>
      </c>
      <c r="K45" s="6">
        <f t="shared" si="15"/>
        <v>0.20872912541710675</v>
      </c>
      <c r="L45" s="7">
        <f t="shared" si="16"/>
        <v>1.2087291254171069</v>
      </c>
      <c r="N45">
        <f t="shared" si="17"/>
        <v>1995</v>
      </c>
      <c r="O45" s="2">
        <f t="shared" si="18"/>
        <v>5099.1331711297616</v>
      </c>
      <c r="P45" s="2"/>
      <c r="Q45" s="2"/>
      <c r="R45">
        <f t="shared" si="19"/>
        <v>1995</v>
      </c>
      <c r="S45" s="2">
        <f t="shared" si="20"/>
        <v>30717.716514989486</v>
      </c>
      <c r="T45" s="2">
        <f t="shared" si="20"/>
        <v>51112.688916002407</v>
      </c>
      <c r="U45" s="2"/>
      <c r="V45" s="2"/>
      <c r="W45" s="2">
        <f t="shared" si="6"/>
        <v>17539.048516889208</v>
      </c>
      <c r="X45" s="2"/>
      <c r="Y45" s="2">
        <f t="shared" si="21"/>
        <v>41957.759245972782</v>
      </c>
      <c r="Z45" s="2">
        <f t="shared" si="22"/>
        <v>141327.21319385388</v>
      </c>
      <c r="AA45" s="2">
        <f t="shared" si="23"/>
        <v>25156.383889006742</v>
      </c>
      <c r="AB45" s="6">
        <f t="shared" si="24"/>
        <v>0.21654647762729806</v>
      </c>
      <c r="AC45" s="7">
        <f t="shared" si="25"/>
        <v>1.2165464776272981</v>
      </c>
      <c r="AD45" s="2">
        <f t="shared" si="26"/>
        <v>0</v>
      </c>
      <c r="AF45">
        <f t="shared" si="7"/>
        <v>1995</v>
      </c>
      <c r="AG45" s="6">
        <f t="shared" si="3"/>
        <v>0.21735174578766375</v>
      </c>
      <c r="AH45" s="6">
        <f t="shared" si="3"/>
        <v>0.36166204484548081</v>
      </c>
      <c r="AI45" s="7"/>
      <c r="AJ45" s="7"/>
      <c r="AK45" s="6">
        <f t="shared" si="4"/>
        <v>0.12410241538430021</v>
      </c>
      <c r="AL45" s="7"/>
      <c r="AM45" s="6">
        <f t="shared" si="8"/>
        <v>0.29688379398255527</v>
      </c>
      <c r="AN45" s="6">
        <f t="shared" si="27"/>
        <v>1</v>
      </c>
      <c r="AO45" s="7">
        <f t="shared" si="28"/>
        <v>0.70311620601744473</v>
      </c>
      <c r="AP45" s="7">
        <f t="shared" si="29"/>
        <v>0</v>
      </c>
    </row>
    <row r="46" spans="1:42" x14ac:dyDescent="0.2">
      <c r="A46">
        <f t="shared" si="5"/>
        <v>1996</v>
      </c>
      <c r="B46" s="2">
        <f t="shared" si="9"/>
        <v>37745.930053619086</v>
      </c>
      <c r="C46" s="2">
        <f t="shared" si="10"/>
        <v>60132.545129009348</v>
      </c>
      <c r="D46" s="2"/>
      <c r="E46" s="2"/>
      <c r="F46" s="2">
        <f t="shared" si="11"/>
        <v>19331.363884830116</v>
      </c>
      <c r="G46" s="2"/>
      <c r="H46" s="2">
        <f t="shared" si="12"/>
        <v>43459.847026978612</v>
      </c>
      <c r="I46" s="2">
        <f t="shared" si="30"/>
        <v>160669.68609443717</v>
      </c>
      <c r="J46" s="2">
        <f t="shared" si="14"/>
        <v>14243.339729453524</v>
      </c>
      <c r="K46" s="6">
        <f t="shared" si="15"/>
        <v>9.727306651461784E-2</v>
      </c>
      <c r="L46" s="7">
        <f t="shared" si="16"/>
        <v>1.0972730665146178</v>
      </c>
      <c r="N46">
        <f t="shared" si="17"/>
        <v>1996</v>
      </c>
      <c r="O46" s="2">
        <f t="shared" si="18"/>
        <v>5226.6115004080057</v>
      </c>
      <c r="P46" s="2"/>
      <c r="Q46" s="2"/>
      <c r="R46">
        <f t="shared" si="19"/>
        <v>1996</v>
      </c>
      <c r="S46" s="2">
        <f t="shared" si="20"/>
        <v>36439.277178517084</v>
      </c>
      <c r="T46" s="2">
        <f t="shared" si="20"/>
        <v>58825.892253907346</v>
      </c>
      <c r="U46" s="2"/>
      <c r="V46" s="2"/>
      <c r="W46" s="2">
        <f t="shared" si="6"/>
        <v>18024.711009728115</v>
      </c>
      <c r="X46" s="2"/>
      <c r="Y46" s="2">
        <f t="shared" si="21"/>
        <v>42153.194151876611</v>
      </c>
      <c r="Z46" s="2">
        <f t="shared" si="22"/>
        <v>155443.07459402917</v>
      </c>
      <c r="AA46" s="2">
        <f t="shared" si="23"/>
        <v>14115.861400175287</v>
      </c>
      <c r="AB46" s="6">
        <f t="shared" si="24"/>
        <v>9.988070295289149E-2</v>
      </c>
      <c r="AC46" s="7">
        <f t="shared" si="25"/>
        <v>1.0998807029528914</v>
      </c>
      <c r="AD46" s="2">
        <f t="shared" si="26"/>
        <v>0</v>
      </c>
      <c r="AF46">
        <f t="shared" si="7"/>
        <v>1996</v>
      </c>
      <c r="AG46" s="6">
        <f t="shared" si="3"/>
        <v>0.23442200479941341</v>
      </c>
      <c r="AH46" s="6">
        <f t="shared" si="3"/>
        <v>0.37844009717089672</v>
      </c>
      <c r="AI46" s="7"/>
      <c r="AJ46" s="7"/>
      <c r="AK46" s="6">
        <f t="shared" si="4"/>
        <v>0.11595698976492372</v>
      </c>
      <c r="AL46" s="7"/>
      <c r="AM46" s="6">
        <f t="shared" si="8"/>
        <v>0.27118090826476604</v>
      </c>
      <c r="AN46" s="6">
        <f t="shared" si="27"/>
        <v>0.99999999999999989</v>
      </c>
      <c r="AO46" s="7">
        <f t="shared" si="28"/>
        <v>0.72881909173523385</v>
      </c>
      <c r="AP46" s="7">
        <f t="shared" si="29"/>
        <v>0</v>
      </c>
    </row>
    <row r="47" spans="1:42" x14ac:dyDescent="0.2">
      <c r="A47">
        <f t="shared" si="5"/>
        <v>1997</v>
      </c>
      <c r="B47" s="2">
        <f t="shared" si="9"/>
        <v>48533.473274066906</v>
      </c>
      <c r="C47" s="2">
        <f t="shared" si="10"/>
        <v>74524.758119707592</v>
      </c>
      <c r="D47" s="2"/>
      <c r="E47" s="2"/>
      <c r="F47" s="2"/>
      <c r="G47" s="2">
        <f>W46*(1+(G11/100))</f>
        <v>17885.019499402722</v>
      </c>
      <c r="H47" s="2">
        <f t="shared" si="12"/>
        <v>46132.455679813764</v>
      </c>
      <c r="I47" s="2">
        <f t="shared" si="30"/>
        <v>187075.70657299098</v>
      </c>
      <c r="J47" s="2">
        <f t="shared" si="14"/>
        <v>26406.020478553808</v>
      </c>
      <c r="K47" s="6">
        <f t="shared" si="15"/>
        <v>0.1643497359111854</v>
      </c>
      <c r="L47" s="7">
        <f t="shared" si="16"/>
        <v>1.1643497359111854</v>
      </c>
      <c r="N47">
        <f t="shared" si="17"/>
        <v>1997</v>
      </c>
      <c r="O47" s="2">
        <f t="shared" si="18"/>
        <v>5404.3162914218783</v>
      </c>
      <c r="P47" s="2"/>
      <c r="Q47" s="2"/>
      <c r="R47">
        <f t="shared" si="19"/>
        <v>1997</v>
      </c>
      <c r="S47" s="2">
        <f t="shared" si="20"/>
        <v>47182.394201211435</v>
      </c>
      <c r="T47" s="2">
        <f t="shared" si="20"/>
        <v>73173.679046852121</v>
      </c>
      <c r="U47" s="2"/>
      <c r="V47" s="2"/>
      <c r="W47" s="2"/>
      <c r="X47" s="2">
        <f t="shared" si="6"/>
        <v>16533.940426547251</v>
      </c>
      <c r="Y47" s="2">
        <f t="shared" si="21"/>
        <v>44781.376606958293</v>
      </c>
      <c r="Z47" s="2">
        <f t="shared" si="22"/>
        <v>181671.3902815691</v>
      </c>
      <c r="AA47" s="2">
        <f t="shared" si="23"/>
        <v>26228.315687539929</v>
      </c>
      <c r="AB47" s="6">
        <f t="shared" si="24"/>
        <v>0.16873261003129569</v>
      </c>
      <c r="AC47" s="7">
        <f t="shared" si="25"/>
        <v>1.1687326100312956</v>
      </c>
      <c r="AD47" s="2">
        <f t="shared" si="26"/>
        <v>0</v>
      </c>
      <c r="AF47">
        <f t="shared" si="7"/>
        <v>1997</v>
      </c>
      <c r="AG47" s="6">
        <f t="shared" si="3"/>
        <v>0.25971284817099888</v>
      </c>
      <c r="AH47" s="6">
        <f t="shared" si="3"/>
        <v>0.40278042092066119</v>
      </c>
      <c r="AI47" s="7"/>
      <c r="AJ47" s="7"/>
      <c r="AK47" s="6">
        <f t="shared" si="4"/>
        <v>0</v>
      </c>
      <c r="AL47" s="7"/>
      <c r="AM47" s="6">
        <f t="shared" si="8"/>
        <v>0.24649658120385645</v>
      </c>
      <c r="AN47" s="6">
        <f t="shared" si="27"/>
        <v>0.90898985029551649</v>
      </c>
      <c r="AO47" s="7">
        <f t="shared" si="28"/>
        <v>0.66249326909166006</v>
      </c>
      <c r="AP47" s="7">
        <f t="shared" si="29"/>
        <v>0</v>
      </c>
    </row>
    <row r="48" spans="1:42" x14ac:dyDescent="0.2">
      <c r="A48">
        <f t="shared" si="5"/>
        <v>1998</v>
      </c>
      <c r="B48" s="2">
        <f t="shared" si="9"/>
        <v>60704.868379278632</v>
      </c>
      <c r="C48" s="2">
        <f t="shared" si="10"/>
        <v>79285.876457635692</v>
      </c>
      <c r="D48" s="2"/>
      <c r="E48" s="2"/>
      <c r="F48" s="2"/>
      <c r="G48" s="2">
        <f t="shared" ref="G48:G64" si="31">X47*(1+(G12/100))</f>
        <v>19113.731151301417</v>
      </c>
      <c r="H48" s="2">
        <f t="shared" si="12"/>
        <v>48623.618719835322</v>
      </c>
      <c r="I48" s="2">
        <f t="shared" si="30"/>
        <v>207728.09470805107</v>
      </c>
      <c r="J48" s="2">
        <f t="shared" si="14"/>
        <v>20652.388135060086</v>
      </c>
      <c r="K48" s="6">
        <f t="shared" si="15"/>
        <v>0.1103958847109963</v>
      </c>
      <c r="L48" s="7">
        <f t="shared" si="16"/>
        <v>1.1103958847109963</v>
      </c>
      <c r="N48">
        <f t="shared" si="17"/>
        <v>1998</v>
      </c>
      <c r="O48" s="2">
        <f t="shared" si="18"/>
        <v>5496.1896683760497</v>
      </c>
      <c r="P48" s="2"/>
      <c r="Q48" s="2"/>
      <c r="R48">
        <f t="shared" si="19"/>
        <v>1998</v>
      </c>
      <c r="S48" s="2">
        <f t="shared" si="20"/>
        <v>59330.820962184618</v>
      </c>
      <c r="T48" s="2">
        <f t="shared" si="20"/>
        <v>77911.829040541677</v>
      </c>
      <c r="U48" s="2"/>
      <c r="V48" s="2"/>
      <c r="W48" s="2"/>
      <c r="X48" s="2">
        <f t="shared" si="6"/>
        <v>17739.683734207407</v>
      </c>
      <c r="Y48" s="2">
        <f t="shared" si="21"/>
        <v>47249.571302741308</v>
      </c>
      <c r="Z48" s="2">
        <f t="shared" si="22"/>
        <v>202231.90503967501</v>
      </c>
      <c r="AA48" s="2">
        <f t="shared" si="23"/>
        <v>20560.514758105914</v>
      </c>
      <c r="AB48" s="6">
        <f t="shared" si="24"/>
        <v>0.11317420275278103</v>
      </c>
      <c r="AC48" s="7">
        <f t="shared" si="25"/>
        <v>1.1131742027527811</v>
      </c>
      <c r="AD48" s="2">
        <f t="shared" si="26"/>
        <v>0</v>
      </c>
      <c r="AF48">
        <f t="shared" si="7"/>
        <v>1998</v>
      </c>
      <c r="AG48" s="6">
        <f t="shared" si="3"/>
        <v>0.2933801219473493</v>
      </c>
      <c r="AH48" s="6">
        <f t="shared" si="3"/>
        <v>0.38525982843931816</v>
      </c>
      <c r="AI48" s="7"/>
      <c r="AJ48" s="7"/>
      <c r="AK48" s="6">
        <f t="shared" si="4"/>
        <v>0</v>
      </c>
      <c r="AL48" s="6"/>
      <c r="AM48" s="6">
        <f t="shared" si="8"/>
        <v>0.23364053903102786</v>
      </c>
      <c r="AN48" s="6">
        <f t="shared" si="27"/>
        <v>0.91228048941769535</v>
      </c>
      <c r="AO48" s="7">
        <f t="shared" si="28"/>
        <v>0.67863995038666747</v>
      </c>
      <c r="AP48" s="7">
        <f t="shared" si="29"/>
        <v>0</v>
      </c>
    </row>
    <row r="49" spans="1:42" x14ac:dyDescent="0.2">
      <c r="A49">
        <f t="shared" si="5"/>
        <v>1999</v>
      </c>
      <c r="B49" s="2">
        <f t="shared" si="9"/>
        <v>71831.824938916921</v>
      </c>
      <c r="C49" s="2"/>
      <c r="D49" s="2">
        <f>($T48*0.67)*(1+(D13/100))</f>
        <v>60197.58522794571</v>
      </c>
      <c r="E49" s="2">
        <f>($T48*0.33)*(1+(E13/100))</f>
        <v>31658.606909321759</v>
      </c>
      <c r="F49" s="2"/>
      <c r="G49" s="2">
        <f t="shared" si="31"/>
        <v>23047.21971064492</v>
      </c>
      <c r="H49" s="2">
        <f t="shared" si="12"/>
        <v>46890.47456084047</v>
      </c>
      <c r="I49" s="2">
        <f t="shared" si="13"/>
        <v>233625.71134766977</v>
      </c>
      <c r="J49" s="2">
        <f>I49-I48</f>
        <v>25897.616639618704</v>
      </c>
      <c r="K49" s="6">
        <f>(J49/I48)</f>
        <v>0.12467074651609449</v>
      </c>
      <c r="L49" s="7">
        <f t="shared" si="16"/>
        <v>1.1246707465160946</v>
      </c>
      <c r="N49">
        <f t="shared" si="17"/>
        <v>1999</v>
      </c>
      <c r="O49" s="2">
        <f t="shared" si="18"/>
        <v>5584.1287030700669</v>
      </c>
      <c r="P49" s="2"/>
      <c r="Q49" s="2"/>
      <c r="R49">
        <f t="shared" si="19"/>
        <v>1999</v>
      </c>
      <c r="S49" s="2">
        <f>B49-($O49/5)</f>
        <v>70714.999198302903</v>
      </c>
      <c r="T49" s="2"/>
      <c r="U49" s="2">
        <f t="shared" ref="U49:V51" si="32">D49-($O49/5)</f>
        <v>59080.759487331699</v>
      </c>
      <c r="V49" s="2">
        <f t="shared" si="32"/>
        <v>30541.781168707745</v>
      </c>
      <c r="W49" s="2"/>
      <c r="X49" s="2">
        <f t="shared" ref="X49:Y51" si="33">G49-($O49/5)</f>
        <v>21930.393970030906</v>
      </c>
      <c r="Y49" s="2">
        <f t="shared" si="33"/>
        <v>45773.648820226459</v>
      </c>
      <c r="Z49" s="2">
        <f t="shared" si="22"/>
        <v>228041.58264459972</v>
      </c>
      <c r="AA49" s="2">
        <f>Z49-Z48</f>
        <v>25809.677604924713</v>
      </c>
      <c r="AB49" s="6">
        <f>(AA49/Z48)</f>
        <v>0.1276241629621262</v>
      </c>
      <c r="AC49" s="7">
        <f t="shared" si="25"/>
        <v>1.1276241629621262</v>
      </c>
      <c r="AD49" s="2">
        <f t="shared" si="26"/>
        <v>0</v>
      </c>
      <c r="AF49">
        <f t="shared" si="7"/>
        <v>1999</v>
      </c>
      <c r="AG49" s="6">
        <f t="shared" si="3"/>
        <v>0.31009694976775987</v>
      </c>
      <c r="AH49" s="6">
        <f t="shared" si="3"/>
        <v>0</v>
      </c>
      <c r="AI49" s="7"/>
      <c r="AJ49" s="7"/>
      <c r="AK49" s="6"/>
      <c r="AL49" s="6">
        <f t="shared" ref="AL49:AL64" si="34">X49/$Z49</f>
        <v>9.6168399270448762E-2</v>
      </c>
      <c r="AM49" s="6">
        <f t="shared" si="8"/>
        <v>0.20072500940130811</v>
      </c>
      <c r="AN49" s="6">
        <f t="shared" si="27"/>
        <v>0.60699035843951676</v>
      </c>
      <c r="AO49" s="7">
        <f t="shared" si="28"/>
        <v>0.40626534903820866</v>
      </c>
      <c r="AP49" s="7">
        <f t="shared" si="29"/>
        <v>0</v>
      </c>
    </row>
    <row r="50" spans="1:42" x14ac:dyDescent="0.2">
      <c r="A50">
        <f t="shared" si="5"/>
        <v>2000</v>
      </c>
      <c r="B50" s="2">
        <f t="shared" si="9"/>
        <v>64308.220270936661</v>
      </c>
      <c r="C50" s="2"/>
      <c r="D50" s="2">
        <f t="shared" ref="D50:D51" si="35">U49*(1+(D14/100))</f>
        <v>69773.195339348982</v>
      </c>
      <c r="E50" s="2">
        <f t="shared" ref="E50:E51" si="36">V49*(1+(E14/100))</f>
        <v>29727.842700561683</v>
      </c>
      <c r="F50" s="2"/>
      <c r="G50" s="2">
        <f t="shared" si="31"/>
        <v>18506.18225555028</v>
      </c>
      <c r="H50" s="2">
        <f t="shared" si="12"/>
        <v>50987.267420850258</v>
      </c>
      <c r="I50" s="2">
        <f t="shared" si="13"/>
        <v>233302.70798724788</v>
      </c>
      <c r="J50" s="2">
        <f>I50-I49</f>
        <v>-323.00336042189156</v>
      </c>
      <c r="K50" s="6">
        <f>(J50/I49)</f>
        <v>-1.3825676915380882E-3</v>
      </c>
      <c r="L50" s="7">
        <f t="shared" si="16"/>
        <v>0.99861743230846189</v>
      </c>
      <c r="N50">
        <f t="shared" si="17"/>
        <v>2000</v>
      </c>
      <c r="O50" s="2">
        <f t="shared" si="18"/>
        <v>5734.9001780529579</v>
      </c>
      <c r="P50" s="2"/>
      <c r="Q50" s="2"/>
      <c r="R50">
        <f t="shared" si="19"/>
        <v>2000</v>
      </c>
      <c r="S50" s="2">
        <f>B50-($O50/5)</f>
        <v>63161.24023532607</v>
      </c>
      <c r="T50" s="2"/>
      <c r="U50" s="2">
        <f t="shared" si="32"/>
        <v>68626.215303738398</v>
      </c>
      <c r="V50" s="2">
        <f t="shared" si="32"/>
        <v>28580.862664951092</v>
      </c>
      <c r="W50" s="2"/>
      <c r="X50" s="2">
        <f t="shared" si="33"/>
        <v>17359.202219939689</v>
      </c>
      <c r="Y50" s="2">
        <f t="shared" si="33"/>
        <v>49840.287385239666</v>
      </c>
      <c r="Z50" s="2">
        <f t="shared" si="22"/>
        <v>227567.80780919496</v>
      </c>
      <c r="AA50" s="2">
        <f>Z50-Z49</f>
        <v>-473.77483540476533</v>
      </c>
      <c r="AB50" s="6">
        <f>(AA50/Z49)</f>
        <v>-2.0775808951612922E-3</v>
      </c>
      <c r="AC50" s="7">
        <f t="shared" si="25"/>
        <v>0.9979224191048387</v>
      </c>
      <c r="AD50" s="2">
        <f t="shared" si="26"/>
        <v>0</v>
      </c>
      <c r="AF50">
        <f t="shared" si="7"/>
        <v>2000</v>
      </c>
      <c r="AG50" s="6">
        <f t="shared" si="3"/>
        <v>0.2775490999512718</v>
      </c>
      <c r="AH50" s="6">
        <f t="shared" si="3"/>
        <v>0</v>
      </c>
      <c r="AI50" s="7"/>
      <c r="AJ50" s="7"/>
      <c r="AK50" s="7"/>
      <c r="AL50" s="6">
        <f t="shared" si="34"/>
        <v>7.6281449415264282E-2</v>
      </c>
      <c r="AM50" s="6">
        <f t="shared" si="8"/>
        <v>0.21901290813078639</v>
      </c>
      <c r="AN50" s="6">
        <f t="shared" si="27"/>
        <v>0.57284345749732246</v>
      </c>
      <c r="AO50" s="7">
        <f t="shared" si="28"/>
        <v>0.35383054936653607</v>
      </c>
      <c r="AP50" s="7">
        <f t="shared" si="29"/>
        <v>0</v>
      </c>
    </row>
    <row r="51" spans="1:42" x14ac:dyDescent="0.2">
      <c r="A51">
        <f t="shared" si="5"/>
        <v>2001</v>
      </c>
      <c r="B51" s="2">
        <f t="shared" ref="B51:B64" si="37">S50*(1+(B15/100))</f>
        <v>55569.259159039881</v>
      </c>
      <c r="C51" s="2"/>
      <c r="D51" s="2">
        <f t="shared" si="35"/>
        <v>68283.770489372735</v>
      </c>
      <c r="E51" s="2">
        <f t="shared" si="36"/>
        <v>29466.869407564573</v>
      </c>
      <c r="F51" s="2"/>
      <c r="G51" s="2">
        <f t="shared" si="31"/>
        <v>13860.802196555243</v>
      </c>
      <c r="H51" s="2">
        <f t="shared" si="12"/>
        <v>54041.823611815373</v>
      </c>
      <c r="I51" s="2">
        <f t="shared" si="13"/>
        <v>221222.5248643478</v>
      </c>
      <c r="J51" s="2">
        <f t="shared" si="14"/>
        <v>-12080.183122900082</v>
      </c>
      <c r="K51" s="6">
        <f t="shared" si="15"/>
        <v>-5.1779009455648388E-2</v>
      </c>
      <c r="L51" s="7">
        <f t="shared" si="16"/>
        <v>0.94822099054435161</v>
      </c>
      <c r="N51">
        <f t="shared" si="17"/>
        <v>2001</v>
      </c>
      <c r="O51" s="2">
        <f t="shared" si="18"/>
        <v>5929.8867841067586</v>
      </c>
      <c r="P51" s="2"/>
      <c r="Q51" s="2"/>
      <c r="R51">
        <f t="shared" si="19"/>
        <v>2001</v>
      </c>
      <c r="S51" s="2">
        <f>B51-($O51/5)</f>
        <v>54383.281802218531</v>
      </c>
      <c r="T51" s="2"/>
      <c r="U51" s="2">
        <f t="shared" si="32"/>
        <v>67097.793132551378</v>
      </c>
      <c r="V51" s="2">
        <f t="shared" si="32"/>
        <v>28280.892050743219</v>
      </c>
      <c r="W51" s="2"/>
      <c r="X51" s="2">
        <f t="shared" si="33"/>
        <v>12674.824839733892</v>
      </c>
      <c r="Y51" s="2">
        <f t="shared" si="33"/>
        <v>52855.846254994023</v>
      </c>
      <c r="Z51" s="2">
        <f t="shared" si="22"/>
        <v>215292.63808024104</v>
      </c>
      <c r="AA51" s="2">
        <f t="shared" si="23"/>
        <v>-12275.169728953915</v>
      </c>
      <c r="AB51" s="6">
        <f t="shared" si="24"/>
        <v>-5.3940712647924591E-2</v>
      </c>
      <c r="AC51" s="7">
        <f t="shared" si="25"/>
        <v>0.94605928735207545</v>
      </c>
      <c r="AD51" s="2">
        <f t="shared" si="26"/>
        <v>0</v>
      </c>
      <c r="AF51">
        <f t="shared" si="7"/>
        <v>2001</v>
      </c>
      <c r="AG51" s="6">
        <f t="shared" si="3"/>
        <v>0.25260167875294237</v>
      </c>
      <c r="AH51" s="7"/>
      <c r="AI51" s="6">
        <f>U51/$Z51</f>
        <v>0.31165855800207887</v>
      </c>
      <c r="AJ51" s="6">
        <f>V51/$Z51</f>
        <v>0.13136023740952413</v>
      </c>
      <c r="AK51" s="7"/>
      <c r="AL51" s="6">
        <f t="shared" si="34"/>
        <v>5.8872541823793798E-2</v>
      </c>
      <c r="AM51" s="6">
        <f t="shared" si="8"/>
        <v>0.24550698401166085</v>
      </c>
      <c r="AN51" s="6">
        <f t="shared" si="27"/>
        <v>0.99999999999999989</v>
      </c>
      <c r="AO51" s="7">
        <f t="shared" si="28"/>
        <v>0.75449301598833907</v>
      </c>
      <c r="AP51" s="7">
        <f t="shared" si="29"/>
        <v>0</v>
      </c>
    </row>
    <row r="52" spans="1:42" x14ac:dyDescent="0.2">
      <c r="A52">
        <f t="shared" si="5"/>
        <v>2002</v>
      </c>
      <c r="B52" s="2">
        <f t="shared" si="37"/>
        <v>42337.384883027124</v>
      </c>
      <c r="C52" s="2"/>
      <c r="D52" s="2">
        <f t="shared" ref="D52:D64" si="38">U51*(1+(D16/100))</f>
        <v>57296.147511748277</v>
      </c>
      <c r="E52" s="2">
        <f t="shared" ref="E52:E64" si="39">V51*(1+(E16/100))</f>
        <v>22618.491844343414</v>
      </c>
      <c r="F52" s="2"/>
      <c r="G52" s="2">
        <f t="shared" si="31"/>
        <v>10763.081009156829</v>
      </c>
      <c r="H52" s="2">
        <f t="shared" si="12"/>
        <v>57221.739155656527</v>
      </c>
      <c r="I52" s="2">
        <f t="shared" si="13"/>
        <v>190236.84440393216</v>
      </c>
      <c r="J52" s="2">
        <f t="shared" si="14"/>
        <v>-30985.680460415635</v>
      </c>
      <c r="K52" s="6">
        <f t="shared" si="15"/>
        <v>-0.14006566681858393</v>
      </c>
      <c r="L52" s="7">
        <f t="shared" si="16"/>
        <v>0.8599343331814161</v>
      </c>
      <c r="N52">
        <f t="shared" si="17"/>
        <v>2002</v>
      </c>
      <c r="O52" s="2">
        <f t="shared" si="18"/>
        <v>6024.7649726524669</v>
      </c>
      <c r="P52" s="2"/>
      <c r="Q52" s="2"/>
      <c r="R52">
        <f t="shared" si="19"/>
        <v>2002</v>
      </c>
      <c r="S52" s="2">
        <f t="shared" ref="S52:S64" si="40">B52-($O52/5)</f>
        <v>41132.431888496627</v>
      </c>
      <c r="T52" s="2"/>
      <c r="U52" s="2">
        <f t="shared" ref="U52:V64" si="41">D52-($O52/5)</f>
        <v>56091.19451721778</v>
      </c>
      <c r="V52" s="2">
        <f t="shared" si="41"/>
        <v>21413.538849812921</v>
      </c>
      <c r="W52" s="2"/>
      <c r="X52" s="2">
        <f t="shared" ref="X52:Y64" si="42">G52-($O52/5)</f>
        <v>9558.1280146263362</v>
      </c>
      <c r="Y52" s="2">
        <f t="shared" si="42"/>
        <v>56016.78616112603</v>
      </c>
      <c r="Z52" s="2">
        <f t="shared" si="22"/>
        <v>184212.07943127968</v>
      </c>
      <c r="AA52" s="2">
        <f t="shared" si="23"/>
        <v>-31080.558648961363</v>
      </c>
      <c r="AB52" s="6">
        <f t="shared" si="24"/>
        <v>-0.14436424267037606</v>
      </c>
      <c r="AC52" s="7">
        <f t="shared" si="25"/>
        <v>0.85563575732962394</v>
      </c>
      <c r="AD52" s="2">
        <f t="shared" si="26"/>
        <v>0</v>
      </c>
      <c r="AF52">
        <f t="shared" si="7"/>
        <v>2002</v>
      </c>
      <c r="AG52" s="6">
        <f t="shared" si="3"/>
        <v>0.22328846194823548</v>
      </c>
      <c r="AH52" s="7"/>
      <c r="AI52" s="6">
        <f t="shared" ref="AI52:AJ64" si="43">U52/$Z52</f>
        <v>0.30449248871403461</v>
      </c>
      <c r="AJ52" s="6">
        <f t="shared" si="43"/>
        <v>0.11624394510893757</v>
      </c>
      <c r="AK52" s="7"/>
      <c r="AL52" s="6">
        <f t="shared" si="34"/>
        <v>5.1886543185090075E-2</v>
      </c>
      <c r="AM52" s="6">
        <f t="shared" si="8"/>
        <v>0.3040885610437023</v>
      </c>
      <c r="AN52" s="6">
        <f t="shared" si="27"/>
        <v>1</v>
      </c>
      <c r="AO52" s="7">
        <f t="shared" si="28"/>
        <v>0.69591143895629781</v>
      </c>
      <c r="AP52" s="7">
        <f t="shared" si="29"/>
        <v>0</v>
      </c>
    </row>
    <row r="53" spans="1:42" x14ac:dyDescent="0.2">
      <c r="A53">
        <f t="shared" si="5"/>
        <v>2003</v>
      </c>
      <c r="B53" s="2">
        <f t="shared" si="37"/>
        <v>52855.174976718161</v>
      </c>
      <c r="C53" s="2"/>
      <c r="D53" s="2">
        <f t="shared" si="38"/>
        <v>75241.850149286285</v>
      </c>
      <c r="E53" s="2">
        <f t="shared" si="39"/>
        <v>31184.108356205561</v>
      </c>
      <c r="F53" s="2"/>
      <c r="G53" s="2">
        <f t="shared" si="31"/>
        <v>13413.876855726599</v>
      </c>
      <c r="H53" s="2">
        <f t="shared" si="12"/>
        <v>58240.652571722734</v>
      </c>
      <c r="I53" s="2">
        <f t="shared" si="13"/>
        <v>230935.66290965932</v>
      </c>
      <c r="J53" s="2">
        <f t="shared" si="14"/>
        <v>40698.818505727162</v>
      </c>
      <c r="K53" s="6">
        <f t="shared" si="15"/>
        <v>0.21393762408774442</v>
      </c>
      <c r="L53" s="7">
        <f t="shared" si="16"/>
        <v>1.2139376240877444</v>
      </c>
      <c r="N53">
        <f t="shared" si="17"/>
        <v>2003</v>
      </c>
      <c r="O53" s="2">
        <f t="shared" si="18"/>
        <v>6175.3840969687781</v>
      </c>
      <c r="P53" s="2"/>
      <c r="Q53" s="2"/>
      <c r="R53">
        <f t="shared" si="19"/>
        <v>2003</v>
      </c>
      <c r="S53" s="2">
        <f t="shared" si="40"/>
        <v>51620.098157324406</v>
      </c>
      <c r="T53" s="2"/>
      <c r="U53" s="2">
        <f t="shared" si="41"/>
        <v>74006.77332989253</v>
      </c>
      <c r="V53" s="2">
        <f t="shared" si="41"/>
        <v>29949.031536811806</v>
      </c>
      <c r="W53" s="2"/>
      <c r="X53" s="2">
        <f t="shared" si="42"/>
        <v>12178.800036332843</v>
      </c>
      <c r="Y53" s="2">
        <f t="shared" si="42"/>
        <v>57005.575752328979</v>
      </c>
      <c r="Z53" s="2">
        <f t="shared" si="22"/>
        <v>224760.27881269058</v>
      </c>
      <c r="AA53" s="2">
        <f t="shared" si="23"/>
        <v>40548.199381410901</v>
      </c>
      <c r="AB53" s="6">
        <f t="shared" si="24"/>
        <v>0.22011694079235128</v>
      </c>
      <c r="AC53" s="7">
        <f t="shared" si="25"/>
        <v>1.2201169407923513</v>
      </c>
      <c r="AD53" s="2">
        <f t="shared" si="26"/>
        <v>0</v>
      </c>
      <c r="AF53">
        <f t="shared" si="7"/>
        <v>2003</v>
      </c>
      <c r="AG53" s="6">
        <f t="shared" si="3"/>
        <v>0.22966735238989122</v>
      </c>
      <c r="AH53" s="7"/>
      <c r="AI53" s="6">
        <f t="shared" si="43"/>
        <v>0.32926980568291547</v>
      </c>
      <c r="AJ53" s="6">
        <f t="shared" si="43"/>
        <v>0.13324877373804361</v>
      </c>
      <c r="AK53" s="7"/>
      <c r="AL53" s="6">
        <f t="shared" si="34"/>
        <v>5.4185731129486367E-2</v>
      </c>
      <c r="AM53" s="6">
        <f t="shared" si="8"/>
        <v>0.25362833705966326</v>
      </c>
      <c r="AN53" s="6">
        <f t="shared" si="27"/>
        <v>0.99999999999999989</v>
      </c>
      <c r="AO53" s="7">
        <f t="shared" si="28"/>
        <v>0.74637166294033663</v>
      </c>
      <c r="AP53" s="7">
        <f t="shared" si="29"/>
        <v>0</v>
      </c>
    </row>
    <row r="54" spans="1:42" x14ac:dyDescent="0.2">
      <c r="A54">
        <f t="shared" si="5"/>
        <v>2004</v>
      </c>
      <c r="B54" s="2">
        <f t="shared" si="37"/>
        <v>57164.096699421047</v>
      </c>
      <c r="C54" s="2"/>
      <c r="D54" s="2">
        <f t="shared" si="38"/>
        <v>89069.371905725551</v>
      </c>
      <c r="E54" s="2">
        <f t="shared" si="39"/>
        <v>35907.990341691257</v>
      </c>
      <c r="F54" s="2"/>
      <c r="G54" s="2">
        <f t="shared" si="31"/>
        <v>14716.496599903516</v>
      </c>
      <c r="H54" s="2">
        <f t="shared" si="12"/>
        <v>59422.612164227728</v>
      </c>
      <c r="I54" s="2">
        <f t="shared" si="13"/>
        <v>256280.5677109691</v>
      </c>
      <c r="J54" s="2">
        <f t="shared" si="14"/>
        <v>25344.904801309778</v>
      </c>
      <c r="K54" s="6">
        <f t="shared" si="15"/>
        <v>0.1097487693411154</v>
      </c>
      <c r="L54" s="7">
        <f t="shared" si="16"/>
        <v>1.1097487693411154</v>
      </c>
      <c r="N54">
        <f t="shared" si="17"/>
        <v>2004</v>
      </c>
      <c r="O54" s="2">
        <f t="shared" si="18"/>
        <v>6298.8917789081534</v>
      </c>
      <c r="P54" s="2"/>
      <c r="Q54" s="2"/>
      <c r="R54">
        <f t="shared" si="19"/>
        <v>2004</v>
      </c>
      <c r="S54" s="2">
        <f t="shared" si="40"/>
        <v>55904.318343639417</v>
      </c>
      <c r="T54" s="2"/>
      <c r="U54" s="2">
        <f t="shared" si="41"/>
        <v>87809.593549943922</v>
      </c>
      <c r="V54" s="2">
        <f t="shared" si="41"/>
        <v>34648.211985909627</v>
      </c>
      <c r="W54" s="2"/>
      <c r="X54" s="2">
        <f t="shared" si="42"/>
        <v>13456.718244121885</v>
      </c>
      <c r="Y54" s="2">
        <f t="shared" si="42"/>
        <v>58162.833808446099</v>
      </c>
      <c r="Z54" s="2">
        <f t="shared" si="22"/>
        <v>249981.67593206096</v>
      </c>
      <c r="AA54" s="2">
        <f t="shared" si="23"/>
        <v>25221.397119370376</v>
      </c>
      <c r="AB54" s="6">
        <f t="shared" si="24"/>
        <v>0.11221465488743783</v>
      </c>
      <c r="AC54" s="7">
        <f t="shared" si="25"/>
        <v>1.1122146548874379</v>
      </c>
      <c r="AD54" s="2">
        <f t="shared" si="26"/>
        <v>0</v>
      </c>
      <c r="AF54">
        <f t="shared" si="7"/>
        <v>2004</v>
      </c>
      <c r="AG54" s="6">
        <f t="shared" si="3"/>
        <v>0.22363366488843317</v>
      </c>
      <c r="AH54" s="7"/>
      <c r="AI54" s="6">
        <f t="shared" si="43"/>
        <v>0.35126412055021372</v>
      </c>
      <c r="AJ54" s="6">
        <f t="shared" si="43"/>
        <v>0.1386030070273078</v>
      </c>
      <c r="AK54" s="7"/>
      <c r="AL54" s="6">
        <f t="shared" si="34"/>
        <v>5.3830818574794652E-2</v>
      </c>
      <c r="AM54" s="6">
        <f t="shared" si="8"/>
        <v>0.23266838895925063</v>
      </c>
      <c r="AN54" s="6">
        <f t="shared" si="27"/>
        <v>1</v>
      </c>
      <c r="AO54" s="7">
        <f t="shared" si="28"/>
        <v>0.76733161104074932</v>
      </c>
      <c r="AP54" s="7">
        <f t="shared" si="29"/>
        <v>0</v>
      </c>
    </row>
    <row r="55" spans="1:42" x14ac:dyDescent="0.2">
      <c r="A55">
        <f t="shared" si="5"/>
        <v>2005</v>
      </c>
      <c r="B55" s="2">
        <f t="shared" si="37"/>
        <v>58570.954328631022</v>
      </c>
      <c r="C55" s="2"/>
      <c r="D55" s="2">
        <f t="shared" si="38"/>
        <v>100042.34802738662</v>
      </c>
      <c r="E55" s="2">
        <f t="shared" si="39"/>
        <v>37199.359834432158</v>
      </c>
      <c r="F55" s="2"/>
      <c r="G55" s="2">
        <f t="shared" si="31"/>
        <v>15552.063841914103</v>
      </c>
      <c r="H55" s="2">
        <f t="shared" si="12"/>
        <v>59558.741819848809</v>
      </c>
      <c r="I55" s="2">
        <f t="shared" si="13"/>
        <v>270923.46785221272</v>
      </c>
      <c r="J55" s="2">
        <f t="shared" si="14"/>
        <v>14642.900141243619</v>
      </c>
      <c r="K55" s="6">
        <f t="shared" si="15"/>
        <v>5.7136209241419149E-2</v>
      </c>
      <c r="L55" s="7">
        <f t="shared" si="16"/>
        <v>1.0571362092414192</v>
      </c>
      <c r="N55">
        <f t="shared" si="17"/>
        <v>2005</v>
      </c>
      <c r="O55" s="2">
        <f t="shared" si="18"/>
        <v>6506.7552076121219</v>
      </c>
      <c r="P55" s="2"/>
      <c r="Q55" s="2"/>
      <c r="R55">
        <f t="shared" si="19"/>
        <v>2005</v>
      </c>
      <c r="S55" s="2">
        <f t="shared" si="40"/>
        <v>57269.603287108599</v>
      </c>
      <c r="T55" s="2"/>
      <c r="U55" s="2">
        <f t="shared" si="41"/>
        <v>98740.996985864185</v>
      </c>
      <c r="V55" s="2">
        <f t="shared" si="41"/>
        <v>35898.008792909735</v>
      </c>
      <c r="W55" s="2"/>
      <c r="X55" s="2">
        <f t="shared" si="42"/>
        <v>14250.712800391679</v>
      </c>
      <c r="Y55" s="2">
        <f t="shared" si="42"/>
        <v>58257.390778326386</v>
      </c>
      <c r="Z55" s="2">
        <f t="shared" si="22"/>
        <v>264416.7126446006</v>
      </c>
      <c r="AA55" s="2">
        <f t="shared" si="23"/>
        <v>14435.036712539644</v>
      </c>
      <c r="AB55" s="6">
        <f t="shared" si="24"/>
        <v>5.7744379297875986E-2</v>
      </c>
      <c r="AC55" s="7">
        <f t="shared" si="25"/>
        <v>1.057744379297876</v>
      </c>
      <c r="AD55" s="2">
        <f t="shared" si="26"/>
        <v>0</v>
      </c>
      <c r="AF55">
        <f t="shared" si="7"/>
        <v>2005</v>
      </c>
      <c r="AG55" s="6">
        <f t="shared" ref="AG55:AG64" si="44">S55/$Z55</f>
        <v>0.21658843994511043</v>
      </c>
      <c r="AH55" s="7"/>
      <c r="AI55" s="6">
        <f t="shared" si="43"/>
        <v>0.37342948559602129</v>
      </c>
      <c r="AJ55" s="6">
        <f t="shared" si="43"/>
        <v>0.13576300996208143</v>
      </c>
      <c r="AK55" s="7"/>
      <c r="AL55" s="6">
        <f t="shared" si="34"/>
        <v>5.3894901944212183E-2</v>
      </c>
      <c r="AM55" s="6">
        <f t="shared" si="8"/>
        <v>0.22032416255257459</v>
      </c>
      <c r="AN55" s="6">
        <f t="shared" si="27"/>
        <v>1</v>
      </c>
      <c r="AO55" s="7">
        <f t="shared" si="28"/>
        <v>0.77967583744742541</v>
      </c>
      <c r="AP55" s="7">
        <f t="shared" si="29"/>
        <v>0</v>
      </c>
    </row>
    <row r="56" spans="1:42" x14ac:dyDescent="0.2">
      <c r="A56">
        <f t="shared" si="5"/>
        <v>2006</v>
      </c>
      <c r="B56" s="2">
        <f t="shared" si="37"/>
        <v>66226.56924121239</v>
      </c>
      <c r="C56" s="2"/>
      <c r="D56" s="2">
        <f t="shared" si="38"/>
        <v>112166.81034603213</v>
      </c>
      <c r="E56" s="2">
        <f t="shared" si="39"/>
        <v>41518.201049527685</v>
      </c>
      <c r="F56" s="2"/>
      <c r="G56" s="2">
        <f t="shared" si="31"/>
        <v>18046.675169032009</v>
      </c>
      <c r="H56" s="2">
        <f t="shared" si="12"/>
        <v>60744.981364560917</v>
      </c>
      <c r="I56" s="2">
        <f t="shared" si="13"/>
        <v>298703.23717036512</v>
      </c>
      <c r="J56" s="2">
        <f>I56-I55</f>
        <v>27779.769318152394</v>
      </c>
      <c r="K56" s="6">
        <f>(J56/I55)</f>
        <v>0.10253733107131976</v>
      </c>
      <c r="L56" s="7">
        <f t="shared" si="16"/>
        <v>1.1025373310713198</v>
      </c>
      <c r="N56">
        <f t="shared" si="17"/>
        <v>2006</v>
      </c>
      <c r="O56" s="2">
        <f t="shared" si="18"/>
        <v>6721.4781294633212</v>
      </c>
      <c r="P56" s="2"/>
      <c r="Q56" s="2"/>
      <c r="R56">
        <f t="shared" si="19"/>
        <v>2006</v>
      </c>
      <c r="S56" s="2">
        <f t="shared" si="40"/>
        <v>64882.273615319726</v>
      </c>
      <c r="T56" s="2"/>
      <c r="U56" s="2">
        <f t="shared" si="41"/>
        <v>110822.51472013947</v>
      </c>
      <c r="V56" s="2">
        <f t="shared" si="41"/>
        <v>40173.90542363502</v>
      </c>
      <c r="W56" s="2"/>
      <c r="X56" s="2">
        <f t="shared" si="42"/>
        <v>16702.379543139345</v>
      </c>
      <c r="Y56" s="2">
        <f t="shared" si="42"/>
        <v>59400.685738668253</v>
      </c>
      <c r="Z56" s="2">
        <f t="shared" si="22"/>
        <v>291981.75904090179</v>
      </c>
      <c r="AA56" s="2">
        <f>Z56-Z55</f>
        <v>27565.046396301186</v>
      </c>
      <c r="AB56" s="6">
        <f>(AA56/Z55)</f>
        <v>0.10424850275387487</v>
      </c>
      <c r="AC56" s="7">
        <f t="shared" si="25"/>
        <v>1.1042485027538749</v>
      </c>
      <c r="AD56" s="2">
        <f t="shared" si="26"/>
        <v>0</v>
      </c>
      <c r="AF56">
        <f t="shared" si="7"/>
        <v>2006</v>
      </c>
      <c r="AG56" s="6">
        <f t="shared" si="44"/>
        <v>0.22221344863612114</v>
      </c>
      <c r="AH56" s="7"/>
      <c r="AI56" s="6">
        <f t="shared" si="43"/>
        <v>0.37955287030315848</v>
      </c>
      <c r="AJ56" s="6">
        <f t="shared" si="43"/>
        <v>0.13759046303302572</v>
      </c>
      <c r="AK56" s="7"/>
      <c r="AL56" s="6">
        <f t="shared" si="34"/>
        <v>5.7203503390085474E-2</v>
      </c>
      <c r="AM56" s="6">
        <f t="shared" si="8"/>
        <v>0.20343971463760929</v>
      </c>
      <c r="AN56" s="6">
        <f t="shared" si="27"/>
        <v>1.0000000000000002</v>
      </c>
      <c r="AO56" s="7">
        <f t="shared" si="28"/>
        <v>0.79656028536239087</v>
      </c>
      <c r="AP56" s="7">
        <f t="shared" si="29"/>
        <v>0</v>
      </c>
    </row>
    <row r="57" spans="1:42" x14ac:dyDescent="0.2">
      <c r="A57">
        <f t="shared" si="5"/>
        <v>2007</v>
      </c>
      <c r="B57" s="2">
        <f t="shared" si="37"/>
        <v>68379.428163185468</v>
      </c>
      <c r="C57" s="2"/>
      <c r="D57" s="2">
        <f t="shared" si="38"/>
        <v>117495.13833143908</v>
      </c>
      <c r="E57" s="2">
        <f t="shared" si="39"/>
        <v>40638.315770332243</v>
      </c>
      <c r="F57" s="2"/>
      <c r="G57" s="2">
        <f t="shared" si="31"/>
        <v>19294.922895825432</v>
      </c>
      <c r="H57" s="2">
        <f t="shared" si="12"/>
        <v>63511.213191784089</v>
      </c>
      <c r="I57" s="2">
        <f t="shared" si="13"/>
        <v>309319.01835256629</v>
      </c>
      <c r="J57" s="2">
        <f t="shared" si="14"/>
        <v>10615.781182201172</v>
      </c>
      <c r="K57" s="6">
        <f t="shared" si="15"/>
        <v>3.5539558535639407E-2</v>
      </c>
      <c r="L57" s="7">
        <f t="shared" si="16"/>
        <v>1.0355395585356395</v>
      </c>
      <c r="N57">
        <f t="shared" si="17"/>
        <v>2007</v>
      </c>
      <c r="O57" s="2">
        <f t="shared" si="18"/>
        <v>6889.5150826999034</v>
      </c>
      <c r="P57" s="2"/>
      <c r="Q57" s="2"/>
      <c r="R57">
        <f t="shared" si="19"/>
        <v>2007</v>
      </c>
      <c r="S57" s="2">
        <f t="shared" si="40"/>
        <v>67001.525146645494</v>
      </c>
      <c r="T57" s="2"/>
      <c r="U57" s="2">
        <f t="shared" si="41"/>
        <v>116117.23531489911</v>
      </c>
      <c r="V57" s="2">
        <f t="shared" si="41"/>
        <v>39260.412753792261</v>
      </c>
      <c r="W57" s="2"/>
      <c r="X57" s="2">
        <f t="shared" si="42"/>
        <v>17917.01987928545</v>
      </c>
      <c r="Y57" s="2">
        <f t="shared" si="42"/>
        <v>62133.310175244107</v>
      </c>
      <c r="Z57" s="2">
        <f t="shared" si="22"/>
        <v>302429.5032698664</v>
      </c>
      <c r="AA57" s="2">
        <f t="shared" ref="AA57:AA64" si="45">Z57-Z56</f>
        <v>10447.744228964613</v>
      </c>
      <c r="AB57" s="6">
        <f t="shared" ref="AB57:AB64" si="46">(AA57/Z56)</f>
        <v>3.578218126804647E-2</v>
      </c>
      <c r="AC57" s="7">
        <f t="shared" si="25"/>
        <v>1.0357821812680466</v>
      </c>
      <c r="AD57" s="2">
        <f t="shared" si="26"/>
        <v>0</v>
      </c>
      <c r="AF57">
        <f t="shared" si="7"/>
        <v>2007</v>
      </c>
      <c r="AG57" s="6">
        <f t="shared" si="44"/>
        <v>0.22154427535086793</v>
      </c>
      <c r="AH57" s="7"/>
      <c r="AI57" s="6">
        <f t="shared" si="43"/>
        <v>0.38394810711071536</v>
      </c>
      <c r="AJ57" s="6">
        <f t="shared" si="43"/>
        <v>0.12981674184994804</v>
      </c>
      <c r="AK57" s="7"/>
      <c r="AL57" s="6">
        <f t="shared" si="34"/>
        <v>5.9243624334156267E-2</v>
      </c>
      <c r="AM57" s="6">
        <f t="shared" si="8"/>
        <v>0.20544725135431247</v>
      </c>
      <c r="AN57" s="6">
        <f t="shared" si="27"/>
        <v>1.0000000000000002</v>
      </c>
      <c r="AO57" s="7">
        <f t="shared" si="28"/>
        <v>0.7945527486456877</v>
      </c>
      <c r="AP57" s="7">
        <f t="shared" si="29"/>
        <v>0</v>
      </c>
    </row>
    <row r="58" spans="1:42" x14ac:dyDescent="0.2">
      <c r="A58">
        <f t="shared" si="5"/>
        <v>2008</v>
      </c>
      <c r="B58" s="2">
        <f t="shared" si="37"/>
        <v>42197.560537357327</v>
      </c>
      <c r="C58" s="2"/>
      <c r="D58" s="2">
        <f t="shared" si="38"/>
        <v>67552.362816795707</v>
      </c>
      <c r="E58" s="2">
        <f t="shared" si="39"/>
        <v>25099.18187349939</v>
      </c>
      <c r="F58" s="2"/>
      <c r="G58" s="2">
        <f t="shared" si="31"/>
        <v>10015.434942321774</v>
      </c>
      <c r="H58" s="2">
        <f t="shared" si="12"/>
        <v>65271.042339093932</v>
      </c>
      <c r="I58" s="2">
        <f t="shared" si="13"/>
        <v>210135.5825090681</v>
      </c>
      <c r="J58" s="2">
        <f t="shared" si="14"/>
        <v>-99183.435843498184</v>
      </c>
      <c r="K58" s="6">
        <f t="shared" si="15"/>
        <v>-0.32065094597722882</v>
      </c>
      <c r="L58" s="7">
        <f t="shared" si="16"/>
        <v>0.67934905402277113</v>
      </c>
      <c r="N58">
        <f t="shared" si="17"/>
        <v>2008</v>
      </c>
      <c r="O58" s="2">
        <f t="shared" si="18"/>
        <v>7171.9852010905988</v>
      </c>
      <c r="P58" s="2"/>
      <c r="Q58" s="2"/>
      <c r="R58">
        <f t="shared" si="19"/>
        <v>2008</v>
      </c>
      <c r="S58" s="2">
        <f t="shared" si="40"/>
        <v>40763.163497139205</v>
      </c>
      <c r="T58" s="2"/>
      <c r="U58" s="2">
        <f t="shared" si="41"/>
        <v>66117.965776577592</v>
      </c>
      <c r="V58" s="2">
        <f t="shared" si="41"/>
        <v>23664.784833281272</v>
      </c>
      <c r="W58" s="2"/>
      <c r="X58" s="2">
        <f t="shared" si="42"/>
        <v>8581.0379021036533</v>
      </c>
      <c r="Y58" s="2">
        <f t="shared" si="42"/>
        <v>63836.64529887581</v>
      </c>
      <c r="Z58" s="2">
        <f t="shared" si="22"/>
        <v>202963.59730797753</v>
      </c>
      <c r="AA58" s="2">
        <f t="shared" si="45"/>
        <v>-99465.905961888871</v>
      </c>
      <c r="AB58" s="6">
        <f t="shared" si="46"/>
        <v>-0.32888955900950123</v>
      </c>
      <c r="AC58" s="7">
        <f t="shared" si="25"/>
        <v>0.67111044099049877</v>
      </c>
      <c r="AD58" s="2">
        <f t="shared" si="26"/>
        <v>0</v>
      </c>
      <c r="AF58">
        <f t="shared" si="7"/>
        <v>2008</v>
      </c>
      <c r="AG58" s="6">
        <f t="shared" si="44"/>
        <v>0.20083977638258485</v>
      </c>
      <c r="AH58" s="7"/>
      <c r="AI58" s="6">
        <f t="shared" si="43"/>
        <v>0.32576268184806562</v>
      </c>
      <c r="AJ58" s="6">
        <f t="shared" si="43"/>
        <v>0.11659620319683367</v>
      </c>
      <c r="AK58" s="7"/>
      <c r="AL58" s="6">
        <f t="shared" si="34"/>
        <v>4.2278704240163632E-2</v>
      </c>
      <c r="AM58" s="6">
        <f t="shared" si="8"/>
        <v>0.31452263433235222</v>
      </c>
      <c r="AN58" s="6">
        <f t="shared" si="27"/>
        <v>1</v>
      </c>
      <c r="AO58" s="7">
        <f t="shared" si="28"/>
        <v>0.68547736566764772</v>
      </c>
      <c r="AP58" s="7">
        <f t="shared" si="29"/>
        <v>0</v>
      </c>
    </row>
    <row r="59" spans="1:42" x14ac:dyDescent="0.2">
      <c r="A59">
        <f t="shared" si="5"/>
        <v>2009</v>
      </c>
      <c r="B59" s="2">
        <f t="shared" si="37"/>
        <v>51561.325507531379</v>
      </c>
      <c r="C59" s="2"/>
      <c r="D59" s="2">
        <f t="shared" si="38"/>
        <v>92709.289252601564</v>
      </c>
      <c r="E59" s="2">
        <f t="shared" si="39"/>
        <v>32212.031819365802</v>
      </c>
      <c r="F59" s="2"/>
      <c r="G59" s="2">
        <f t="shared" si="31"/>
        <v>11732.595692409262</v>
      </c>
      <c r="H59" s="2">
        <f t="shared" si="12"/>
        <v>67622.158365099138</v>
      </c>
      <c r="I59" s="2">
        <f t="shared" si="13"/>
        <v>255837.40063700714</v>
      </c>
      <c r="J59" s="2">
        <f t="shared" si="14"/>
        <v>45701.818127939041</v>
      </c>
      <c r="K59" s="6">
        <f t="shared" si="15"/>
        <v>0.21748728883632473</v>
      </c>
      <c r="L59" s="7">
        <f t="shared" si="16"/>
        <v>1.2174872888363248</v>
      </c>
      <c r="N59">
        <f t="shared" si="17"/>
        <v>2009</v>
      </c>
      <c r="O59" s="2">
        <f t="shared" si="18"/>
        <v>7171.9852010905988</v>
      </c>
      <c r="P59" s="2"/>
      <c r="Q59" s="2"/>
      <c r="R59">
        <f t="shared" si="19"/>
        <v>2009</v>
      </c>
      <c r="S59" s="2">
        <f t="shared" si="40"/>
        <v>50126.928467313257</v>
      </c>
      <c r="T59" s="2"/>
      <c r="U59" s="2">
        <f t="shared" si="41"/>
        <v>91274.892212383449</v>
      </c>
      <c r="V59" s="2">
        <f t="shared" si="41"/>
        <v>30777.634779147684</v>
      </c>
      <c r="W59" s="2"/>
      <c r="X59" s="2">
        <f t="shared" si="42"/>
        <v>10298.198652191142</v>
      </c>
      <c r="Y59" s="2">
        <f t="shared" si="42"/>
        <v>66187.761324881023</v>
      </c>
      <c r="Z59" s="2">
        <f t="shared" si="22"/>
        <v>248665.41543591657</v>
      </c>
      <c r="AA59" s="2">
        <f t="shared" si="45"/>
        <v>45701.818127939041</v>
      </c>
      <c r="AB59" s="6">
        <f t="shared" si="46"/>
        <v>0.22517248774710558</v>
      </c>
      <c r="AC59" s="7">
        <f t="shared" si="25"/>
        <v>1.2251724877471055</v>
      </c>
      <c r="AD59" s="2">
        <f t="shared" si="26"/>
        <v>0</v>
      </c>
      <c r="AF59">
        <f t="shared" si="7"/>
        <v>2009</v>
      </c>
      <c r="AG59" s="6">
        <f t="shared" si="44"/>
        <v>0.2015838365759047</v>
      </c>
      <c r="AH59" s="7"/>
      <c r="AI59" s="6">
        <f t="shared" si="43"/>
        <v>0.36705905424112284</v>
      </c>
      <c r="AJ59" s="6">
        <f t="shared" si="43"/>
        <v>0.12377127203312023</v>
      </c>
      <c r="AK59" s="7"/>
      <c r="AL59" s="6">
        <f t="shared" si="34"/>
        <v>4.1413875886753881E-2</v>
      </c>
      <c r="AM59" s="6">
        <f t="shared" si="8"/>
        <v>0.26617196126309828</v>
      </c>
      <c r="AN59" s="6">
        <f t="shared" si="27"/>
        <v>0.99999999999999989</v>
      </c>
      <c r="AO59" s="7">
        <f t="shared" si="28"/>
        <v>0.73382803873690161</v>
      </c>
      <c r="AP59" s="7">
        <f t="shared" si="29"/>
        <v>0</v>
      </c>
    </row>
    <row r="60" spans="1:42" x14ac:dyDescent="0.2">
      <c r="A60">
        <f t="shared" si="5"/>
        <v>2010</v>
      </c>
      <c r="B60" s="2">
        <f t="shared" si="37"/>
        <v>57600.853501789665</v>
      </c>
      <c r="C60" s="2"/>
      <c r="D60" s="2">
        <f t="shared" si="38"/>
        <v>114513.47976965627</v>
      </c>
      <c r="E60" s="2">
        <f t="shared" si="39"/>
        <v>39309.195139927426</v>
      </c>
      <c r="F60" s="2"/>
      <c r="G60" s="2">
        <f t="shared" si="31"/>
        <v>11443.358342314797</v>
      </c>
      <c r="H60" s="2">
        <f t="shared" si="12"/>
        <v>70437.015601938387</v>
      </c>
      <c r="I60" s="2">
        <f t="shared" si="13"/>
        <v>293303.90235562657</v>
      </c>
      <c r="J60" s="2">
        <f t="shared" si="14"/>
        <v>37466.501718619431</v>
      </c>
      <c r="K60" s="6">
        <f t="shared" si="15"/>
        <v>0.14644653840811367</v>
      </c>
      <c r="L60" s="7">
        <f t="shared" si="16"/>
        <v>1.1464465384081137</v>
      </c>
      <c r="N60">
        <f t="shared" si="17"/>
        <v>2010</v>
      </c>
      <c r="O60" s="2">
        <f t="shared" si="18"/>
        <v>7372.8007867211354</v>
      </c>
      <c r="P60" s="2"/>
      <c r="Q60" s="2"/>
      <c r="R60">
        <f t="shared" si="19"/>
        <v>2010</v>
      </c>
      <c r="S60" s="2">
        <f t="shared" si="40"/>
        <v>56126.293344445439</v>
      </c>
      <c r="T60" s="2"/>
      <c r="U60" s="2">
        <f t="shared" si="41"/>
        <v>113038.91961231205</v>
      </c>
      <c r="V60" s="2">
        <f t="shared" si="41"/>
        <v>37834.6349825832</v>
      </c>
      <c r="W60" s="2"/>
      <c r="X60" s="2">
        <f t="shared" si="42"/>
        <v>9968.7981849705702</v>
      </c>
      <c r="Y60" s="2">
        <f t="shared" si="42"/>
        <v>68962.455444594161</v>
      </c>
      <c r="Z60" s="2">
        <f t="shared" si="22"/>
        <v>285931.1015689054</v>
      </c>
      <c r="AA60" s="2">
        <f t="shared" si="45"/>
        <v>37265.686132988834</v>
      </c>
      <c r="AB60" s="6">
        <f t="shared" si="46"/>
        <v>0.14986276265101511</v>
      </c>
      <c r="AC60" s="7">
        <f t="shared" si="25"/>
        <v>1.1498627626510152</v>
      </c>
      <c r="AD60" s="2">
        <f t="shared" si="26"/>
        <v>0</v>
      </c>
      <c r="AF60">
        <f t="shared" si="7"/>
        <v>2010</v>
      </c>
      <c r="AG60" s="6">
        <f t="shared" si="44"/>
        <v>0.19629306863254883</v>
      </c>
      <c r="AH60" s="7"/>
      <c r="AI60" s="6">
        <f t="shared" si="43"/>
        <v>0.39533621558503751</v>
      </c>
      <c r="AJ60" s="6">
        <f t="shared" si="43"/>
        <v>0.13232081006572691</v>
      </c>
      <c r="AK60" s="7"/>
      <c r="AL60" s="6">
        <f t="shared" si="34"/>
        <v>3.4864336654081084E-2</v>
      </c>
      <c r="AM60" s="6">
        <f t="shared" si="8"/>
        <v>0.24118556906260571</v>
      </c>
      <c r="AN60" s="6">
        <f t="shared" si="27"/>
        <v>1</v>
      </c>
      <c r="AO60" s="7">
        <f t="shared" si="28"/>
        <v>0.75881443093739431</v>
      </c>
      <c r="AP60" s="7">
        <f t="shared" si="29"/>
        <v>0</v>
      </c>
    </row>
    <row r="61" spans="1:42" x14ac:dyDescent="0.2">
      <c r="A61">
        <f t="shared" si="5"/>
        <v>2011</v>
      </c>
      <c r="B61" s="2">
        <f t="shared" si="37"/>
        <v>57231.98132333102</v>
      </c>
      <c r="C61" s="2"/>
      <c r="D61" s="2">
        <f t="shared" si="38"/>
        <v>110653.79840849226</v>
      </c>
      <c r="E61" s="2">
        <f t="shared" si="39"/>
        <v>36775.26520307087</v>
      </c>
      <c r="F61" s="2"/>
      <c r="G61" s="2">
        <f t="shared" si="31"/>
        <v>8517.3411692388563</v>
      </c>
      <c r="H61" s="2">
        <f t="shared" si="12"/>
        <v>74176.017076205491</v>
      </c>
      <c r="I61" s="2">
        <f t="shared" si="13"/>
        <v>287354.40318033844</v>
      </c>
      <c r="J61" s="2">
        <f t="shared" si="14"/>
        <v>-5949.4991752881324</v>
      </c>
      <c r="K61" s="6">
        <f t="shared" si="15"/>
        <v>-2.0284418746241071E-2</v>
      </c>
      <c r="L61" s="7">
        <f t="shared" si="16"/>
        <v>0.9797155812537589</v>
      </c>
      <c r="N61">
        <f t="shared" si="17"/>
        <v>2011</v>
      </c>
      <c r="O61" s="2">
        <f t="shared" si="18"/>
        <v>7476.0199977352313</v>
      </c>
      <c r="P61" s="2"/>
      <c r="Q61" s="2"/>
      <c r="R61">
        <f t="shared" si="19"/>
        <v>2011</v>
      </c>
      <c r="S61" s="2">
        <f t="shared" si="40"/>
        <v>55736.777323783972</v>
      </c>
      <c r="T61" s="2"/>
      <c r="U61" s="2">
        <f t="shared" si="41"/>
        <v>109158.59440894522</v>
      </c>
      <c r="V61" s="2">
        <f t="shared" si="41"/>
        <v>35280.061203523823</v>
      </c>
      <c r="W61" s="2"/>
      <c r="X61" s="2">
        <f t="shared" si="42"/>
        <v>7022.1371696918104</v>
      </c>
      <c r="Y61" s="2">
        <f t="shared" si="42"/>
        <v>72680.813076658451</v>
      </c>
      <c r="Z61" s="2">
        <f t="shared" si="22"/>
        <v>279878.38318260328</v>
      </c>
      <c r="AA61" s="2">
        <f t="shared" si="45"/>
        <v>-6052.7183863021201</v>
      </c>
      <c r="AB61" s="6">
        <f t="shared" si="46"/>
        <v>-2.1168450557112618E-2</v>
      </c>
      <c r="AC61" s="7">
        <f t="shared" si="25"/>
        <v>0.97883154944288742</v>
      </c>
      <c r="AD61" s="2">
        <f t="shared" si="26"/>
        <v>0</v>
      </c>
      <c r="AF61">
        <f t="shared" si="7"/>
        <v>2011</v>
      </c>
      <c r="AG61" s="6">
        <f t="shared" si="44"/>
        <v>0.19914641741880859</v>
      </c>
      <c r="AH61" s="7"/>
      <c r="AI61" s="6">
        <f t="shared" si="43"/>
        <v>0.3900215270920942</v>
      </c>
      <c r="AJ61" s="6">
        <f t="shared" si="43"/>
        <v>0.12605497002784161</v>
      </c>
      <c r="AK61" s="7"/>
      <c r="AL61" s="6">
        <f t="shared" si="34"/>
        <v>2.5089959038066552E-2</v>
      </c>
      <c r="AM61" s="6">
        <f t="shared" si="8"/>
        <v>0.25968712642318909</v>
      </c>
      <c r="AN61" s="6">
        <f t="shared" si="27"/>
        <v>1</v>
      </c>
      <c r="AO61" s="7">
        <f t="shared" si="28"/>
        <v>0.74031287357681097</v>
      </c>
      <c r="AP61" s="7">
        <f t="shared" si="29"/>
        <v>0</v>
      </c>
    </row>
    <row r="62" spans="1:42" x14ac:dyDescent="0.2">
      <c r="A62">
        <f t="shared" si="5"/>
        <v>2012</v>
      </c>
      <c r="B62" s="2">
        <f t="shared" si="37"/>
        <v>64554.335496406587</v>
      </c>
      <c r="C62" s="2"/>
      <c r="D62" s="2">
        <f t="shared" si="38"/>
        <v>126405.65232555856</v>
      </c>
      <c r="E62" s="2">
        <f t="shared" si="39"/>
        <v>41644.584244639525</v>
      </c>
      <c r="F62" s="2"/>
      <c r="G62" s="2">
        <f t="shared" si="31"/>
        <v>8295.9528522739056</v>
      </c>
      <c r="H62" s="2">
        <f t="shared" si="12"/>
        <v>75624.386006263114</v>
      </c>
      <c r="I62" s="2">
        <f t="shared" si="13"/>
        <v>316524.91092514171</v>
      </c>
      <c r="J62" s="2">
        <f t="shared" si="14"/>
        <v>29170.507744803268</v>
      </c>
      <c r="K62" s="6">
        <f t="shared" si="15"/>
        <v>0.10151404475433211</v>
      </c>
      <c r="L62" s="7">
        <f t="shared" si="16"/>
        <v>1.1015140447543321</v>
      </c>
      <c r="N62">
        <f t="shared" si="17"/>
        <v>2012</v>
      </c>
      <c r="O62" s="2">
        <f t="shared" si="18"/>
        <v>7700.3005976672885</v>
      </c>
      <c r="P62" s="2"/>
      <c r="Q62" s="2"/>
      <c r="R62">
        <f t="shared" si="19"/>
        <v>2012</v>
      </c>
      <c r="S62" s="2">
        <f t="shared" si="40"/>
        <v>63014.275376873127</v>
      </c>
      <c r="T62" s="2"/>
      <c r="U62" s="2">
        <f t="shared" si="41"/>
        <v>124865.5922060251</v>
      </c>
      <c r="V62" s="2">
        <f t="shared" si="41"/>
        <v>40104.524125106065</v>
      </c>
      <c r="W62" s="2"/>
      <c r="X62" s="2">
        <f t="shared" si="42"/>
        <v>6755.8927327404481</v>
      </c>
      <c r="Y62" s="2">
        <f t="shared" si="42"/>
        <v>74084.325886729654</v>
      </c>
      <c r="Z62" s="2">
        <f t="shared" si="22"/>
        <v>308824.61032747437</v>
      </c>
      <c r="AA62" s="2">
        <f t="shared" si="45"/>
        <v>28946.227144871082</v>
      </c>
      <c r="AB62" s="6">
        <f t="shared" si="46"/>
        <v>0.10342430457012275</v>
      </c>
      <c r="AC62" s="7">
        <f t="shared" si="25"/>
        <v>1.1034243045701229</v>
      </c>
      <c r="AD62" s="2">
        <f t="shared" si="26"/>
        <v>0</v>
      </c>
      <c r="AF62">
        <f t="shared" si="7"/>
        <v>2012</v>
      </c>
      <c r="AG62" s="6">
        <f t="shared" si="44"/>
        <v>0.2040455108485475</v>
      </c>
      <c r="AH62" s="7"/>
      <c r="AI62" s="6">
        <f t="shared" si="43"/>
        <v>0.40432526434217447</v>
      </c>
      <c r="AJ62" s="6">
        <f t="shared" si="43"/>
        <v>0.12986181406520564</v>
      </c>
      <c r="AK62" s="7"/>
      <c r="AL62" s="6">
        <f t="shared" si="34"/>
        <v>2.1876147518089865E-2</v>
      </c>
      <c r="AM62" s="6">
        <f t="shared" si="8"/>
        <v>0.23989126322598259</v>
      </c>
      <c r="AN62" s="6">
        <f t="shared" si="27"/>
        <v>1</v>
      </c>
      <c r="AO62" s="7">
        <f t="shared" si="28"/>
        <v>0.76010873677401747</v>
      </c>
      <c r="AP62" s="7">
        <f t="shared" si="29"/>
        <v>0</v>
      </c>
    </row>
    <row r="63" spans="1:42" x14ac:dyDescent="0.2">
      <c r="A63">
        <f t="shared" si="5"/>
        <v>2013</v>
      </c>
      <c r="B63" s="2">
        <f t="shared" si="37"/>
        <v>83292.269193150903</v>
      </c>
      <c r="C63" s="2"/>
      <c r="D63" s="2">
        <f t="shared" si="38"/>
        <v>168568.54947813391</v>
      </c>
      <c r="E63" s="2">
        <f t="shared" si="39"/>
        <v>55191.846100970964</v>
      </c>
      <c r="F63" s="2"/>
      <c r="G63" s="2">
        <f t="shared" si="31"/>
        <v>7771.9789997446105</v>
      </c>
      <c r="H63" s="2">
        <f t="shared" si="12"/>
        <v>72410.020121689566</v>
      </c>
      <c r="I63" s="2">
        <f t="shared" si="13"/>
        <v>387234.66389368998</v>
      </c>
      <c r="J63" s="2">
        <f t="shared" si="14"/>
        <v>70709.752968548273</v>
      </c>
      <c r="K63" s="6">
        <f t="shared" si="15"/>
        <v>0.22339395898375647</v>
      </c>
      <c r="L63" s="7">
        <f t="shared" si="16"/>
        <v>1.2233939589837566</v>
      </c>
      <c r="N63">
        <f t="shared" si="17"/>
        <v>2013</v>
      </c>
      <c r="O63" s="2">
        <f t="shared" si="18"/>
        <v>7838.9060084252997</v>
      </c>
      <c r="P63" s="2"/>
      <c r="Q63" s="2"/>
      <c r="R63">
        <f t="shared" si="19"/>
        <v>2013</v>
      </c>
      <c r="S63" s="2">
        <f t="shared" si="40"/>
        <v>81724.487991465838</v>
      </c>
      <c r="T63" s="2"/>
      <c r="U63" s="2">
        <f t="shared" si="41"/>
        <v>167000.76827644886</v>
      </c>
      <c r="V63" s="2">
        <f t="shared" si="41"/>
        <v>53624.064899285906</v>
      </c>
      <c r="W63" s="2"/>
      <c r="X63" s="2">
        <f t="shared" si="42"/>
        <v>6204.1977980595511</v>
      </c>
      <c r="Y63" s="2">
        <f t="shared" si="42"/>
        <v>70842.2389200045</v>
      </c>
      <c r="Z63" s="2">
        <f t="shared" si="22"/>
        <v>379395.75788526464</v>
      </c>
      <c r="AA63" s="2">
        <f t="shared" si="45"/>
        <v>70571.147557790275</v>
      </c>
      <c r="AB63" s="6">
        <f t="shared" si="46"/>
        <v>0.22851529702557505</v>
      </c>
      <c r="AC63" s="7">
        <f t="shared" si="25"/>
        <v>1.228515297025575</v>
      </c>
      <c r="AD63" s="2">
        <f t="shared" si="26"/>
        <v>0</v>
      </c>
      <c r="AF63">
        <f t="shared" si="7"/>
        <v>2013</v>
      </c>
      <c r="AG63" s="6">
        <f t="shared" si="44"/>
        <v>0.21540696302719503</v>
      </c>
      <c r="AH63" s="7"/>
      <c r="AI63" s="6">
        <f t="shared" si="43"/>
        <v>0.44017563403266247</v>
      </c>
      <c r="AJ63" s="6">
        <f t="shared" si="43"/>
        <v>0.14134070765098719</v>
      </c>
      <c r="AK63" s="7"/>
      <c r="AL63" s="6">
        <f t="shared" si="34"/>
        <v>1.6352839137267844E-2</v>
      </c>
      <c r="AM63" s="6">
        <f t="shared" si="8"/>
        <v>0.18672385615188752</v>
      </c>
      <c r="AN63" s="6">
        <f t="shared" si="27"/>
        <v>1</v>
      </c>
      <c r="AO63" s="7">
        <f t="shared" si="28"/>
        <v>0.81327614384811242</v>
      </c>
      <c r="AP63" s="7">
        <f t="shared" si="29"/>
        <v>0</v>
      </c>
    </row>
    <row r="64" spans="1:42" x14ac:dyDescent="0.2">
      <c r="A64">
        <f t="shared" si="5"/>
        <v>2014</v>
      </c>
      <c r="B64" s="2">
        <f t="shared" si="37"/>
        <v>92765.466319112878</v>
      </c>
      <c r="C64" s="2"/>
      <c r="D64" s="2">
        <f t="shared" si="38"/>
        <v>189712.87276204591</v>
      </c>
      <c r="E64" s="2">
        <f t="shared" si="39"/>
        <v>57576.15848236328</v>
      </c>
      <c r="F64" s="2"/>
      <c r="G64" s="2">
        <f t="shared" si="31"/>
        <v>5941.1398114218264</v>
      </c>
      <c r="H64" s="2">
        <f t="shared" si="12"/>
        <v>74922.751881796765</v>
      </c>
      <c r="I64" s="2">
        <f t="shared" si="13"/>
        <v>420918.38925674063</v>
      </c>
      <c r="J64" s="2">
        <f t="shared" si="14"/>
        <v>33683.725363050646</v>
      </c>
      <c r="K64" s="6">
        <f t="shared" si="15"/>
        <v>8.6985305045671368E-2</v>
      </c>
      <c r="L64" s="7">
        <f t="shared" si="16"/>
        <v>1.0869853050456713</v>
      </c>
      <c r="N64">
        <f t="shared" si="17"/>
        <v>2014</v>
      </c>
      <c r="O64" s="2">
        <f t="shared" si="18"/>
        <v>7929.4917560490194</v>
      </c>
      <c r="P64" s="2"/>
      <c r="Q64" s="2"/>
      <c r="R64">
        <f t="shared" si="19"/>
        <v>2014</v>
      </c>
      <c r="S64" s="2">
        <f t="shared" si="40"/>
        <v>91179.567967903073</v>
      </c>
      <c r="T64" s="2"/>
      <c r="U64" s="2">
        <f t="shared" si="41"/>
        <v>188126.97441083612</v>
      </c>
      <c r="V64" s="2">
        <f t="shared" si="41"/>
        <v>55990.260131153475</v>
      </c>
      <c r="W64" s="2"/>
      <c r="X64" s="2">
        <f t="shared" si="42"/>
        <v>4355.2414602120225</v>
      </c>
      <c r="Y64" s="2">
        <f t="shared" si="42"/>
        <v>73336.853530586959</v>
      </c>
      <c r="Z64" s="2">
        <f t="shared" si="22"/>
        <v>412988.8975006917</v>
      </c>
      <c r="AA64" s="2">
        <f t="shared" si="45"/>
        <v>33593.139615427062</v>
      </c>
      <c r="AB64" s="6">
        <f t="shared" si="46"/>
        <v>8.8543793432677667E-2</v>
      </c>
      <c r="AC64" s="7">
        <f t="shared" si="25"/>
        <v>1.0885437934326776</v>
      </c>
      <c r="AD64" s="2">
        <f t="shared" si="26"/>
        <v>0</v>
      </c>
      <c r="AF64">
        <f t="shared" si="7"/>
        <v>2014</v>
      </c>
      <c r="AG64" s="6">
        <f t="shared" si="44"/>
        <v>0.22077970744419434</v>
      </c>
      <c r="AH64" s="7"/>
      <c r="AI64" s="6">
        <f t="shared" si="43"/>
        <v>0.45552550092589605</v>
      </c>
      <c r="AJ64" s="6">
        <f t="shared" si="43"/>
        <v>0.13557328167898194</v>
      </c>
      <c r="AK64" s="7"/>
      <c r="AL64" s="6">
        <f t="shared" si="34"/>
        <v>1.0545662332737959E-2</v>
      </c>
      <c r="AM64" s="6">
        <f t="shared" si="8"/>
        <v>0.17757584761818962</v>
      </c>
      <c r="AN64" s="6">
        <f t="shared" si="27"/>
        <v>1</v>
      </c>
      <c r="AO64" s="7">
        <f t="shared" si="28"/>
        <v>0.82242415238181032</v>
      </c>
      <c r="AP64" s="7">
        <f t="shared" si="29"/>
        <v>0</v>
      </c>
    </row>
    <row r="65" spans="1:36" x14ac:dyDescent="0.2">
      <c r="A65" s="9" t="s">
        <v>78</v>
      </c>
      <c r="B65" s="10">
        <f>S64</f>
        <v>91179.567967903073</v>
      </c>
      <c r="C65" s="10"/>
      <c r="D65" s="10">
        <f>U64</f>
        <v>188126.97441083612</v>
      </c>
      <c r="E65" s="10">
        <f>V64</f>
        <v>55990.260131153475</v>
      </c>
      <c r="F65" s="10"/>
      <c r="G65" s="10">
        <f>X64</f>
        <v>4355.2414602120225</v>
      </c>
      <c r="H65" s="10">
        <f>Y64</f>
        <v>73336.853530586959</v>
      </c>
      <c r="I65" s="10">
        <f>SUM(B65:H65)</f>
        <v>412988.8975006917</v>
      </c>
      <c r="J65" s="10"/>
      <c r="K65" s="10"/>
      <c r="N65" t="s">
        <v>40</v>
      </c>
      <c r="O65" s="2">
        <f>O64</f>
        <v>7929.4917560490194</v>
      </c>
      <c r="P65" s="2"/>
      <c r="R65" s="9" t="s">
        <v>78</v>
      </c>
      <c r="S65" s="10">
        <f>S64</f>
        <v>91179.567967903073</v>
      </c>
      <c r="T65" s="10"/>
      <c r="U65" s="10">
        <f>U64</f>
        <v>188126.97441083612</v>
      </c>
      <c r="V65" s="10">
        <f>V64</f>
        <v>55990.260131153475</v>
      </c>
      <c r="W65" s="10"/>
      <c r="X65" s="10">
        <f>X64</f>
        <v>4355.2414602120225</v>
      </c>
      <c r="Y65" s="10">
        <f>Y64</f>
        <v>73336.853530586959</v>
      </c>
      <c r="Z65" s="10">
        <f>SUM(S65:Y65)</f>
        <v>412988.8975006917</v>
      </c>
      <c r="AA65" s="43"/>
      <c r="AB65" s="43"/>
      <c r="AC65" s="43"/>
      <c r="AD65" s="43"/>
      <c r="AJ65" s="7"/>
    </row>
    <row r="66" spans="1:36" x14ac:dyDescent="0.2">
      <c r="A66" s="11" t="s">
        <v>11</v>
      </c>
      <c r="I66" s="6">
        <f>(Z65-Z39)/Z39</f>
        <v>3.1298889750069172</v>
      </c>
      <c r="K66" s="6"/>
      <c r="N66" t="s">
        <v>70</v>
      </c>
      <c r="O66" s="2">
        <f>SUM(O40:O64)</f>
        <v>153095.61715261915</v>
      </c>
      <c r="P66" s="2"/>
      <c r="AH66" s="7"/>
      <c r="AJ66" s="7"/>
    </row>
    <row r="67" spans="1:36" x14ac:dyDescent="0.2">
      <c r="A67" s="1" t="s">
        <v>12</v>
      </c>
      <c r="I67" s="12">
        <f>STDEV(AC40:AC64)</f>
        <v>0.13112745436008305</v>
      </c>
      <c r="AI67" s="7"/>
    </row>
    <row r="68" spans="1:36" x14ac:dyDescent="0.2">
      <c r="A68" s="1" t="s">
        <v>13</v>
      </c>
      <c r="I68" s="13">
        <f>((1+I66)^(1/I75))-1</f>
        <v>5.8370034096637102E-2</v>
      </c>
    </row>
    <row r="69" spans="1:36" x14ac:dyDescent="0.2">
      <c r="A69" s="1" t="s">
        <v>82</v>
      </c>
      <c r="I69" s="31">
        <f>J60</f>
        <v>37466.501718619431</v>
      </c>
      <c r="O69" s="2"/>
      <c r="P69" s="2"/>
    </row>
    <row r="70" spans="1:36" x14ac:dyDescent="0.2">
      <c r="A70" s="1" t="s">
        <v>83</v>
      </c>
      <c r="I70" s="32">
        <f>K60</f>
        <v>0.14644653840811367</v>
      </c>
    </row>
    <row r="71" spans="1:36" x14ac:dyDescent="0.2">
      <c r="A71" s="1" t="s">
        <v>42</v>
      </c>
      <c r="I71" s="2">
        <f>O66</f>
        <v>153095.61715261915</v>
      </c>
    </row>
    <row r="72" spans="1:36" x14ac:dyDescent="0.2">
      <c r="A72" s="3" t="s">
        <v>84</v>
      </c>
      <c r="I72" s="33">
        <f>I65-Z64</f>
        <v>0</v>
      </c>
    </row>
    <row r="73" spans="1:36" x14ac:dyDescent="0.2">
      <c r="A73" s="3" t="s">
        <v>148</v>
      </c>
      <c r="I73" s="33">
        <f>((SUM(AA40:AA64)))-(I65-I39)</f>
        <v>0</v>
      </c>
    </row>
    <row r="74" spans="1:36" x14ac:dyDescent="0.2">
      <c r="A74" s="3" t="s">
        <v>147</v>
      </c>
      <c r="I74" s="33">
        <f>(SUM(O40:O64))-I71</f>
        <v>0</v>
      </c>
    </row>
    <row r="75" spans="1:36" x14ac:dyDescent="0.2">
      <c r="A75" s="3" t="s">
        <v>159</v>
      </c>
      <c r="I75" s="3">
        <f>COUNTA(I40:I64)</f>
        <v>25</v>
      </c>
    </row>
    <row r="76" spans="1:36" x14ac:dyDescent="0.2">
      <c r="A76" s="1" t="s">
        <v>105</v>
      </c>
      <c r="B76" s="63"/>
      <c r="C76" s="63"/>
      <c r="D76" s="63"/>
      <c r="E76" s="63"/>
      <c r="G76" s="63"/>
      <c r="H76" s="63"/>
      <c r="I76" s="85">
        <f>(SUM(B65:G65)/I65)</f>
        <v>0.82242415238181032</v>
      </c>
    </row>
    <row r="77" spans="1:36" x14ac:dyDescent="0.2">
      <c r="A77" s="1" t="s">
        <v>106</v>
      </c>
      <c r="B77" s="63"/>
      <c r="C77" s="63"/>
      <c r="D77" s="63"/>
      <c r="E77" s="63"/>
      <c r="G77" s="63"/>
      <c r="H77" s="63"/>
      <c r="I77" s="85">
        <f>(H65/I65)</f>
        <v>0.17757584761818962</v>
      </c>
    </row>
    <row r="78" spans="1:36" x14ac:dyDescent="0.2">
      <c r="A78" s="3" t="s">
        <v>107</v>
      </c>
      <c r="I78" s="3">
        <f>100%-(I76+I77)</f>
        <v>0</v>
      </c>
    </row>
    <row r="79" spans="1:36" x14ac:dyDescent="0.2">
      <c r="B79" s="2"/>
      <c r="D79" s="2"/>
      <c r="E79" s="2"/>
      <c r="G79" s="2"/>
      <c r="H79" s="2"/>
      <c r="I79" s="2"/>
    </row>
  </sheetData>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33A68-D7F2-41AE-BC69-BAAB87677CEB}">
  <dimension ref="A1:BT78"/>
  <sheetViews>
    <sheetView topLeftCell="A36" zoomScale="120" zoomScaleNormal="120" workbookViewId="0">
      <pane xSplit="36080" topLeftCell="AV1"/>
      <selection activeCell="A76" sqref="A76:I78"/>
      <selection pane="topRight" activeCell="A30" sqref="A30"/>
    </sheetView>
  </sheetViews>
  <sheetFormatPr baseColWidth="10" defaultColWidth="8.83203125" defaultRowHeight="15" x14ac:dyDescent="0.2"/>
  <cols>
    <col min="1" max="1" width="25.5" customWidth="1"/>
    <col min="2" max="2" width="9.33203125" bestFit="1" customWidth="1"/>
    <col min="4" max="4" width="9.33203125" bestFit="1" customWidth="1"/>
    <col min="7" max="7" width="9.83203125" bestFit="1" customWidth="1"/>
    <col min="8" max="8" width="9.33203125" bestFit="1" customWidth="1"/>
    <col min="9" max="9" width="11.6640625" customWidth="1"/>
    <col min="10" max="10" width="10" bestFit="1" customWidth="1"/>
    <col min="11" max="12" width="8.83203125" customWidth="1"/>
    <col min="15" max="15" width="9.83203125" bestFit="1" customWidth="1"/>
    <col min="16" max="16" width="9.83203125" customWidth="1"/>
    <col min="18" max="18" width="9.1640625" customWidth="1"/>
    <col min="19" max="19" width="10.83203125" bestFit="1" customWidth="1"/>
    <col min="21" max="21" width="11.83203125" bestFit="1" customWidth="1"/>
    <col min="24" max="24" width="9.83203125" bestFit="1" customWidth="1"/>
    <col min="25" max="25" width="9.33203125" bestFit="1" customWidth="1"/>
    <col min="26" max="26" width="10.83203125" bestFit="1" customWidth="1"/>
    <col min="27" max="27" width="10" bestFit="1" customWidth="1"/>
    <col min="30" max="31" width="10.83203125" customWidth="1"/>
    <col min="56" max="56" width="10.83203125" bestFit="1" customWidth="1"/>
    <col min="58" max="58" width="9.33203125" bestFit="1" customWidth="1"/>
    <col min="61" max="61" width="10.1640625" customWidth="1"/>
    <col min="62" max="63" width="9.33203125" bestFit="1" customWidth="1"/>
  </cols>
  <sheetData>
    <row r="1" spans="1:16" x14ac:dyDescent="0.2">
      <c r="A1" s="20" t="s">
        <v>49</v>
      </c>
      <c r="N1" s="20" t="s">
        <v>144</v>
      </c>
    </row>
    <row r="2" spans="1:16"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'4.5% Withdrawals-No Rebalancing'!N3</f>
        <v>Year</v>
      </c>
      <c r="O3" s="50" t="str">
        <f>'4.5% Withdrawals-No Rebalancing'!O3</f>
        <v>CPI</v>
      </c>
      <c r="P3" s="44"/>
    </row>
    <row r="4" spans="1:16" x14ac:dyDescent="0.2">
      <c r="A4" s="17">
        <f>'Non-Rebalanced Portfolio'!A4</f>
        <v>1990</v>
      </c>
      <c r="B4" s="17">
        <f>'Non-Rebalanced Portfolio'!B4</f>
        <v>-3.32</v>
      </c>
      <c r="C4" s="19">
        <f>'Non-Rebalanced Portfolio'!C4</f>
        <v>-14.045</v>
      </c>
      <c r="D4" s="17"/>
      <c r="E4" s="17"/>
      <c r="F4" s="17">
        <f>'Non-Rebalanced Portfolio'!F4</f>
        <v>-12.26</v>
      </c>
      <c r="G4" s="17"/>
      <c r="H4" s="17">
        <f>'Non-Rebalanced Portfolio'!H4</f>
        <v>8.65</v>
      </c>
      <c r="N4" s="49">
        <f>'4.5% Withdrawals-No Rebalancing'!N4</f>
        <v>1989</v>
      </c>
      <c r="O4" s="50">
        <f>'4.5% Withdrawals-No Rebalancing'!O4</f>
        <v>4.5999999999999999E-2</v>
      </c>
      <c r="P4" s="44"/>
    </row>
    <row r="5" spans="1:16" x14ac:dyDescent="0.2">
      <c r="A5" s="17">
        <f>'Non-Rebalanced Portfolio'!A5</f>
        <v>1991</v>
      </c>
      <c r="B5" s="17">
        <f>'Non-Rebalanced Portfolio'!B5</f>
        <v>30.22</v>
      </c>
      <c r="C5" s="19">
        <f>'Non-Rebalanced Portfolio'!C5</f>
        <v>41.85</v>
      </c>
      <c r="D5" s="17"/>
      <c r="E5" s="17"/>
      <c r="F5" s="17">
        <f>'Non-Rebalanced Portfolio'!F5</f>
        <v>9.9559999999999995</v>
      </c>
      <c r="G5" s="17"/>
      <c r="H5" s="17">
        <f>'Non-Rebalanced Portfolio'!H5</f>
        <v>15.25</v>
      </c>
      <c r="N5" s="49">
        <f>'4.5% Withdrawals-No Rebalancing'!N5</f>
        <v>1990</v>
      </c>
      <c r="O5" s="50">
        <f>'4.5% Withdrawals-No Rebalancing'!O5</f>
        <v>6.3E-2</v>
      </c>
      <c r="P5" s="44"/>
    </row>
    <row r="6" spans="1:16" x14ac:dyDescent="0.2">
      <c r="A6" s="17">
        <f>'Non-Rebalanced Portfolio'!A6</f>
        <v>1992</v>
      </c>
      <c r="B6" s="17">
        <f>'Non-Rebalanced Portfolio'!B6</f>
        <v>7.42</v>
      </c>
      <c r="C6" s="19">
        <f>'Non-Rebalanced Portfolio'!C6</f>
        <v>12.465999999999999</v>
      </c>
      <c r="D6" s="17"/>
      <c r="E6" s="17"/>
      <c r="F6" s="17">
        <f>'Non-Rebalanced Portfolio'!F6</f>
        <v>-8.7210000000000001</v>
      </c>
      <c r="G6" s="17"/>
      <c r="H6" s="17">
        <f>'Non-Rebalanced Portfolio'!H6</f>
        <v>7.14</v>
      </c>
      <c r="N6" s="49">
        <f>'4.5% Withdrawals-No Rebalancing'!N6</f>
        <v>1991</v>
      </c>
      <c r="O6" s="50">
        <f>'4.5% Withdrawals-No Rebalancing'!O6</f>
        <v>0.03</v>
      </c>
      <c r="P6" s="44"/>
    </row>
    <row r="7" spans="1:16" x14ac:dyDescent="0.2">
      <c r="A7" s="17">
        <f>'Non-Rebalanced Portfolio'!A7</f>
        <v>1993</v>
      </c>
      <c r="B7" s="17">
        <f>'Non-Rebalanced Portfolio'!B7</f>
        <v>9.89</v>
      </c>
      <c r="C7" s="19">
        <f>'Non-Rebalanced Portfolio'!C7</f>
        <v>14.49</v>
      </c>
      <c r="D7" s="17"/>
      <c r="E7" s="17"/>
      <c r="F7" s="17">
        <f>'Non-Rebalanced Portfolio'!F7</f>
        <v>30.494</v>
      </c>
      <c r="G7" s="17"/>
      <c r="H7" s="17">
        <f>'Non-Rebalanced Portfolio'!H7</f>
        <v>9.68</v>
      </c>
      <c r="N7" s="49">
        <f>'4.5% Withdrawals-No Rebalancing'!N7</f>
        <v>1992</v>
      </c>
      <c r="O7" s="50">
        <f>'4.5% Withdrawals-No Rebalancing'!O7</f>
        <v>0.03</v>
      </c>
      <c r="P7" s="44"/>
    </row>
    <row r="8" spans="1:16" x14ac:dyDescent="0.2">
      <c r="A8" s="17">
        <f>'Non-Rebalanced Portfolio'!A8</f>
        <v>1994</v>
      </c>
      <c r="B8" s="17">
        <f>'Non-Rebalanced Portfolio'!B8</f>
        <v>1.18</v>
      </c>
      <c r="C8" s="19">
        <f>'Non-Rebalanced Portfolio'!C8</f>
        <v>-1.764</v>
      </c>
      <c r="D8" s="17"/>
      <c r="E8" s="17"/>
      <c r="F8" s="17">
        <f>'Non-Rebalanced Portfolio'!F8</f>
        <v>5.2549999999999999</v>
      </c>
      <c r="G8" s="17"/>
      <c r="H8" s="17">
        <f>'Non-Rebalanced Portfolio'!H8</f>
        <v>-2.66</v>
      </c>
      <c r="N8" s="49">
        <f>'4.5% Withdrawals-No Rebalancing'!N8</f>
        <v>1993</v>
      </c>
      <c r="O8" s="50">
        <f>'4.5% Withdrawals-No Rebalancing'!O8</f>
        <v>2.8000000000000001E-2</v>
      </c>
      <c r="P8" s="44"/>
    </row>
    <row r="9" spans="1:16" x14ac:dyDescent="0.2">
      <c r="A9" s="17">
        <f>'Non-Rebalanced Portfolio'!A9</f>
        <v>1995</v>
      </c>
      <c r="B9" s="17">
        <f>'Non-Rebalanced Portfolio'!B9</f>
        <v>37.450000000000003</v>
      </c>
      <c r="C9" s="19">
        <f>'Non-Rebalanced Portfolio'!C9</f>
        <v>33.796999999999997</v>
      </c>
      <c r="D9" s="17"/>
      <c r="E9" s="17"/>
      <c r="F9" s="17">
        <f>'Non-Rebalanced Portfolio'!F9</f>
        <v>9.6460000000000008</v>
      </c>
      <c r="G9" s="17"/>
      <c r="H9" s="17">
        <f>'Non-Rebalanced Portfolio'!H9</f>
        <v>18.18</v>
      </c>
      <c r="N9" s="49">
        <f>'4.5% Withdrawals-No Rebalancing'!N9</f>
        <v>1994</v>
      </c>
      <c r="O9" s="50">
        <f>'4.5% Withdrawals-No Rebalancing'!O9</f>
        <v>2.5999999999999999E-2</v>
      </c>
      <c r="P9" s="44"/>
    </row>
    <row r="10" spans="1:16" x14ac:dyDescent="0.2">
      <c r="A10" s="17">
        <f>'Non-Rebalanced Portfolio'!A10</f>
        <v>1996</v>
      </c>
      <c r="B10" s="17">
        <f>'Non-Rebalanced Portfolio'!B10</f>
        <v>22.88</v>
      </c>
      <c r="C10" s="19">
        <f>'Non-Rebalanced Portfolio'!C10</f>
        <v>17.646999999999998</v>
      </c>
      <c r="D10" s="17"/>
      <c r="E10" s="17"/>
      <c r="F10" s="17">
        <f>'Non-Rebalanced Portfolio'!F10</f>
        <v>10.218999999999999</v>
      </c>
      <c r="G10" s="17"/>
      <c r="H10" s="17">
        <f>'Non-Rebalanced Portfolio'!H10</f>
        <v>3.58</v>
      </c>
      <c r="N10" s="49">
        <f>'4.5% Withdrawals-No Rebalancing'!N10</f>
        <v>1995</v>
      </c>
      <c r="O10" s="50">
        <f>'4.5% Withdrawals-No Rebalancing'!O10</f>
        <v>2.5000000000000001E-2</v>
      </c>
      <c r="P10" s="44"/>
    </row>
    <row r="11" spans="1:16" x14ac:dyDescent="0.2">
      <c r="A11" s="17">
        <f>'Non-Rebalanced Portfolio'!A11</f>
        <v>1997</v>
      </c>
      <c r="B11" s="17">
        <f>'Non-Rebalanced Portfolio'!B11</f>
        <v>33.19</v>
      </c>
      <c r="C11" s="19">
        <f>'Non-Rebalanced Portfolio'!C11</f>
        <v>26.687000000000001</v>
      </c>
      <c r="D11" s="17"/>
      <c r="E11" s="17"/>
      <c r="F11" s="17">
        <f>'Non-Rebalanced Portfolio'!F11</f>
        <v>0</v>
      </c>
      <c r="G11" s="17">
        <f>'Non-Rebalanced Portfolio'!G11</f>
        <v>-0.77500000000000002</v>
      </c>
      <c r="H11" s="17">
        <f>'Non-Rebalanced Portfolio'!H11</f>
        <v>9.44</v>
      </c>
      <c r="N11" s="49">
        <f>'4.5% Withdrawals-No Rebalancing'!N11</f>
        <v>1996</v>
      </c>
      <c r="O11" s="50">
        <f>'4.5% Withdrawals-No Rebalancing'!O11</f>
        <v>3.4000000000000002E-2</v>
      </c>
      <c r="P11" s="44"/>
    </row>
    <row r="12" spans="1:16" x14ac:dyDescent="0.2">
      <c r="A12" s="17">
        <f>'Non-Rebalanced Portfolio'!A12</f>
        <v>1998</v>
      </c>
      <c r="B12" s="17">
        <f>'Non-Rebalanced Portfolio'!B12</f>
        <v>28.66</v>
      </c>
      <c r="C12" s="19">
        <f>'Non-Rebalanced Portfolio'!C12</f>
        <v>8.3529999999999998</v>
      </c>
      <c r="D12" s="17"/>
      <c r="E12" s="17"/>
      <c r="F12" s="17">
        <f>'Non-Rebalanced Portfolio'!F12</f>
        <v>0</v>
      </c>
      <c r="G12" s="17">
        <f>'Non-Rebalanced Portfolio'!G12</f>
        <v>15.603</v>
      </c>
      <c r="H12" s="17">
        <f>'Non-Rebalanced Portfolio'!H12</f>
        <v>8.58</v>
      </c>
      <c r="N12" s="49">
        <f>'4.5% Withdrawals-No Rebalancing'!N12</f>
        <v>1997</v>
      </c>
      <c r="O12" s="50">
        <f>'4.5% Withdrawals-No Rebalancing'!O12</f>
        <v>1.7000000000000001E-2</v>
      </c>
      <c r="P12" s="44"/>
    </row>
    <row r="13" spans="1:16" x14ac:dyDescent="0.2">
      <c r="A13" s="17">
        <f>'Non-Rebalanced Portfolio'!A13</f>
        <v>1999</v>
      </c>
      <c r="B13" s="17">
        <f>'Non-Rebalanced Portfolio'!B13</f>
        <v>21.07</v>
      </c>
      <c r="C13" s="19"/>
      <c r="D13" s="17">
        <f>'Non-Rebalanced Portfolio'!D13</f>
        <v>15.319000000000001</v>
      </c>
      <c r="E13" s="17">
        <f>'Non-Rebalanced Portfolio'!E13</f>
        <v>23.132999999999999</v>
      </c>
      <c r="F13" s="17"/>
      <c r="G13" s="17">
        <f>'Non-Rebalanced Portfolio'!G13</f>
        <v>29.919</v>
      </c>
      <c r="H13" s="17">
        <f>'Non-Rebalanced Portfolio'!H13</f>
        <v>-0.76</v>
      </c>
      <c r="N13" s="49">
        <f>'4.5% Withdrawals-No Rebalancing'!N13</f>
        <v>1998</v>
      </c>
      <c r="O13" s="50">
        <f>'4.5% Withdrawals-No Rebalancing'!O13</f>
        <v>1.6E-2</v>
      </c>
      <c r="P13" s="44"/>
    </row>
    <row r="14" spans="1:16" x14ac:dyDescent="0.2">
      <c r="A14" s="17">
        <f>'Non-Rebalanced Portfolio'!A14</f>
        <v>2000</v>
      </c>
      <c r="B14" s="17">
        <f>'Non-Rebalanced Portfolio'!B14</f>
        <v>-9.06</v>
      </c>
      <c r="C14" s="19"/>
      <c r="D14" s="17">
        <f>'Non-Rebalanced Portfolio'!D14</f>
        <v>18.097999999999999</v>
      </c>
      <c r="E14" s="17">
        <f>'Non-Rebalanced Portfolio'!E14</f>
        <v>-2.665</v>
      </c>
      <c r="F14" s="17"/>
      <c r="G14" s="17">
        <f>'Non-Rebalanced Portfolio'!G14</f>
        <v>-15.614000000000001</v>
      </c>
      <c r="H14" s="17">
        <f>'Non-Rebalanced Portfolio'!H14</f>
        <v>11.39</v>
      </c>
      <c r="N14" s="49">
        <f>'4.5% Withdrawals-No Rebalancing'!N14</f>
        <v>1999</v>
      </c>
      <c r="O14" s="50">
        <f>'4.5% Withdrawals-No Rebalancing'!O14</f>
        <v>2.7E-2</v>
      </c>
      <c r="P14" s="44"/>
    </row>
    <row r="15" spans="1:16" x14ac:dyDescent="0.2">
      <c r="A15" s="17">
        <f>'Non-Rebalanced Portfolio'!A15</f>
        <v>2001</v>
      </c>
      <c r="B15" s="17">
        <f>'Non-Rebalanced Portfolio'!B15</f>
        <v>-12.02</v>
      </c>
      <c r="C15" s="17"/>
      <c r="D15" s="17">
        <f>'Non-Rebalanced Portfolio'!D15</f>
        <v>-0.499</v>
      </c>
      <c r="E15" s="17">
        <f>'Non-Rebalanced Portfolio'!E15</f>
        <v>3.1</v>
      </c>
      <c r="F15" s="17"/>
      <c r="G15" s="17">
        <f>'Non-Rebalanced Portfolio'!G15</f>
        <v>-20.152999999999999</v>
      </c>
      <c r="H15" s="17">
        <f>'Non-Rebalanced Portfolio'!H15</f>
        <v>8.43</v>
      </c>
      <c r="N15" s="49">
        <f>'4.5% Withdrawals-No Rebalancing'!N15</f>
        <v>2000</v>
      </c>
      <c r="O15" s="50">
        <f>'4.5% Withdrawals-No Rebalancing'!O15</f>
        <v>3.4000000000000002E-2</v>
      </c>
      <c r="P15" s="44"/>
    </row>
    <row r="16" spans="1:16" x14ac:dyDescent="0.2">
      <c r="A16" s="17">
        <f>'Non-Rebalanced Portfolio'!A16</f>
        <v>2002</v>
      </c>
      <c r="B16" s="17">
        <f>'Non-Rebalanced Portfolio'!B16</f>
        <v>-22.15</v>
      </c>
      <c r="C16" s="17"/>
      <c r="D16" s="17">
        <f>'Non-Rebalanced Portfolio'!D16</f>
        <v>-14.608000000000001</v>
      </c>
      <c r="E16" s="17">
        <f>'Non-Rebalanced Portfolio'!E16</f>
        <v>-20.021999999999998</v>
      </c>
      <c r="F16" s="17"/>
      <c r="G16" s="17">
        <f>'Non-Rebalanced Portfolio'!G16</f>
        <v>-15.083</v>
      </c>
      <c r="H16" s="17">
        <f>'Non-Rebalanced Portfolio'!H16</f>
        <v>8.26</v>
      </c>
      <c r="N16" s="49">
        <f>'4.5% Withdrawals-No Rebalancing'!N16</f>
        <v>2001</v>
      </c>
      <c r="O16" s="50">
        <f>'4.5% Withdrawals-No Rebalancing'!O16</f>
        <v>1.6E-2</v>
      </c>
      <c r="P16" s="44"/>
    </row>
    <row r="17" spans="1:16" x14ac:dyDescent="0.2">
      <c r="A17" s="17">
        <f>'Non-Rebalanced Portfolio'!A17</f>
        <v>2003</v>
      </c>
      <c r="B17" s="17">
        <f>'Non-Rebalanced Portfolio'!B17</f>
        <v>28.5</v>
      </c>
      <c r="C17" s="17"/>
      <c r="D17" s="17">
        <f>'Non-Rebalanced Portfolio'!D17</f>
        <v>34.142000000000003</v>
      </c>
      <c r="E17" s="17">
        <f>'Non-Rebalanced Portfolio'!E17</f>
        <v>45.628</v>
      </c>
      <c r="F17" s="17"/>
      <c r="G17" s="17">
        <f>'Non-Rebalanced Portfolio'!G17</f>
        <v>40.340000000000003</v>
      </c>
      <c r="H17" s="17">
        <f>'Non-Rebalanced Portfolio'!H17</f>
        <v>3.97</v>
      </c>
      <c r="N17" s="49">
        <f>'4.5% Withdrawals-No Rebalancing'!N17</f>
        <v>2002</v>
      </c>
      <c r="O17" s="50">
        <f>'4.5% Withdrawals-No Rebalancing'!O17</f>
        <v>2.5000000000000001E-2</v>
      </c>
      <c r="P17" s="44"/>
    </row>
    <row r="18" spans="1:16" x14ac:dyDescent="0.2">
      <c r="A18" s="17">
        <f>'Non-Rebalanced Portfolio'!A18</f>
        <v>2004</v>
      </c>
      <c r="B18" s="17">
        <f>'Non-Rebalanced Portfolio'!B18</f>
        <v>10.74</v>
      </c>
      <c r="C18" s="17"/>
      <c r="D18" s="17">
        <f>'Non-Rebalanced Portfolio'!D18</f>
        <v>20.353000000000002</v>
      </c>
      <c r="E18" s="17">
        <f>'Non-Rebalanced Portfolio'!E18</f>
        <v>19.896999999999998</v>
      </c>
      <c r="F18" s="17"/>
      <c r="G18" s="17">
        <f>'Non-Rebalanced Portfolio'!G18</f>
        <v>20.837</v>
      </c>
      <c r="H18" s="17">
        <f>'Non-Rebalanced Portfolio'!H18</f>
        <v>4.24</v>
      </c>
      <c r="N18" s="49">
        <f>'4.5% Withdrawals-No Rebalancing'!N18</f>
        <v>2003</v>
      </c>
      <c r="O18" s="50">
        <f>'4.5% Withdrawals-No Rebalancing'!O18</f>
        <v>0.02</v>
      </c>
      <c r="P18" s="44"/>
    </row>
    <row r="19" spans="1:16" x14ac:dyDescent="0.2">
      <c r="A19" s="17">
        <f>'Non-Rebalanced Portfolio'!A19</f>
        <v>2005</v>
      </c>
      <c r="B19" s="17">
        <f>'Non-Rebalanced Portfolio'!B19</f>
        <v>4.7699999999999996</v>
      </c>
      <c r="C19" s="17"/>
      <c r="D19" s="17">
        <f>'Non-Rebalanced Portfolio'!D19</f>
        <v>13.930999999999999</v>
      </c>
      <c r="E19" s="17">
        <f>'Non-Rebalanced Portfolio'!E19</f>
        <v>7.3630000000000004</v>
      </c>
      <c r="F19" s="17"/>
      <c r="G19" s="17">
        <f>'Non-Rebalanced Portfolio'!G19</f>
        <v>15.571</v>
      </c>
      <c r="H19" s="17">
        <f>'Non-Rebalanced Portfolio'!H19</f>
        <v>2.4</v>
      </c>
      <c r="N19" s="49">
        <f>'4.5% Withdrawals-No Rebalancing'!N19</f>
        <v>2004</v>
      </c>
      <c r="O19" s="50">
        <f>'4.5% Withdrawals-No Rebalancing'!O19</f>
        <v>3.3000000000000002E-2</v>
      </c>
      <c r="P19" s="44"/>
    </row>
    <row r="20" spans="1:16" x14ac:dyDescent="0.2">
      <c r="A20" s="17">
        <f>'Non-Rebalanced Portfolio'!A20</f>
        <v>2006</v>
      </c>
      <c r="B20" s="17">
        <f>'Non-Rebalanced Portfolio'!B20</f>
        <v>15.64</v>
      </c>
      <c r="C20" s="17"/>
      <c r="D20" s="17">
        <f>'Non-Rebalanced Portfolio'!D20</f>
        <v>13.597</v>
      </c>
      <c r="E20" s="17">
        <f>'Non-Rebalanced Portfolio'!E20</f>
        <v>15.656000000000001</v>
      </c>
      <c r="F20" s="17"/>
      <c r="G20" s="17">
        <f>'Non-Rebalanced Portfolio'!G20</f>
        <v>26.637</v>
      </c>
      <c r="H20" s="17">
        <f>'Non-Rebalanced Portfolio'!H20</f>
        <v>4.2699999999999996</v>
      </c>
      <c r="N20" s="49">
        <f>'4.5% Withdrawals-No Rebalancing'!N20</f>
        <v>2005</v>
      </c>
      <c r="O20" s="50">
        <f>'4.5% Withdrawals-No Rebalancing'!O20</f>
        <v>3.3000000000000002E-2</v>
      </c>
      <c r="P20" s="44"/>
    </row>
    <row r="21" spans="1:16" x14ac:dyDescent="0.2">
      <c r="A21" s="17">
        <f>'Non-Rebalanced Portfolio'!A21</f>
        <v>2007</v>
      </c>
      <c r="B21" s="17">
        <f>'Non-Rebalanced Portfolio'!B21</f>
        <v>5.39</v>
      </c>
      <c r="C21" s="17"/>
      <c r="D21" s="17">
        <f>'Non-Rebalanced Portfolio'!D21</f>
        <v>6.0209999999999999</v>
      </c>
      <c r="E21" s="17">
        <f>'Non-Rebalanced Portfolio'!E21</f>
        <v>1.1559999999999999</v>
      </c>
      <c r="F21" s="17"/>
      <c r="G21" s="17">
        <f>'Non-Rebalanced Portfolio'!G21</f>
        <v>15.522</v>
      </c>
      <c r="H21" s="17">
        <f>'Non-Rebalanced Portfolio'!H21</f>
        <v>6.92</v>
      </c>
      <c r="N21" s="49">
        <f>'4.5% Withdrawals-No Rebalancing'!N21</f>
        <v>2006</v>
      </c>
      <c r="O21" s="50">
        <f>'4.5% Withdrawals-No Rebalancing'!O21</f>
        <v>2.5000000000000001E-2</v>
      </c>
      <c r="P21" s="44"/>
    </row>
    <row r="22" spans="1:16" x14ac:dyDescent="0.2">
      <c r="A22" s="17">
        <f>'Non-Rebalanced Portfolio'!A22</f>
        <v>2008</v>
      </c>
      <c r="B22" s="17">
        <f>'Non-Rebalanced Portfolio'!B22</f>
        <v>-37.020000000000003</v>
      </c>
      <c r="C22" s="17"/>
      <c r="D22" s="17">
        <f>'Non-Rebalanced Portfolio'!D22</f>
        <v>-41.823999999999998</v>
      </c>
      <c r="E22" s="17">
        <f>'Non-Rebalanced Portfolio'!E22</f>
        <v>-36.07</v>
      </c>
      <c r="F22" s="17"/>
      <c r="G22" s="17">
        <f>'Non-Rebalanced Portfolio'!G22</f>
        <v>-44.100999999999999</v>
      </c>
      <c r="H22" s="17">
        <f>'Non-Rebalanced Portfolio'!H22</f>
        <v>5.05</v>
      </c>
      <c r="N22" s="49">
        <f>'4.5% Withdrawals-No Rebalancing'!N22</f>
        <v>2007</v>
      </c>
      <c r="O22" s="50">
        <f>'4.5% Withdrawals-No Rebalancing'!O22</f>
        <v>4.1000000000000002E-2</v>
      </c>
      <c r="P22" s="44"/>
    </row>
    <row r="23" spans="1:16" x14ac:dyDescent="0.2">
      <c r="A23" s="17">
        <f>'Non-Rebalanced Portfolio'!A23</f>
        <v>2009</v>
      </c>
      <c r="B23" s="17">
        <f>'Non-Rebalanced Portfolio'!B23</f>
        <v>26.49</v>
      </c>
      <c r="C23" s="17"/>
      <c r="D23" s="17">
        <f>'Non-Rebalanced Portfolio'!D23</f>
        <v>40.218000000000004</v>
      </c>
      <c r="E23" s="17">
        <f>'Non-Rebalanced Portfolio'!E23</f>
        <v>36.118000000000002</v>
      </c>
      <c r="F23" s="17"/>
      <c r="G23" s="17">
        <f>'Non-Rebalanced Portfolio'!G23</f>
        <v>36.726999999999997</v>
      </c>
      <c r="H23" s="17">
        <f>'Non-Rebalanced Portfolio'!H23</f>
        <v>5.93</v>
      </c>
      <c r="N23" s="49">
        <f>'4.5% Withdrawals-No Rebalancing'!N23</f>
        <v>2008</v>
      </c>
      <c r="O23" s="50">
        <f>'4.5% Withdrawals-No Rebalancing'!O23</f>
        <v>0</v>
      </c>
      <c r="P23" s="44"/>
    </row>
    <row r="24" spans="1:16" x14ac:dyDescent="0.2">
      <c r="A24" s="17">
        <f>'Non-Rebalanced Portfolio'!A24</f>
        <v>2010</v>
      </c>
      <c r="B24" s="17">
        <f>'Non-Rebalanced Portfolio'!B24</f>
        <v>14.91</v>
      </c>
      <c r="C24" s="17"/>
      <c r="D24" s="17">
        <f>'Non-Rebalanced Portfolio'!D24</f>
        <v>25.46</v>
      </c>
      <c r="E24" s="17">
        <f>'Non-Rebalanced Portfolio'!E24</f>
        <v>27.72</v>
      </c>
      <c r="F24" s="17"/>
      <c r="G24" s="17">
        <f>'Non-Rebalanced Portfolio'!G24</f>
        <v>11.12</v>
      </c>
      <c r="H24" s="17">
        <f>'Non-Rebalanced Portfolio'!H24</f>
        <v>6.42</v>
      </c>
      <c r="N24" s="49">
        <f>'4.5% Withdrawals-No Rebalancing'!N24</f>
        <v>2009</v>
      </c>
      <c r="O24" s="50">
        <f>'4.5% Withdrawals-No Rebalancing'!O24</f>
        <v>2.8000000000000001E-2</v>
      </c>
      <c r="P24" s="44"/>
    </row>
    <row r="25" spans="1:16" x14ac:dyDescent="0.2">
      <c r="A25" s="17">
        <f>'Non-Rebalanced Portfolio'!A25</f>
        <v>2011</v>
      </c>
      <c r="B25" s="17">
        <f>'Non-Rebalanced Portfolio'!B25</f>
        <v>1.97</v>
      </c>
      <c r="C25" s="17"/>
      <c r="D25" s="17">
        <f>'Non-Rebalanced Portfolio'!D25</f>
        <v>-2.11</v>
      </c>
      <c r="E25" s="17">
        <f>'Non-Rebalanced Portfolio'!E25</f>
        <v>-2.8</v>
      </c>
      <c r="F25" s="17"/>
      <c r="G25" s="17">
        <f>'Non-Rebalanced Portfolio'!G25</f>
        <v>-14.56</v>
      </c>
      <c r="H25" s="17">
        <f>'Non-Rebalanced Portfolio'!H25</f>
        <v>7.56</v>
      </c>
      <c r="N25" s="49">
        <f>'4.5% Withdrawals-No Rebalancing'!N25</f>
        <v>2010</v>
      </c>
      <c r="O25" s="50">
        <f>'4.5% Withdrawals-No Rebalancing'!O25</f>
        <v>1.4E-2</v>
      </c>
      <c r="P25" s="44"/>
    </row>
    <row r="26" spans="1:16" x14ac:dyDescent="0.2">
      <c r="A26" s="17">
        <f>'Non-Rebalanced Portfolio'!A26</f>
        <v>2012</v>
      </c>
      <c r="B26" s="17">
        <f>'Non-Rebalanced Portfolio'!B26</f>
        <v>15.82</v>
      </c>
      <c r="C26" s="17"/>
      <c r="D26" s="17">
        <f>'Non-Rebalanced Portfolio'!D26</f>
        <v>15.8</v>
      </c>
      <c r="E26" s="17">
        <f>'Non-Rebalanced Portfolio'!E26</f>
        <v>18.04</v>
      </c>
      <c r="F26" s="17"/>
      <c r="G26" s="17">
        <f>'Non-Rebalanced Portfolio'!G26</f>
        <v>18.14</v>
      </c>
      <c r="H26" s="17">
        <f>'Non-Rebalanced Portfolio'!H26</f>
        <v>4.05</v>
      </c>
      <c r="N26" s="49">
        <f>'4.5% Withdrawals-No Rebalancing'!N26</f>
        <v>2011</v>
      </c>
      <c r="O26" s="50">
        <f>'4.5% Withdrawals-No Rebalancing'!O26</f>
        <v>0.03</v>
      </c>
      <c r="P26" s="44"/>
    </row>
    <row r="27" spans="1:16" x14ac:dyDescent="0.2">
      <c r="A27" s="17">
        <f>'Non-Rebalanced Portfolio'!A27</f>
        <v>2013</v>
      </c>
      <c r="B27" s="17">
        <f>'Non-Rebalanced Portfolio'!B27</f>
        <v>32.18</v>
      </c>
      <c r="C27" s="17"/>
      <c r="D27" s="17">
        <f>'Non-Rebalanced Portfolio'!D27</f>
        <v>35</v>
      </c>
      <c r="E27" s="17">
        <f>'Non-Rebalanced Portfolio'!E27</f>
        <v>37.619999999999997</v>
      </c>
      <c r="F27" s="17"/>
      <c r="G27" s="17">
        <f>'Non-Rebalanced Portfolio'!G27</f>
        <v>15.04</v>
      </c>
      <c r="H27" s="17">
        <f>'Non-Rebalanced Portfolio'!H27</f>
        <v>-2.2599999999999998</v>
      </c>
      <c r="N27" s="49">
        <f>'4.5% Withdrawals-No Rebalancing'!N27</f>
        <v>2012</v>
      </c>
      <c r="O27" s="50">
        <f>'4.5% Withdrawals-No Rebalancing'!O27</f>
        <v>1.7999999999999999E-2</v>
      </c>
    </row>
    <row r="28" spans="1:16" x14ac:dyDescent="0.2">
      <c r="A28" s="17">
        <f>'Non-Rebalanced Portfolio'!A28</f>
        <v>2014</v>
      </c>
      <c r="B28" s="17">
        <f>'Non-Rebalanced Portfolio'!B28</f>
        <v>13.51</v>
      </c>
      <c r="C28" s="17"/>
      <c r="D28" s="17">
        <f>'Non-Rebalanced Portfolio'!D28</f>
        <v>13.6</v>
      </c>
      <c r="E28" s="17">
        <f>'Non-Rebalanced Portfolio'!E28</f>
        <v>7.37</v>
      </c>
      <c r="F28" s="17"/>
      <c r="G28" s="17">
        <f>'Non-Rebalanced Portfolio'!G28</f>
        <v>-4.24</v>
      </c>
      <c r="H28" s="17">
        <f>'Non-Rebalanced Portfolio'!H28</f>
        <v>5.76</v>
      </c>
      <c r="N28" s="49">
        <f>'4.5% Withdrawals-No Rebalancing'!N28</f>
        <v>2013</v>
      </c>
      <c r="O28" s="50">
        <f>'4.5% Withdrawals-No Rebalancing'!O28</f>
        <v>1.15559170535223E-2</v>
      </c>
    </row>
    <row r="29" spans="1:16" x14ac:dyDescent="0.2">
      <c r="A29" s="17">
        <f>'Non-Rebalanced Portfolio'!A29</f>
        <v>2015</v>
      </c>
      <c r="B29" s="17">
        <f>'Non-Rebalanced Portfolio'!B29</f>
        <v>1.25</v>
      </c>
      <c r="C29" s="17"/>
      <c r="D29" s="17">
        <f>'Non-Rebalanced Portfolio'!D29</f>
        <v>-1.46</v>
      </c>
      <c r="E29" s="17">
        <f>'Non-Rebalanced Portfolio'!E29</f>
        <v>-3.78</v>
      </c>
      <c r="F29" s="17"/>
      <c r="G29" s="17">
        <f>'Non-Rebalanced Portfolio'!G29</f>
        <v>-4.37</v>
      </c>
      <c r="H29" s="17">
        <f>'Non-Rebalanced Portfolio'!H29</f>
        <v>0.3</v>
      </c>
      <c r="N29" s="49">
        <f>'4.5% Withdrawals-No Rebalancing'!N29</f>
        <v>2014</v>
      </c>
      <c r="O29" s="50">
        <f>'4.5% Withdrawals-No Rebalancing'!O29</f>
        <v>1.29E-2</v>
      </c>
    </row>
    <row r="30" spans="1:16" x14ac:dyDescent="0.2">
      <c r="A30" s="17">
        <f>'Non-Rebalanced Portfolio'!A30</f>
        <v>2016</v>
      </c>
      <c r="B30" s="17">
        <f>'Non-Rebalanced Portfolio'!B30</f>
        <v>11.82</v>
      </c>
      <c r="C30" s="17"/>
      <c r="D30" s="17">
        <f>'Non-Rebalanced Portfolio'!D30</f>
        <v>11.07</v>
      </c>
      <c r="E30" s="17">
        <f>'Non-Rebalanced Portfolio'!E30</f>
        <v>18.170000000000002</v>
      </c>
      <c r="F30" s="17"/>
      <c r="G30" s="17">
        <f>'Non-Rebalanced Portfolio'!G30</f>
        <v>4.6500000000000004</v>
      </c>
      <c r="H30" s="17">
        <f>'Non-Rebalanced Portfolio'!H30</f>
        <v>2.5</v>
      </c>
      <c r="N30" s="49">
        <f>'4.5% Withdrawals-No Rebalancing'!N30</f>
        <v>2015</v>
      </c>
      <c r="O30" s="50">
        <f>'4.5% Withdrawals-No Rebalancing'!O30</f>
        <v>4.4000000000000003E-3</v>
      </c>
    </row>
    <row r="31" spans="1:16" x14ac:dyDescent="0.2">
      <c r="A31" s="17">
        <f>'Non-Rebalanced Portfolio'!A31</f>
        <v>2017</v>
      </c>
      <c r="B31" s="17">
        <f>'Non-Rebalanced Portfolio'!B31</f>
        <v>21.67</v>
      </c>
      <c r="C31" s="17"/>
      <c r="D31" s="17">
        <f>'Non-Rebalanced Portfolio'!D31</f>
        <v>19.600000000000001</v>
      </c>
      <c r="E31" s="17">
        <f>'Non-Rebalanced Portfolio'!E31</f>
        <v>16.100000000000001</v>
      </c>
      <c r="F31" s="17"/>
      <c r="G31" s="17">
        <f>'Non-Rebalanced Portfolio'!G31</f>
        <v>27.4</v>
      </c>
      <c r="H31" s="17">
        <f>'Non-Rebalanced Portfolio'!H31</f>
        <v>3.46</v>
      </c>
      <c r="N31" s="49">
        <f>'4.5% Withdrawals-No Rebalancing'!N31</f>
        <v>2016</v>
      </c>
      <c r="O31" s="50">
        <f>'4.5% Withdrawals-No Rebalancing'!O31</f>
        <v>1.7000000000000001E-2</v>
      </c>
    </row>
    <row r="32" spans="1:16" x14ac:dyDescent="0.2">
      <c r="A32" s="17">
        <f>'Non-Rebalanced Portfolio'!A32</f>
        <v>2017</v>
      </c>
      <c r="B32" s="17">
        <f>'Non-Rebalanced Portfolio'!B32</f>
        <v>21.67</v>
      </c>
      <c r="C32" s="17"/>
      <c r="D32" s="17">
        <f>'Non-Rebalanced Portfolio'!D32</f>
        <v>19.600000000000001</v>
      </c>
      <c r="E32" s="17">
        <f>'Non-Rebalanced Portfolio'!E32</f>
        <v>16.100000000000001</v>
      </c>
      <c r="F32" s="17"/>
      <c r="G32" s="17">
        <f>'Non-Rebalanced Portfolio'!G32</f>
        <v>27.4</v>
      </c>
      <c r="H32" s="17">
        <f>'Non-Rebalanced Portfolio'!H32</f>
        <v>3.46</v>
      </c>
      <c r="N32" s="49">
        <f>'4.5% Withdrawals-No Rebalancing'!N32</f>
        <v>2017</v>
      </c>
      <c r="O32" s="50">
        <f>'4.5% Withdrawals-No Rebalancing'!O32</f>
        <v>2.23E-2</v>
      </c>
    </row>
    <row r="33" spans="1:72" x14ac:dyDescent="0.2">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'4.5% Withdrawals-No Rebalancing'!N33</f>
        <v>2017</v>
      </c>
      <c r="O33" s="50">
        <f>'4.5% Withdrawals-No Rebalancing'!O33</f>
        <v>2.23E-2</v>
      </c>
    </row>
    <row r="36" spans="1:72" x14ac:dyDescent="0.2">
      <c r="A36" s="20" t="s">
        <v>116</v>
      </c>
      <c r="N36" s="20" t="s">
        <v>25</v>
      </c>
      <c r="R36" s="20" t="s">
        <v>117</v>
      </c>
      <c r="AG36" s="20" t="s">
        <v>118</v>
      </c>
      <c r="AS36" s="20" t="s">
        <v>7</v>
      </c>
      <c r="BC36" s="20" t="s">
        <v>119</v>
      </c>
    </row>
    <row r="37" spans="1:72" x14ac:dyDescent="0.2">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76</v>
      </c>
      <c r="K37" s="5" t="s">
        <v>73</v>
      </c>
      <c r="L37" s="5" t="s">
        <v>74</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76</v>
      </c>
      <c r="AB37" s="5" t="s">
        <v>73</v>
      </c>
      <c r="AC37" s="5" t="s">
        <v>74</v>
      </c>
      <c r="AD37" s="5" t="s">
        <v>88</v>
      </c>
      <c r="AE37" s="5"/>
      <c r="AH37" s="4" t="str">
        <f t="shared" ref="AH37:AN38" si="2">B37</f>
        <v>LC Stocks</v>
      </c>
      <c r="AI37" s="4" t="str">
        <f t="shared" si="2"/>
        <v>Ext Mkt</v>
      </c>
      <c r="AJ37" s="4" t="str">
        <f t="shared" si="2"/>
        <v>Mcap Stk</v>
      </c>
      <c r="AK37" s="4" t="str">
        <f t="shared" si="2"/>
        <v>Small Cap</v>
      </c>
      <c r="AL37" s="4" t="str">
        <f t="shared" si="2"/>
        <v>Intl Val</v>
      </c>
      <c r="AM37" s="4" t="str">
        <f t="shared" si="2"/>
        <v>Tot Int Stk</v>
      </c>
      <c r="AN37" s="4" t="str">
        <f t="shared" si="2"/>
        <v>Bonds</v>
      </c>
      <c r="AO37" s="5"/>
      <c r="AP37" s="5" t="s">
        <v>111</v>
      </c>
      <c r="AQ37" s="5" t="s">
        <v>112</v>
      </c>
      <c r="AT37" s="4" t="str">
        <f t="shared" ref="AT37:AZ39" si="3">AH37</f>
        <v>LC Stocks</v>
      </c>
      <c r="AU37" s="4" t="str">
        <f t="shared" si="3"/>
        <v>Ext Mkt</v>
      </c>
      <c r="AV37" s="4" t="str">
        <f t="shared" si="3"/>
        <v>Mcap Stk</v>
      </c>
      <c r="AW37" s="4" t="str">
        <f t="shared" si="3"/>
        <v>Small Cap</v>
      </c>
      <c r="AX37" s="4" t="str">
        <f t="shared" si="3"/>
        <v>Intl Val</v>
      </c>
      <c r="AY37" s="4" t="str">
        <f t="shared" si="3"/>
        <v>Tot Int Stk</v>
      </c>
      <c r="AZ37" s="4" t="str">
        <f t="shared" si="3"/>
        <v>Bonds</v>
      </c>
      <c r="BA37" s="5"/>
      <c r="BD37" s="4" t="str">
        <f>AT37</f>
        <v>LC Stocks</v>
      </c>
      <c r="BE37" s="4" t="str">
        <f t="shared" ref="BE37:BK39" si="4">AU37</f>
        <v>Ext Mkt</v>
      </c>
      <c r="BF37" s="4" t="str">
        <f t="shared" si="4"/>
        <v>Mcap Stk</v>
      </c>
      <c r="BG37" s="4" t="str">
        <f t="shared" si="4"/>
        <v>Small Cap</v>
      </c>
      <c r="BH37" s="4" t="str">
        <f t="shared" si="4"/>
        <v>Intl Val</v>
      </c>
      <c r="BI37" s="4" t="str">
        <f t="shared" si="4"/>
        <v>Tot Int Stk</v>
      </c>
      <c r="BJ37" s="4" t="str">
        <f t="shared" si="4"/>
        <v>Bonds</v>
      </c>
      <c r="BK37" s="4"/>
      <c r="BL37" t="s">
        <v>88</v>
      </c>
    </row>
    <row r="38" spans="1:72" x14ac:dyDescent="0.2">
      <c r="A38" t="s">
        <v>72</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70</v>
      </c>
      <c r="J38" s="5" t="s">
        <v>77</v>
      </c>
      <c r="K38" s="5" t="s">
        <v>75</v>
      </c>
      <c r="L38" s="5" t="s">
        <v>75</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77</v>
      </c>
      <c r="AB38" s="5" t="s">
        <v>75</v>
      </c>
      <c r="AC38" s="5" t="s">
        <v>75</v>
      </c>
      <c r="AD38" s="5" t="s">
        <v>87</v>
      </c>
      <c r="AE38" s="5"/>
      <c r="AG38" t="s">
        <v>72</v>
      </c>
      <c r="AH38" s="4" t="str">
        <f t="shared" si="2"/>
        <v>VFINX</v>
      </c>
      <c r="AI38" s="4" t="str">
        <f t="shared" si="2"/>
        <v>VEXMX</v>
      </c>
      <c r="AJ38" s="4" t="str">
        <f t="shared" si="2"/>
        <v>VIMSX</v>
      </c>
      <c r="AK38" s="4" t="str">
        <f t="shared" si="2"/>
        <v>NAESX</v>
      </c>
      <c r="AL38" s="4" t="str">
        <f t="shared" si="2"/>
        <v>VTRIX</v>
      </c>
      <c r="AM38" s="4" t="str">
        <f t="shared" si="2"/>
        <v>VGTSX</v>
      </c>
      <c r="AN38" s="4" t="str">
        <f t="shared" si="2"/>
        <v>VBMFX</v>
      </c>
      <c r="AO38" s="5" t="s">
        <v>70</v>
      </c>
      <c r="AP38" s="5" t="s">
        <v>112</v>
      </c>
      <c r="AQ38" s="5" t="s">
        <v>87</v>
      </c>
      <c r="AS38" t="str">
        <f>AG38</f>
        <v>Fund</v>
      </c>
      <c r="AT38" s="4" t="str">
        <f t="shared" si="3"/>
        <v>VFINX</v>
      </c>
      <c r="AU38" s="4" t="str">
        <f t="shared" si="3"/>
        <v>VEXMX</v>
      </c>
      <c r="AV38" s="4" t="str">
        <f t="shared" si="3"/>
        <v>VIMSX</v>
      </c>
      <c r="AW38" s="4" t="str">
        <f t="shared" si="3"/>
        <v>NAESX</v>
      </c>
      <c r="AX38" s="4" t="str">
        <f t="shared" si="3"/>
        <v>VTRIX</v>
      </c>
      <c r="AY38" s="4" t="str">
        <f t="shared" si="3"/>
        <v>VGTSX</v>
      </c>
      <c r="AZ38" s="4" t="str">
        <f t="shared" si="3"/>
        <v>VBMFX</v>
      </c>
      <c r="BA38" s="4" t="str">
        <f>AO38</f>
        <v>Total</v>
      </c>
      <c r="BC38" t="s">
        <v>72</v>
      </c>
      <c r="BD38" s="4" t="str">
        <f>AT38</f>
        <v>VFINX</v>
      </c>
      <c r="BE38" s="4" t="str">
        <f t="shared" si="4"/>
        <v>VEXMX</v>
      </c>
      <c r="BF38" s="4" t="str">
        <f t="shared" si="4"/>
        <v>VIMSX</v>
      </c>
      <c r="BG38" s="4" t="str">
        <f t="shared" si="4"/>
        <v>NAESX</v>
      </c>
      <c r="BH38" s="4" t="str">
        <f t="shared" si="4"/>
        <v>VTRIX</v>
      </c>
      <c r="BI38" s="4" t="str">
        <f t="shared" si="4"/>
        <v>VGTSX</v>
      </c>
      <c r="BJ38" s="4" t="str">
        <f t="shared" si="4"/>
        <v>VBMFX</v>
      </c>
      <c r="BK38" s="4" t="str">
        <f t="shared" si="4"/>
        <v>Total</v>
      </c>
      <c r="BL38" t="s">
        <v>87</v>
      </c>
    </row>
    <row r="39" spans="1:72" x14ac:dyDescent="0.2">
      <c r="A39" t="s">
        <v>71</v>
      </c>
      <c r="B39" s="2">
        <v>20000</v>
      </c>
      <c r="C39" s="2">
        <v>30000</v>
      </c>
      <c r="F39" s="2">
        <v>20000</v>
      </c>
      <c r="H39" s="2">
        <v>30000</v>
      </c>
      <c r="I39" s="2">
        <f>SUM(B39:H39)</f>
        <v>100000</v>
      </c>
      <c r="N39" s="21"/>
      <c r="R39" t="str">
        <f>A39</f>
        <v>Stating Balance</v>
      </c>
      <c r="S39" s="2">
        <f>B39</f>
        <v>20000</v>
      </c>
      <c r="T39" s="2">
        <f t="shared" si="1"/>
        <v>30000</v>
      </c>
      <c r="U39" s="2">
        <f t="shared" si="1"/>
        <v>0</v>
      </c>
      <c r="V39" s="2">
        <f t="shared" si="1"/>
        <v>0</v>
      </c>
      <c r="W39" s="2">
        <f t="shared" si="1"/>
        <v>20000</v>
      </c>
      <c r="X39" s="2">
        <f t="shared" si="1"/>
        <v>0</v>
      </c>
      <c r="Y39" s="2">
        <f t="shared" si="1"/>
        <v>30000</v>
      </c>
      <c r="Z39" s="2">
        <f t="shared" si="1"/>
        <v>100000</v>
      </c>
      <c r="AD39" s="2"/>
      <c r="AE39" s="2"/>
      <c r="AG39" s="21" t="s">
        <v>86</v>
      </c>
      <c r="AH39" s="6">
        <f t="shared" ref="AH39:AI54" si="5">S39/$Z39</f>
        <v>0.2</v>
      </c>
      <c r="AI39" s="6">
        <f t="shared" si="5"/>
        <v>0.3</v>
      </c>
      <c r="AJ39" s="23">
        <v>0.2</v>
      </c>
      <c r="AK39" s="23">
        <v>0.1</v>
      </c>
      <c r="AL39" s="6">
        <f>W39/$Z39</f>
        <v>0.2</v>
      </c>
      <c r="AM39" s="23">
        <v>0.2</v>
      </c>
      <c r="AN39" s="6">
        <f>Y39/$Z39</f>
        <v>0.3</v>
      </c>
      <c r="AO39" s="6">
        <f>Z39/$Z39</f>
        <v>1</v>
      </c>
      <c r="AP39" s="24"/>
      <c r="AR39" s="24"/>
      <c r="AS39" s="21" t="str">
        <f>AG39</f>
        <v>Target Allocation</v>
      </c>
      <c r="AT39" s="24">
        <f t="shared" si="3"/>
        <v>0.2</v>
      </c>
      <c r="AU39" s="24">
        <f t="shared" si="3"/>
        <v>0.3</v>
      </c>
      <c r="AV39" s="25">
        <f t="shared" si="3"/>
        <v>0.2</v>
      </c>
      <c r="AW39" s="25">
        <f t="shared" si="3"/>
        <v>0.1</v>
      </c>
      <c r="AX39" s="24">
        <f t="shared" si="3"/>
        <v>0.2</v>
      </c>
      <c r="AY39" s="25">
        <f t="shared" si="3"/>
        <v>0.2</v>
      </c>
      <c r="AZ39" s="24">
        <f t="shared" si="3"/>
        <v>0.3</v>
      </c>
      <c r="BA39" s="24">
        <f>AO39</f>
        <v>1</v>
      </c>
      <c r="BC39" s="21" t="str">
        <f>AS39</f>
        <v>Target Allocation</v>
      </c>
      <c r="BD39" s="24">
        <f>AT39</f>
        <v>0.2</v>
      </c>
      <c r="BE39" s="24">
        <f t="shared" si="4"/>
        <v>0.3</v>
      </c>
      <c r="BF39" s="25">
        <f t="shared" si="4"/>
        <v>0.2</v>
      </c>
      <c r="BG39" s="25">
        <f t="shared" si="4"/>
        <v>0.1</v>
      </c>
      <c r="BH39" s="24">
        <f t="shared" si="4"/>
        <v>0.2</v>
      </c>
      <c r="BI39" s="25">
        <f t="shared" si="4"/>
        <v>0.2</v>
      </c>
      <c r="BJ39" s="24">
        <f t="shared" si="4"/>
        <v>0.3</v>
      </c>
      <c r="BK39" s="24">
        <f t="shared" si="4"/>
        <v>1</v>
      </c>
      <c r="BL39" s="2"/>
    </row>
    <row r="40" spans="1:72" x14ac:dyDescent="0.2">
      <c r="A40">
        <f t="shared" ref="A40:A64" si="6">A4</f>
        <v>1990</v>
      </c>
      <c r="B40" s="2">
        <f>B39*(1+(B4/100))</f>
        <v>19336</v>
      </c>
      <c r="C40" s="2">
        <f>C39*(1+(C4/100))</f>
        <v>25786.5</v>
      </c>
      <c r="D40" s="2"/>
      <c r="E40" s="2"/>
      <c r="F40" s="2">
        <f>F39*(1+(F4/100))</f>
        <v>17548</v>
      </c>
      <c r="G40" s="2"/>
      <c r="H40" s="2">
        <f>H39*(1+(H4/100))</f>
        <v>32595</v>
      </c>
      <c r="I40" s="2">
        <f>SUM(B40:H40)</f>
        <v>95265.5</v>
      </c>
      <c r="J40" s="2">
        <f>I40-I39</f>
        <v>-4734.5</v>
      </c>
      <c r="K40" s="6">
        <f>(J40/I39)</f>
        <v>-4.7344999999999998E-2</v>
      </c>
      <c r="L40" s="7">
        <f>K40+1</f>
        <v>0.95265500000000003</v>
      </c>
      <c r="N40">
        <f>A40</f>
        <v>1990</v>
      </c>
      <c r="O40" s="2">
        <f>I40*0.045</f>
        <v>4286.9475000000002</v>
      </c>
      <c r="P40" s="2"/>
      <c r="Q40" s="2"/>
      <c r="R40">
        <f>A40</f>
        <v>1990</v>
      </c>
      <c r="S40" s="2">
        <f>B40-($O40/4)</f>
        <v>18264.263125000001</v>
      </c>
      <c r="T40" s="2">
        <f>C40-($O40/4)</f>
        <v>24714.763125000001</v>
      </c>
      <c r="U40" s="2"/>
      <c r="V40" s="2"/>
      <c r="W40" s="2">
        <f t="shared" ref="W40:W46" si="7">F40-($O40/4)</f>
        <v>16476.263125000001</v>
      </c>
      <c r="X40" s="2"/>
      <c r="Y40" s="2">
        <f>H40-($O40/4)</f>
        <v>31523.263125000001</v>
      </c>
      <c r="Z40" s="2">
        <f>SUM(S40:Y40)</f>
        <v>90978.552500000005</v>
      </c>
      <c r="AA40" s="2">
        <f>Z40-Z39</f>
        <v>-9021.4474999999948</v>
      </c>
      <c r="AB40" s="6">
        <f>(AA40/Z39)</f>
        <v>-9.0214474999999947E-2</v>
      </c>
      <c r="AC40" s="7">
        <f>AB40+1</f>
        <v>0.90978552500000009</v>
      </c>
      <c r="AD40" s="2">
        <f>Z40-(I40-O40)</f>
        <v>0</v>
      </c>
      <c r="AE40" s="2"/>
      <c r="AG40">
        <f>A40</f>
        <v>1990</v>
      </c>
      <c r="AH40" s="6">
        <f t="shared" si="5"/>
        <v>0.2007535031402044</v>
      </c>
      <c r="AI40" s="6">
        <f t="shared" si="5"/>
        <v>0.27165482903237004</v>
      </c>
      <c r="AJ40" s="7"/>
      <c r="AK40" s="7"/>
      <c r="AL40" s="6">
        <f>W40/$Z40</f>
        <v>0.18110051954277906</v>
      </c>
      <c r="AM40" s="7"/>
      <c r="AN40" s="6">
        <f>Y40/$Z40</f>
        <v>0.34649114828464656</v>
      </c>
      <c r="AO40" s="6">
        <f>SUM(AH40:AN40)</f>
        <v>1</v>
      </c>
      <c r="AP40" s="7">
        <f>SUM(AH40:AM40)</f>
        <v>0.65350885171535356</v>
      </c>
      <c r="AQ40" s="7">
        <f>AO40-(AP40+AN40)</f>
        <v>0</v>
      </c>
      <c r="AR40" s="24"/>
      <c r="AS40">
        <f>AG40</f>
        <v>1990</v>
      </c>
      <c r="AT40" s="1" t="b">
        <f>AND((S40/$Z40)&gt;0.15,(S40/$Z40)&lt;0.25)</f>
        <v>1</v>
      </c>
      <c r="AU40" s="1" t="b">
        <f>AND((T40/$Z40)&gt;0.25,(T40/$Z40)&lt;0.35)</f>
        <v>1</v>
      </c>
      <c r="AX40" s="1" t="b">
        <f t="shared" ref="AX40:AY47" si="8">AND((W40/$Z40)&gt;0.15,(W40/$Z40)&lt;0.25)</f>
        <v>1</v>
      </c>
      <c r="AZ40" s="1" t="b">
        <f>AND((Y40/$Z40)&gt;0.25,(Y40/$Z40)&lt;0.35)</f>
        <v>1</v>
      </c>
      <c r="BA40" s="1" t="b">
        <f>AND((Z40/$Z40)&gt;0.999,(Z40/$Z40)&lt;1.01)</f>
        <v>1</v>
      </c>
      <c r="BC40">
        <f>AS40</f>
        <v>1990</v>
      </c>
      <c r="BD40" s="2">
        <f>S40</f>
        <v>18264.263125000001</v>
      </c>
      <c r="BE40" s="2">
        <f>T40</f>
        <v>24714.763125000001</v>
      </c>
      <c r="BF40" s="2"/>
      <c r="BG40" s="2"/>
      <c r="BH40" s="2">
        <f t="shared" ref="BH40:BH45" si="9">W40</f>
        <v>16476.263125000001</v>
      </c>
      <c r="BI40" s="2"/>
      <c r="BJ40" s="2">
        <f>Y40</f>
        <v>31523.263125000001</v>
      </c>
      <c r="BK40" s="2">
        <f>Z40</f>
        <v>90978.552500000005</v>
      </c>
      <c r="BL40" s="2">
        <f>SUM(BD40:BJ40)-Z40</f>
        <v>0</v>
      </c>
      <c r="BM40" s="2"/>
    </row>
    <row r="41" spans="1:72" x14ac:dyDescent="0.2">
      <c r="A41">
        <f t="shared" si="6"/>
        <v>1991</v>
      </c>
      <c r="B41" s="2">
        <f t="shared" ref="B41:B50" si="10">BD40*(1+(B5/100))</f>
        <v>23783.723441375001</v>
      </c>
      <c r="C41" s="2">
        <f t="shared" ref="C41:C48" si="11">BE40*(1+(C5/100))</f>
        <v>35057.891492812501</v>
      </c>
      <c r="D41" s="2"/>
      <c r="E41" s="2"/>
      <c r="F41" s="2">
        <f t="shared" ref="F41:F46" si="12">BH40*(1+(F5/100))</f>
        <v>18116.639881725005</v>
      </c>
      <c r="G41" s="2"/>
      <c r="H41" s="2">
        <f t="shared" ref="H41:H64" si="13">BJ40*(1+(H5/100))</f>
        <v>36330.560751562502</v>
      </c>
      <c r="I41" s="2">
        <f>SUM(B41:H41)</f>
        <v>113288.815567475</v>
      </c>
      <c r="J41" s="2">
        <f t="shared" ref="J41:J64" si="14">I41-I40</f>
        <v>18023.315567475001</v>
      </c>
      <c r="K41" s="6">
        <f t="shared" ref="K41:K64" si="15">(J41/I40)</f>
        <v>0.18919037392838961</v>
      </c>
      <c r="L41" s="7">
        <f t="shared" ref="L41:L64" si="16">K41+1</f>
        <v>1.1891903739283896</v>
      </c>
      <c r="N41">
        <f t="shared" ref="N41:N64" si="17">A41</f>
        <v>1991</v>
      </c>
      <c r="O41" s="2">
        <f t="shared" ref="O41:O64" si="18">O40*(1+O5)</f>
        <v>4557.0251925000002</v>
      </c>
      <c r="P41" s="2"/>
      <c r="Q41" s="2"/>
      <c r="R41">
        <f t="shared" ref="R41:R64" si="19">A41</f>
        <v>1991</v>
      </c>
      <c r="S41" s="2">
        <f t="shared" ref="S41:T48" si="20">B41-($O41/4)</f>
        <v>22644.46714325</v>
      </c>
      <c r="T41" s="2">
        <f t="shared" si="20"/>
        <v>33918.6351946875</v>
      </c>
      <c r="U41" s="2"/>
      <c r="V41" s="2"/>
      <c r="W41" s="2">
        <f t="shared" si="7"/>
        <v>16977.383583600003</v>
      </c>
      <c r="X41" s="2"/>
      <c r="Y41" s="2">
        <f t="shared" ref="Y41:Y48" si="21">H41-($O41/4)</f>
        <v>35191.3044534375</v>
      </c>
      <c r="Z41" s="2">
        <f t="shared" ref="Z41:Z64" si="22">SUM(S41:Y41)</f>
        <v>108731.79037497501</v>
      </c>
      <c r="AA41" s="2">
        <f t="shared" ref="AA41:AA55" si="23">Z41-Z40</f>
        <v>17753.237874975006</v>
      </c>
      <c r="AB41" s="6">
        <f t="shared" ref="AB41:AB55" si="24">(AA41/Z40)</f>
        <v>0.19513651720250225</v>
      </c>
      <c r="AC41" s="7">
        <f t="shared" ref="AC41:AC64" si="25">AB41+1</f>
        <v>1.1951365172025024</v>
      </c>
      <c r="AD41" s="2">
        <f t="shared" ref="AD41:AD64" si="26">Z41-(I41-O41)</f>
        <v>0</v>
      </c>
      <c r="AE41" s="2"/>
      <c r="AG41">
        <f t="shared" ref="AG41:AG64" si="27">A41</f>
        <v>1991</v>
      </c>
      <c r="AH41" s="6">
        <f t="shared" si="5"/>
        <v>0.20825985726122745</v>
      </c>
      <c r="AI41" s="6">
        <f t="shared" si="5"/>
        <v>0.31194773007705379</v>
      </c>
      <c r="AJ41" s="7"/>
      <c r="AK41" s="7"/>
      <c r="AL41" s="6">
        <f t="shared" ref="AL41:AM56" si="28">W41/$Z41</f>
        <v>0.15614001687134368</v>
      </c>
      <c r="AM41" s="7"/>
      <c r="AN41" s="6">
        <f t="shared" ref="AN41:AN64" si="29">Y41/$Z41</f>
        <v>0.32365239579037502</v>
      </c>
      <c r="AO41" s="6">
        <f t="shared" ref="AO41:AO64" si="30">SUM(AH41:AN41)</f>
        <v>1</v>
      </c>
      <c r="AP41" s="7">
        <f t="shared" ref="AP41:AP64" si="31">SUM(AH41:AM41)</f>
        <v>0.67634760420962492</v>
      </c>
      <c r="AQ41" s="7">
        <f t="shared" ref="AQ41:AQ64" si="32">AO41-(AP41+AN41)</f>
        <v>0</v>
      </c>
      <c r="AR41" s="24"/>
      <c r="AS41">
        <f t="shared" ref="AS41:AS64" si="33">AG41</f>
        <v>1991</v>
      </c>
      <c r="AT41" s="1" t="b">
        <f t="shared" ref="AT41:AV64" si="34">AND((S41/$Z41)&gt;0.15,(S41/$Z41)&lt;0.25)</f>
        <v>1</v>
      </c>
      <c r="AU41" s="1" t="b">
        <f t="shared" ref="AU41:AU47" si="35">AND((T41/$Z41)&gt;0.25,(T41/$Z41)&lt;0.35)</f>
        <v>1</v>
      </c>
      <c r="AX41" s="1" t="b">
        <f t="shared" si="8"/>
        <v>1</v>
      </c>
      <c r="AZ41" s="1" t="b">
        <f t="shared" ref="AZ41:AZ64" si="36">AND((Y41/$Z41)&gt;0.25,(Y41/$Z41)&lt;0.35)</f>
        <v>1</v>
      </c>
      <c r="BA41" s="1" t="b">
        <f t="shared" ref="BA41:BA64" si="37">AND((Z41/$Z41)&gt;0.999,(Z41/$Z41)&lt;1.01)</f>
        <v>1</v>
      </c>
      <c r="BC41">
        <f t="shared" ref="BC41:BC64" si="38">AS41</f>
        <v>1991</v>
      </c>
      <c r="BD41" s="2">
        <f t="shared" ref="BD41:BE64" si="39">S41</f>
        <v>22644.46714325</v>
      </c>
      <c r="BE41" s="2">
        <f t="shared" si="39"/>
        <v>33918.6351946875</v>
      </c>
      <c r="BF41" s="2"/>
      <c r="BG41" s="2"/>
      <c r="BH41" s="2">
        <f t="shared" si="9"/>
        <v>16977.383583600003</v>
      </c>
      <c r="BI41" s="2"/>
      <c r="BJ41" s="2">
        <f>Y41</f>
        <v>35191.3044534375</v>
      </c>
      <c r="BK41" s="2">
        <f t="shared" ref="BK41:BK64" si="40">Z41</f>
        <v>108731.79037497501</v>
      </c>
      <c r="BL41" s="2">
        <f t="shared" ref="BL41:BL64" si="41">SUM(BD41:BJ41)-Z41</f>
        <v>0</v>
      </c>
      <c r="BM41" s="2"/>
    </row>
    <row r="42" spans="1:72" x14ac:dyDescent="0.2">
      <c r="A42">
        <f t="shared" si="6"/>
        <v>1992</v>
      </c>
      <c r="B42" s="2">
        <f t="shared" si="10"/>
        <v>24324.686605279152</v>
      </c>
      <c r="C42" s="2">
        <f t="shared" si="11"/>
        <v>38146.932258057241</v>
      </c>
      <c r="D42" s="2"/>
      <c r="E42" s="2"/>
      <c r="F42" s="2">
        <f t="shared" si="12"/>
        <v>15496.785961274247</v>
      </c>
      <c r="G42" s="2"/>
      <c r="H42" s="2">
        <f t="shared" si="13"/>
        <v>37703.963591412932</v>
      </c>
      <c r="I42" s="2">
        <f t="shared" ref="I42:I64" si="42">SUM(B42:H42)</f>
        <v>115672.36841602357</v>
      </c>
      <c r="J42" s="2">
        <f t="shared" si="14"/>
        <v>2383.5528485485702</v>
      </c>
      <c r="K42" s="6">
        <f t="shared" si="15"/>
        <v>2.1039613103986617E-2</v>
      </c>
      <c r="L42" s="7">
        <f t="shared" si="16"/>
        <v>1.0210396131039867</v>
      </c>
      <c r="N42">
        <f t="shared" si="17"/>
        <v>1992</v>
      </c>
      <c r="O42" s="2">
        <f t="shared" si="18"/>
        <v>4693.7359482750007</v>
      </c>
      <c r="P42" s="2"/>
      <c r="Q42" s="2"/>
      <c r="R42">
        <f t="shared" si="19"/>
        <v>1992</v>
      </c>
      <c r="S42" s="2">
        <f t="shared" si="20"/>
        <v>23151.252618210401</v>
      </c>
      <c r="T42" s="2">
        <f t="shared" si="20"/>
        <v>36973.498270988493</v>
      </c>
      <c r="U42" s="2"/>
      <c r="V42" s="2"/>
      <c r="W42" s="2">
        <f t="shared" si="7"/>
        <v>14323.351974205496</v>
      </c>
      <c r="X42" s="2"/>
      <c r="Y42" s="2">
        <f t="shared" si="21"/>
        <v>36530.529604344185</v>
      </c>
      <c r="Z42" s="2">
        <f t="shared" si="22"/>
        <v>110978.63246774857</v>
      </c>
      <c r="AA42" s="2">
        <f t="shared" si="23"/>
        <v>2246.8420927735569</v>
      </c>
      <c r="AB42" s="6">
        <f t="shared" si="24"/>
        <v>2.0664077037865783E-2</v>
      </c>
      <c r="AC42" s="7">
        <f t="shared" si="25"/>
        <v>1.0206640770378659</v>
      </c>
      <c r="AD42" s="2">
        <f t="shared" si="26"/>
        <v>0</v>
      </c>
      <c r="AE42" s="2"/>
      <c r="AG42">
        <f t="shared" si="27"/>
        <v>1992</v>
      </c>
      <c r="AH42" s="6">
        <f t="shared" si="5"/>
        <v>0.20861000089308518</v>
      </c>
      <c r="AI42" s="6">
        <f t="shared" si="5"/>
        <v>0.33315871216680687</v>
      </c>
      <c r="AJ42" s="7"/>
      <c r="AK42" s="7"/>
      <c r="AL42" s="6">
        <f t="shared" si="28"/>
        <v>0.12906405184230393</v>
      </c>
      <c r="AM42" s="7"/>
      <c r="AN42" s="6">
        <f t="shared" si="29"/>
        <v>0.32916723509780405</v>
      </c>
      <c r="AO42" s="6">
        <f t="shared" si="30"/>
        <v>1</v>
      </c>
      <c r="AP42" s="7">
        <f t="shared" si="31"/>
        <v>0.67083276490219601</v>
      </c>
      <c r="AQ42" s="7">
        <f t="shared" si="32"/>
        <v>0</v>
      </c>
      <c r="AR42" s="24"/>
      <c r="AS42">
        <f t="shared" si="33"/>
        <v>1992</v>
      </c>
      <c r="AT42" s="1" t="b">
        <f t="shared" si="34"/>
        <v>1</v>
      </c>
      <c r="AU42" s="1" t="b">
        <f t="shared" si="35"/>
        <v>1</v>
      </c>
      <c r="AX42" s="39" t="b">
        <f t="shared" si="8"/>
        <v>0</v>
      </c>
      <c r="AZ42" s="1" t="b">
        <f t="shared" si="36"/>
        <v>1</v>
      </c>
      <c r="BA42" s="1" t="b">
        <f t="shared" si="37"/>
        <v>1</v>
      </c>
      <c r="BC42">
        <f t="shared" si="38"/>
        <v>1992</v>
      </c>
      <c r="BD42" s="40">
        <f>$BK42*BD$39</f>
        <v>22195.726493549715</v>
      </c>
      <c r="BE42" s="40">
        <f>$BK42*BE$39</f>
        <v>33293.589740324569</v>
      </c>
      <c r="BF42" s="2"/>
      <c r="BG42" s="2"/>
      <c r="BH42" s="40">
        <f>$BK42*BH$39</f>
        <v>22195.726493549715</v>
      </c>
      <c r="BI42" s="2"/>
      <c r="BJ42" s="40">
        <f>$BK42*BJ$39</f>
        <v>33293.589740324569</v>
      </c>
      <c r="BK42" s="2">
        <f t="shared" si="40"/>
        <v>110978.63246774857</v>
      </c>
      <c r="BL42" s="2">
        <f t="shared" si="41"/>
        <v>0</v>
      </c>
      <c r="BM42" s="2"/>
    </row>
    <row r="43" spans="1:72" x14ac:dyDescent="0.2">
      <c r="A43">
        <f t="shared" si="6"/>
        <v>1993</v>
      </c>
      <c r="B43" s="2">
        <f t="shared" si="10"/>
        <v>24390.883843761781</v>
      </c>
      <c r="C43" s="2">
        <f t="shared" si="11"/>
        <v>38117.830893697603</v>
      </c>
      <c r="D43" s="2"/>
      <c r="E43" s="2"/>
      <c r="F43" s="2">
        <f t="shared" si="12"/>
        <v>28964.091330492764</v>
      </c>
      <c r="G43" s="2"/>
      <c r="H43" s="2">
        <f t="shared" si="13"/>
        <v>36516.409227187985</v>
      </c>
      <c r="I43" s="2">
        <f t="shared" si="42"/>
        <v>127989.21529514014</v>
      </c>
      <c r="J43" s="2">
        <f t="shared" si="14"/>
        <v>12316.846879116565</v>
      </c>
      <c r="K43" s="6">
        <f t="shared" si="15"/>
        <v>0.10648045897027184</v>
      </c>
      <c r="L43" s="7">
        <f t="shared" si="16"/>
        <v>1.1064804589702719</v>
      </c>
      <c r="N43">
        <f t="shared" si="17"/>
        <v>1993</v>
      </c>
      <c r="O43" s="2">
        <f t="shared" si="18"/>
        <v>4834.5480267232506</v>
      </c>
      <c r="P43" s="2"/>
      <c r="Q43" s="2"/>
      <c r="R43">
        <f t="shared" si="19"/>
        <v>1993</v>
      </c>
      <c r="S43" s="2">
        <f t="shared" si="20"/>
        <v>23182.246837080969</v>
      </c>
      <c r="T43" s="2">
        <f t="shared" si="20"/>
        <v>36909.193887016787</v>
      </c>
      <c r="U43" s="2"/>
      <c r="V43" s="2"/>
      <c r="W43" s="2">
        <f t="shared" si="7"/>
        <v>27755.454323811951</v>
      </c>
      <c r="X43" s="2"/>
      <c r="Y43" s="2">
        <f t="shared" si="21"/>
        <v>35307.77222050717</v>
      </c>
      <c r="Z43" s="2">
        <f t="shared" si="22"/>
        <v>123154.66726841687</v>
      </c>
      <c r="AA43" s="2">
        <f t="shared" si="23"/>
        <v>12176.034800668305</v>
      </c>
      <c r="AB43" s="6">
        <f t="shared" si="24"/>
        <v>0.10971512740713196</v>
      </c>
      <c r="AC43" s="7">
        <f t="shared" si="25"/>
        <v>1.109715127407132</v>
      </c>
      <c r="AD43" s="2">
        <f t="shared" si="26"/>
        <v>0</v>
      </c>
      <c r="AE43" s="2"/>
      <c r="AG43">
        <f t="shared" si="27"/>
        <v>1993</v>
      </c>
      <c r="AH43" s="6">
        <f t="shared" si="5"/>
        <v>0.18823685168630289</v>
      </c>
      <c r="AI43" s="6">
        <f t="shared" si="5"/>
        <v>0.29969788969972866</v>
      </c>
      <c r="AJ43" s="7"/>
      <c r="AK43" s="7"/>
      <c r="AL43" s="6">
        <f t="shared" si="28"/>
        <v>0.22537070611638818</v>
      </c>
      <c r="AM43" s="7"/>
      <c r="AN43" s="6">
        <f t="shared" si="29"/>
        <v>0.28669455249758025</v>
      </c>
      <c r="AO43" s="6">
        <f t="shared" si="30"/>
        <v>1</v>
      </c>
      <c r="AP43" s="7">
        <f t="shared" si="31"/>
        <v>0.71330544750241975</v>
      </c>
      <c r="AQ43" s="7">
        <f t="shared" si="32"/>
        <v>0</v>
      </c>
      <c r="AR43" s="24"/>
      <c r="AS43">
        <f t="shared" si="33"/>
        <v>1993</v>
      </c>
      <c r="AT43" s="1" t="b">
        <f t="shared" si="34"/>
        <v>1</v>
      </c>
      <c r="AU43" s="1" t="b">
        <f t="shared" si="35"/>
        <v>1</v>
      </c>
      <c r="AX43" s="1" t="b">
        <f t="shared" si="8"/>
        <v>1</v>
      </c>
      <c r="AZ43" s="1" t="b">
        <f t="shared" si="36"/>
        <v>1</v>
      </c>
      <c r="BA43" s="1" t="b">
        <f t="shared" si="37"/>
        <v>1</v>
      </c>
      <c r="BC43">
        <f t="shared" si="38"/>
        <v>1993</v>
      </c>
      <c r="BD43" s="2">
        <f t="shared" ref="BD43" si="43">S43</f>
        <v>23182.246837080969</v>
      </c>
      <c r="BE43" s="2">
        <f t="shared" ref="BE43" si="44">T43</f>
        <v>36909.193887016787</v>
      </c>
      <c r="BF43" s="2"/>
      <c r="BG43" s="2"/>
      <c r="BH43" s="2">
        <f t="shared" ref="BH43" si="45">W43</f>
        <v>27755.454323811951</v>
      </c>
      <c r="BI43" s="2"/>
      <c r="BJ43" s="2">
        <f>Y43</f>
        <v>35307.77222050717</v>
      </c>
      <c r="BK43" s="2">
        <f t="shared" si="40"/>
        <v>123154.66726841687</v>
      </c>
      <c r="BL43" s="2">
        <f t="shared" si="41"/>
        <v>0</v>
      </c>
      <c r="BM43" s="2"/>
    </row>
    <row r="44" spans="1:72" x14ac:dyDescent="0.2">
      <c r="A44">
        <f t="shared" si="6"/>
        <v>1994</v>
      </c>
      <c r="B44" s="2">
        <f t="shared" si="10"/>
        <v>23455.797349758526</v>
      </c>
      <c r="C44" s="2">
        <f t="shared" si="11"/>
        <v>36258.115706849814</v>
      </c>
      <c r="D44" s="2"/>
      <c r="E44" s="2"/>
      <c r="F44" s="2">
        <f t="shared" si="12"/>
        <v>29214.00344852827</v>
      </c>
      <c r="G44" s="2"/>
      <c r="H44" s="2">
        <f t="shared" si="13"/>
        <v>34368.585479441681</v>
      </c>
      <c r="I44" s="2">
        <f t="shared" si="42"/>
        <v>123296.5019845783</v>
      </c>
      <c r="J44" s="2">
        <f t="shared" si="14"/>
        <v>-4692.7133105618414</v>
      </c>
      <c r="K44" s="6">
        <f t="shared" si="15"/>
        <v>-3.6664911959500293E-2</v>
      </c>
      <c r="L44" s="7">
        <f t="shared" si="16"/>
        <v>0.96333508804049972</v>
      </c>
      <c r="N44">
        <f t="shared" si="17"/>
        <v>1994</v>
      </c>
      <c r="O44" s="2">
        <f t="shared" si="18"/>
        <v>4969.9153714715021</v>
      </c>
      <c r="P44" s="2"/>
      <c r="Q44" s="2"/>
      <c r="R44">
        <f t="shared" si="19"/>
        <v>1994</v>
      </c>
      <c r="S44" s="2">
        <f t="shared" si="20"/>
        <v>22213.31850689065</v>
      </c>
      <c r="T44" s="2">
        <f t="shared" si="20"/>
        <v>35015.636863981941</v>
      </c>
      <c r="U44" s="2"/>
      <c r="V44" s="2"/>
      <c r="W44" s="2">
        <f t="shared" si="7"/>
        <v>27971.524605660394</v>
      </c>
      <c r="X44" s="2"/>
      <c r="Y44" s="2">
        <f t="shared" si="21"/>
        <v>33126.106636573808</v>
      </c>
      <c r="Z44" s="2">
        <f t="shared" si="22"/>
        <v>118326.58661310679</v>
      </c>
      <c r="AA44" s="2">
        <f t="shared" si="23"/>
        <v>-4828.0806553100847</v>
      </c>
      <c r="AB44" s="6">
        <f t="shared" si="24"/>
        <v>-3.9203391656990418E-2</v>
      </c>
      <c r="AC44" s="7">
        <f t="shared" si="25"/>
        <v>0.96079660834300962</v>
      </c>
      <c r="AD44" s="2">
        <f t="shared" si="26"/>
        <v>0</v>
      </c>
      <c r="AE44" s="2"/>
      <c r="AG44">
        <f t="shared" si="27"/>
        <v>1994</v>
      </c>
      <c r="AH44" s="6">
        <f t="shared" si="5"/>
        <v>0.18772888784091848</v>
      </c>
      <c r="AI44" s="38">
        <f t="shared" si="5"/>
        <v>0.29592366235048084</v>
      </c>
      <c r="AJ44" s="7"/>
      <c r="AK44" s="7"/>
      <c r="AL44" s="38">
        <f t="shared" si="28"/>
        <v>0.23639255898692549</v>
      </c>
      <c r="AM44" s="7"/>
      <c r="AN44" s="6">
        <f t="shared" si="29"/>
        <v>0.27995489082167524</v>
      </c>
      <c r="AO44" s="6">
        <f t="shared" si="30"/>
        <v>1</v>
      </c>
      <c r="AP44" s="7">
        <f t="shared" si="31"/>
        <v>0.72004510917832476</v>
      </c>
      <c r="AQ44" s="7">
        <f t="shared" si="32"/>
        <v>0</v>
      </c>
      <c r="AR44" s="24"/>
      <c r="AS44">
        <f t="shared" si="33"/>
        <v>1994</v>
      </c>
      <c r="AT44" s="1" t="b">
        <f t="shared" si="34"/>
        <v>1</v>
      </c>
      <c r="AU44" s="1" t="b">
        <f t="shared" ref="AU44" si="46">AND((T44/$Z44)&gt;0.25,(T44/$Z44)&lt;0.35)</f>
        <v>1</v>
      </c>
      <c r="AX44" s="1" t="b">
        <f t="shared" ref="AX44" si="47">AND((W44/$Z44)&gt;0.15,(W44/$Z44)&lt;0.25)</f>
        <v>1</v>
      </c>
      <c r="AZ44" s="1" t="b">
        <f t="shared" si="36"/>
        <v>1</v>
      </c>
      <c r="BA44" s="1" t="b">
        <f t="shared" si="37"/>
        <v>1</v>
      </c>
      <c r="BC44">
        <f t="shared" si="38"/>
        <v>1994</v>
      </c>
      <c r="BD44" s="2">
        <f t="shared" ref="BD44" si="48">S44</f>
        <v>22213.31850689065</v>
      </c>
      <c r="BE44" s="2">
        <f t="shared" ref="BE44" si="49">T44</f>
        <v>35015.636863981941</v>
      </c>
      <c r="BF44" s="2"/>
      <c r="BG44" s="2"/>
      <c r="BH44" s="2">
        <f t="shared" ref="BH44" si="50">W44</f>
        <v>27971.524605660394</v>
      </c>
      <c r="BI44" s="2"/>
      <c r="BJ44" s="2">
        <f>Y44</f>
        <v>33126.106636573808</v>
      </c>
      <c r="BK44" s="2">
        <f t="shared" si="40"/>
        <v>118326.58661310679</v>
      </c>
      <c r="BL44" s="2">
        <f t="shared" si="41"/>
        <v>0</v>
      </c>
      <c r="BM44" s="2"/>
      <c r="BN44" s="2"/>
      <c r="BO44" s="2"/>
      <c r="BP44" s="2"/>
      <c r="BQ44" s="2"/>
      <c r="BR44" s="2"/>
      <c r="BS44" s="2"/>
      <c r="BT44" s="2"/>
    </row>
    <row r="45" spans="1:72" x14ac:dyDescent="0.2">
      <c r="A45">
        <f t="shared" si="6"/>
        <v>1995</v>
      </c>
      <c r="B45" s="2">
        <f t="shared" si="10"/>
        <v>30532.206287721197</v>
      </c>
      <c r="C45" s="2">
        <f t="shared" si="11"/>
        <v>46849.871654901915</v>
      </c>
      <c r="D45" s="2"/>
      <c r="E45" s="2"/>
      <c r="F45" s="2">
        <f t="shared" si="12"/>
        <v>30669.657869122395</v>
      </c>
      <c r="G45" s="2"/>
      <c r="H45" s="2">
        <f t="shared" si="13"/>
        <v>39148.432823102929</v>
      </c>
      <c r="I45" s="2">
        <f t="shared" si="42"/>
        <v>147200.16863484844</v>
      </c>
      <c r="J45" s="2">
        <f t="shared" si="14"/>
        <v>23903.666650270141</v>
      </c>
      <c r="K45" s="6">
        <f t="shared" si="15"/>
        <v>0.19387140969546701</v>
      </c>
      <c r="L45" s="7">
        <f t="shared" si="16"/>
        <v>1.193871409695467</v>
      </c>
      <c r="N45">
        <f t="shared" si="17"/>
        <v>1995</v>
      </c>
      <c r="O45" s="2">
        <f t="shared" si="18"/>
        <v>5099.1331711297616</v>
      </c>
      <c r="P45" s="2"/>
      <c r="Q45" s="2"/>
      <c r="R45">
        <f t="shared" si="19"/>
        <v>1995</v>
      </c>
      <c r="S45" s="2">
        <f t="shared" si="20"/>
        <v>29257.422994938755</v>
      </c>
      <c r="T45" s="2">
        <f t="shared" si="20"/>
        <v>45575.088362119473</v>
      </c>
      <c r="U45" s="2"/>
      <c r="V45" s="2"/>
      <c r="W45" s="2">
        <f t="shared" si="7"/>
        <v>29394.874576339953</v>
      </c>
      <c r="X45" s="2"/>
      <c r="Y45" s="2">
        <f t="shared" si="21"/>
        <v>37873.649530320487</v>
      </c>
      <c r="Z45" s="2">
        <f t="shared" si="22"/>
        <v>142101.03546371867</v>
      </c>
      <c r="AA45" s="2">
        <f t="shared" si="23"/>
        <v>23774.44885061188</v>
      </c>
      <c r="AB45" s="6">
        <f t="shared" si="24"/>
        <v>0.20092229084869448</v>
      </c>
      <c r="AC45" s="7">
        <f t="shared" si="25"/>
        <v>1.2009222908486945</v>
      </c>
      <c r="AD45" s="2">
        <f t="shared" si="26"/>
        <v>0</v>
      </c>
      <c r="AE45" s="2"/>
      <c r="AG45">
        <f t="shared" si="27"/>
        <v>1995</v>
      </c>
      <c r="AH45" s="6">
        <f t="shared" si="5"/>
        <v>0.20589169459225215</v>
      </c>
      <c r="AI45" s="6">
        <f t="shared" si="5"/>
        <v>0.32072312642475947</v>
      </c>
      <c r="AJ45" s="7"/>
      <c r="AK45" s="7"/>
      <c r="AL45" s="6">
        <f t="shared" si="28"/>
        <v>0.206858975238397</v>
      </c>
      <c r="AM45" s="7"/>
      <c r="AN45" s="6">
        <f t="shared" si="29"/>
        <v>0.26652620374459135</v>
      </c>
      <c r="AO45" s="6">
        <f t="shared" si="30"/>
        <v>1</v>
      </c>
      <c r="AP45" s="7">
        <f t="shared" si="31"/>
        <v>0.73347379625540865</v>
      </c>
      <c r="AQ45" s="7">
        <f t="shared" si="32"/>
        <v>0</v>
      </c>
      <c r="AR45" s="24"/>
      <c r="AS45">
        <f t="shared" si="33"/>
        <v>1995</v>
      </c>
      <c r="AT45" s="1" t="b">
        <f t="shared" si="34"/>
        <v>1</v>
      </c>
      <c r="AU45" s="1" t="b">
        <f t="shared" si="35"/>
        <v>1</v>
      </c>
      <c r="AX45" s="1" t="b">
        <f t="shared" si="8"/>
        <v>1</v>
      </c>
      <c r="AZ45" s="1" t="b">
        <f t="shared" si="36"/>
        <v>1</v>
      </c>
      <c r="BA45" s="1" t="b">
        <f t="shared" si="37"/>
        <v>1</v>
      </c>
      <c r="BC45">
        <f t="shared" si="38"/>
        <v>1995</v>
      </c>
      <c r="BD45" s="2">
        <f t="shared" si="39"/>
        <v>29257.422994938755</v>
      </c>
      <c r="BE45" s="2">
        <f t="shared" si="39"/>
        <v>45575.088362119473</v>
      </c>
      <c r="BF45" s="2"/>
      <c r="BG45" s="2"/>
      <c r="BH45" s="2">
        <f t="shared" si="9"/>
        <v>29394.874576339953</v>
      </c>
      <c r="BI45" s="2"/>
      <c r="BJ45" s="2">
        <f>Y45</f>
        <v>37873.649530320487</v>
      </c>
      <c r="BK45" s="2">
        <f t="shared" si="40"/>
        <v>142101.03546371867</v>
      </c>
      <c r="BL45" s="2">
        <f t="shared" si="41"/>
        <v>0</v>
      </c>
      <c r="BM45" s="2"/>
    </row>
    <row r="46" spans="1:72" x14ac:dyDescent="0.2">
      <c r="A46">
        <f t="shared" si="6"/>
        <v>1996</v>
      </c>
      <c r="B46" s="2">
        <f t="shared" si="10"/>
        <v>35951.521376180746</v>
      </c>
      <c r="C46" s="2">
        <f t="shared" si="11"/>
        <v>53617.724205382692</v>
      </c>
      <c r="D46" s="2"/>
      <c r="E46" s="2"/>
      <c r="F46" s="2">
        <f t="shared" si="12"/>
        <v>32398.736809296133</v>
      </c>
      <c r="G46" s="2"/>
      <c r="H46" s="2">
        <f t="shared" si="13"/>
        <v>39229.526183505965</v>
      </c>
      <c r="I46" s="2">
        <f t="shared" si="42"/>
        <v>161197.50857436552</v>
      </c>
      <c r="J46" s="2">
        <f t="shared" si="14"/>
        <v>13997.339939517085</v>
      </c>
      <c r="K46" s="6">
        <f t="shared" si="15"/>
        <v>9.5090515651782545E-2</v>
      </c>
      <c r="L46" s="7">
        <f t="shared" si="16"/>
        <v>1.0950905156517825</v>
      </c>
      <c r="N46">
        <f t="shared" si="17"/>
        <v>1996</v>
      </c>
      <c r="O46" s="2">
        <f t="shared" si="18"/>
        <v>5226.6115004080057</v>
      </c>
      <c r="P46" s="2"/>
      <c r="Q46" s="2"/>
      <c r="R46">
        <f t="shared" si="19"/>
        <v>1996</v>
      </c>
      <c r="S46" s="2">
        <f t="shared" si="20"/>
        <v>34644.868501078745</v>
      </c>
      <c r="T46" s="2">
        <f t="shared" si="20"/>
        <v>52311.071330280691</v>
      </c>
      <c r="U46" s="2"/>
      <c r="V46" s="2"/>
      <c r="W46" s="2">
        <f t="shared" si="7"/>
        <v>31092.083934194132</v>
      </c>
      <c r="X46" s="2"/>
      <c r="Y46" s="2">
        <f t="shared" si="21"/>
        <v>37922.873308403963</v>
      </c>
      <c r="Z46" s="2">
        <f t="shared" si="22"/>
        <v>155970.89707395752</v>
      </c>
      <c r="AA46" s="2">
        <f t="shared" si="23"/>
        <v>13869.861610238848</v>
      </c>
      <c r="AB46" s="6">
        <f t="shared" si="24"/>
        <v>9.7605633660425434E-2</v>
      </c>
      <c r="AC46" s="7">
        <f t="shared" si="25"/>
        <v>1.0976056336604254</v>
      </c>
      <c r="AD46" s="2">
        <f t="shared" si="26"/>
        <v>0</v>
      </c>
      <c r="AE46" s="2"/>
      <c r="AG46">
        <f t="shared" si="27"/>
        <v>1996</v>
      </c>
      <c r="AH46" s="6">
        <f t="shared" si="5"/>
        <v>0.2221239292138649</v>
      </c>
      <c r="AI46" s="6">
        <f t="shared" si="5"/>
        <v>0.33538994973835462</v>
      </c>
      <c r="AJ46" s="7"/>
      <c r="AK46" s="7"/>
      <c r="AL46" s="6">
        <f t="shared" si="28"/>
        <v>0.19934541967435784</v>
      </c>
      <c r="AM46" s="7"/>
      <c r="AN46" s="6">
        <f t="shared" si="29"/>
        <v>0.24314070137342278</v>
      </c>
      <c r="AO46" s="6">
        <f t="shared" si="30"/>
        <v>1</v>
      </c>
      <c r="AP46" s="7">
        <f t="shared" si="31"/>
        <v>0.7568592986265773</v>
      </c>
      <c r="AQ46" s="7">
        <f t="shared" si="32"/>
        <v>0</v>
      </c>
      <c r="AR46" s="24"/>
      <c r="AS46">
        <f t="shared" si="33"/>
        <v>1996</v>
      </c>
      <c r="AT46" s="1" t="b">
        <f t="shared" si="34"/>
        <v>1</v>
      </c>
      <c r="AU46" s="1" t="b">
        <f t="shared" si="35"/>
        <v>1</v>
      </c>
      <c r="AX46" s="1" t="b">
        <f t="shared" si="8"/>
        <v>1</v>
      </c>
      <c r="AZ46" s="39" t="b">
        <f t="shared" si="36"/>
        <v>0</v>
      </c>
      <c r="BA46" s="1" t="b">
        <f t="shared" si="37"/>
        <v>1</v>
      </c>
      <c r="BC46">
        <f t="shared" si="38"/>
        <v>1996</v>
      </c>
      <c r="BD46" s="40">
        <f t="shared" ref="BD46:BE47" si="51">$BK46*BD$39</f>
        <v>31194.179414791506</v>
      </c>
      <c r="BE46" s="40">
        <f t="shared" si="51"/>
        <v>46791.269122187252</v>
      </c>
      <c r="BF46" s="2"/>
      <c r="BG46" s="2"/>
      <c r="BH46" s="40">
        <f t="shared" ref="BH46:BJ47" si="52">$BK46*BH$39</f>
        <v>31194.179414791506</v>
      </c>
      <c r="BI46" s="2"/>
      <c r="BJ46" s="40">
        <f t="shared" si="52"/>
        <v>46791.269122187252</v>
      </c>
      <c r="BK46" s="2">
        <f t="shared" si="40"/>
        <v>155970.89707395752</v>
      </c>
      <c r="BL46" s="2">
        <f t="shared" si="41"/>
        <v>0</v>
      </c>
      <c r="BM46" s="2"/>
    </row>
    <row r="47" spans="1:72" x14ac:dyDescent="0.2">
      <c r="A47">
        <f t="shared" si="6"/>
        <v>1997</v>
      </c>
      <c r="B47" s="2">
        <f t="shared" si="10"/>
        <v>41547.527562560812</v>
      </c>
      <c r="C47" s="2">
        <f t="shared" si="11"/>
        <v>59278.455112825359</v>
      </c>
      <c r="D47" s="2"/>
      <c r="E47" s="2"/>
      <c r="F47" s="2"/>
      <c r="G47" s="2">
        <f>BH46*(1+(G11/100))</f>
        <v>30952.424524326871</v>
      </c>
      <c r="H47" s="2">
        <f t="shared" si="13"/>
        <v>51208.364927321731</v>
      </c>
      <c r="I47" s="2">
        <f t="shared" si="42"/>
        <v>182986.77212703478</v>
      </c>
      <c r="J47" s="2">
        <f t="shared" si="14"/>
        <v>21789.263552669261</v>
      </c>
      <c r="K47" s="6">
        <f t="shared" si="15"/>
        <v>0.13517121787659134</v>
      </c>
      <c r="L47" s="7">
        <f t="shared" si="16"/>
        <v>1.1351712178765914</v>
      </c>
      <c r="N47">
        <f t="shared" si="17"/>
        <v>1997</v>
      </c>
      <c r="O47" s="2">
        <f t="shared" si="18"/>
        <v>5404.3162914218783</v>
      </c>
      <c r="P47" s="2"/>
      <c r="Q47" s="2"/>
      <c r="R47">
        <f t="shared" si="19"/>
        <v>1997</v>
      </c>
      <c r="S47" s="2">
        <f t="shared" si="20"/>
        <v>40196.448489705341</v>
      </c>
      <c r="T47" s="2">
        <f t="shared" si="20"/>
        <v>57927.376039969888</v>
      </c>
      <c r="U47" s="2"/>
      <c r="V47" s="2"/>
      <c r="W47" s="2"/>
      <c r="X47" s="2">
        <f t="shared" ref="X47:X48" si="53">G47-($O47/4)</f>
        <v>29601.345451471399</v>
      </c>
      <c r="Y47" s="2">
        <f t="shared" si="21"/>
        <v>49857.285854466259</v>
      </c>
      <c r="Z47" s="2">
        <f t="shared" si="22"/>
        <v>177582.4558356129</v>
      </c>
      <c r="AA47" s="2">
        <f t="shared" si="23"/>
        <v>21611.558761655382</v>
      </c>
      <c r="AB47" s="6">
        <f t="shared" si="24"/>
        <v>0.13856148273230562</v>
      </c>
      <c r="AC47" s="7">
        <f t="shared" si="25"/>
        <v>1.1385614827323056</v>
      </c>
      <c r="AD47" s="2">
        <f t="shared" si="26"/>
        <v>0</v>
      </c>
      <c r="AE47" s="2"/>
      <c r="AG47">
        <f t="shared" si="27"/>
        <v>1997</v>
      </c>
      <c r="AH47" s="6">
        <f t="shared" si="5"/>
        <v>0.22635371439459634</v>
      </c>
      <c r="AI47" s="6">
        <f t="shared" si="5"/>
        <v>0.32619988144320372</v>
      </c>
      <c r="AJ47" s="7"/>
      <c r="AK47" s="7"/>
      <c r="AL47" s="6">
        <f t="shared" si="28"/>
        <v>0</v>
      </c>
      <c r="AM47" s="7"/>
      <c r="AN47" s="6">
        <f t="shared" si="29"/>
        <v>0.28075569526203015</v>
      </c>
      <c r="AO47" s="6">
        <f t="shared" si="30"/>
        <v>0.83330929109983021</v>
      </c>
      <c r="AP47" s="7">
        <f t="shared" si="31"/>
        <v>0.55255359583780006</v>
      </c>
      <c r="AQ47" s="7">
        <f t="shared" si="32"/>
        <v>0</v>
      </c>
      <c r="AR47" s="24"/>
      <c r="AS47">
        <f t="shared" si="33"/>
        <v>1997</v>
      </c>
      <c r="AT47" s="1" t="b">
        <f t="shared" si="34"/>
        <v>1</v>
      </c>
      <c r="AU47" s="1" t="b">
        <f t="shared" si="35"/>
        <v>1</v>
      </c>
      <c r="AX47" s="39" t="b">
        <f t="shared" si="8"/>
        <v>0</v>
      </c>
      <c r="AY47" s="1" t="b">
        <f t="shared" si="8"/>
        <v>1</v>
      </c>
      <c r="AZ47" s="35" t="b">
        <f t="shared" si="36"/>
        <v>1</v>
      </c>
      <c r="BA47" s="1" t="b">
        <f t="shared" si="37"/>
        <v>1</v>
      </c>
      <c r="BC47">
        <f t="shared" si="38"/>
        <v>1997</v>
      </c>
      <c r="BD47" s="40">
        <f t="shared" si="51"/>
        <v>35516.491167122578</v>
      </c>
      <c r="BE47" s="40">
        <f t="shared" si="51"/>
        <v>53274.736750683871</v>
      </c>
      <c r="BF47" s="2"/>
      <c r="BG47" s="2"/>
      <c r="BH47" s="63"/>
      <c r="BI47" s="40">
        <f t="shared" si="52"/>
        <v>35516.491167122578</v>
      </c>
      <c r="BJ47" s="40">
        <f t="shared" si="52"/>
        <v>53274.736750683871</v>
      </c>
      <c r="BK47" s="2">
        <f t="shared" si="40"/>
        <v>177582.4558356129</v>
      </c>
      <c r="BL47" s="2">
        <f t="shared" si="41"/>
        <v>0</v>
      </c>
      <c r="BM47" s="2"/>
    </row>
    <row r="48" spans="1:72" x14ac:dyDescent="0.2">
      <c r="A48">
        <f t="shared" si="6"/>
        <v>1998</v>
      </c>
      <c r="B48" s="2">
        <f t="shared" si="10"/>
        <v>45695.517535619911</v>
      </c>
      <c r="C48" s="2">
        <f t="shared" si="11"/>
        <v>57724.775511468499</v>
      </c>
      <c r="D48" s="2"/>
      <c r="E48" s="2"/>
      <c r="F48" s="2"/>
      <c r="G48" s="2">
        <f t="shared" ref="G48:G64" si="54">BI47*(1+(G12/100))</f>
        <v>41058.129283928713</v>
      </c>
      <c r="H48" s="2">
        <f t="shared" si="13"/>
        <v>57845.709163892556</v>
      </c>
      <c r="I48" s="2">
        <f t="shared" si="42"/>
        <v>202324.13149490967</v>
      </c>
      <c r="J48" s="2">
        <f t="shared" si="14"/>
        <v>19337.359367874888</v>
      </c>
      <c r="K48" s="6">
        <f t="shared" si="15"/>
        <v>0.1056762690717902</v>
      </c>
      <c r="L48" s="7">
        <f t="shared" si="16"/>
        <v>1.1056762690717903</v>
      </c>
      <c r="N48">
        <f t="shared" si="17"/>
        <v>1998</v>
      </c>
      <c r="O48" s="2">
        <f t="shared" si="18"/>
        <v>5496.1896683760497</v>
      </c>
      <c r="P48" s="2"/>
      <c r="Q48" s="2"/>
      <c r="R48">
        <f t="shared" si="19"/>
        <v>1998</v>
      </c>
      <c r="S48" s="2">
        <f t="shared" si="20"/>
        <v>44321.470118525896</v>
      </c>
      <c r="T48" s="2">
        <f t="shared" si="20"/>
        <v>56350.728094374484</v>
      </c>
      <c r="U48" s="2"/>
      <c r="V48" s="2"/>
      <c r="W48" s="2"/>
      <c r="X48" s="2">
        <f t="shared" si="53"/>
        <v>39684.081866834698</v>
      </c>
      <c r="Y48" s="2">
        <f t="shared" si="21"/>
        <v>56471.661746798542</v>
      </c>
      <c r="Z48" s="2">
        <f t="shared" si="22"/>
        <v>196827.94182653361</v>
      </c>
      <c r="AA48" s="2">
        <f t="shared" si="23"/>
        <v>19245.485990920715</v>
      </c>
      <c r="AB48" s="6">
        <f t="shared" si="24"/>
        <v>0.10837492870768808</v>
      </c>
      <c r="AC48" s="7">
        <f t="shared" si="25"/>
        <v>1.1083749287076881</v>
      </c>
      <c r="AD48" s="2">
        <f t="shared" si="26"/>
        <v>0</v>
      </c>
      <c r="AE48" s="2"/>
      <c r="AG48">
        <f t="shared" si="27"/>
        <v>1998</v>
      </c>
      <c r="AH48" s="6">
        <f t="shared" si="5"/>
        <v>0.22517875108193144</v>
      </c>
      <c r="AI48" s="6">
        <f t="shared" si="5"/>
        <v>0.28629435217097848</v>
      </c>
      <c r="AJ48" s="7"/>
      <c r="AK48" s="7"/>
      <c r="AL48" s="6">
        <f t="shared" si="28"/>
        <v>0</v>
      </c>
      <c r="AM48" s="6"/>
      <c r="AN48" s="38">
        <f t="shared" si="29"/>
        <v>0.28690876520249126</v>
      </c>
      <c r="AO48" s="6">
        <f t="shared" si="30"/>
        <v>0.79838186845540116</v>
      </c>
      <c r="AP48" s="7">
        <f t="shared" si="31"/>
        <v>0.51147310325290996</v>
      </c>
      <c r="AQ48" s="7">
        <f t="shared" si="32"/>
        <v>0</v>
      </c>
      <c r="AR48" s="24"/>
      <c r="AS48">
        <f t="shared" si="33"/>
        <v>1998</v>
      </c>
      <c r="AT48" s="1" t="b">
        <f t="shared" ref="AT48" si="55">AND((S48/$Z48)&gt;0.15,(S48/$Z48)&lt;0.25)</f>
        <v>1</v>
      </c>
      <c r="AU48" s="1" t="b">
        <f t="shared" ref="AU48" si="56">AND((T48/$Z48)&gt;0.25,(T48/$Z48)&lt;0.35)</f>
        <v>1</v>
      </c>
      <c r="AX48" s="1"/>
      <c r="AY48" s="1" t="b">
        <f t="shared" ref="AY48:AY64" si="57">AND((X48/$Z48)&gt;0.15,(X48/$Z48)&lt;0.25)</f>
        <v>1</v>
      </c>
      <c r="AZ48" s="1" t="b">
        <f t="shared" ref="AZ48" si="58">AND((Y48/$Z48)&gt;0.25,(Y48/$Z48)&lt;0.35)</f>
        <v>1</v>
      </c>
      <c r="BA48" s="1" t="b">
        <f t="shared" si="37"/>
        <v>1</v>
      </c>
      <c r="BC48">
        <f t="shared" si="38"/>
        <v>1998</v>
      </c>
      <c r="BD48" s="2">
        <f t="shared" ref="BD48" si="59">S48</f>
        <v>44321.470118525896</v>
      </c>
      <c r="BE48" s="2">
        <f t="shared" ref="BE48" si="60">T48</f>
        <v>56350.728094374484</v>
      </c>
      <c r="BF48" s="2"/>
      <c r="BG48" s="2"/>
      <c r="BH48" s="2"/>
      <c r="BI48" s="2">
        <f t="shared" ref="BI48:BJ48" si="61">X48</f>
        <v>39684.081866834698</v>
      </c>
      <c r="BJ48" s="2">
        <f t="shared" si="61"/>
        <v>56471.661746798542</v>
      </c>
      <c r="BK48" s="2">
        <f t="shared" si="40"/>
        <v>196827.94182653361</v>
      </c>
      <c r="BL48" s="2">
        <f t="shared" si="41"/>
        <v>0</v>
      </c>
      <c r="BM48" s="2"/>
    </row>
    <row r="49" spans="1:65" x14ac:dyDescent="0.2">
      <c r="A49">
        <f t="shared" si="6"/>
        <v>1999</v>
      </c>
      <c r="B49" s="2">
        <f t="shared" si="10"/>
        <v>53660.003872499306</v>
      </c>
      <c r="C49" s="2"/>
      <c r="D49" s="2">
        <f>($BE48*0.67)*(1+(D13/100))</f>
        <v>43538.674407871644</v>
      </c>
      <c r="E49" s="2">
        <f>($BE48*0.33)*(1+(E13/100))</f>
        <v>22897.492868067227</v>
      </c>
      <c r="F49" s="2"/>
      <c r="G49" s="2">
        <f t="shared" si="54"/>
        <v>51557.162320572977</v>
      </c>
      <c r="H49" s="2">
        <f t="shared" si="13"/>
        <v>56042.477117522867</v>
      </c>
      <c r="I49" s="2">
        <f t="shared" si="42"/>
        <v>227695.81058653403</v>
      </c>
      <c r="J49" s="2">
        <f t="shared" si="14"/>
        <v>25371.679091624363</v>
      </c>
      <c r="K49" s="6">
        <f t="shared" si="15"/>
        <v>0.12540115162813734</v>
      </c>
      <c r="L49" s="7">
        <f t="shared" si="16"/>
        <v>1.1254011516281373</v>
      </c>
      <c r="N49">
        <f t="shared" si="17"/>
        <v>1999</v>
      </c>
      <c r="O49" s="2">
        <f t="shared" si="18"/>
        <v>5584.1287030700669</v>
      </c>
      <c r="P49" s="2"/>
      <c r="Q49" s="2"/>
      <c r="R49">
        <f t="shared" si="19"/>
        <v>1999</v>
      </c>
      <c r="S49" s="2">
        <f t="shared" ref="S49" si="62">B49-($O49/5)</f>
        <v>52543.178131885295</v>
      </c>
      <c r="T49" s="2"/>
      <c r="U49" s="2">
        <f t="shared" ref="U49" si="63">D49-($O49/5)</f>
        <v>42421.848667257633</v>
      </c>
      <c r="V49" s="2">
        <f t="shared" ref="V49" si="64">E49-($O49/5)</f>
        <v>21780.667127453213</v>
      </c>
      <c r="W49" s="2"/>
      <c r="X49" s="2">
        <f t="shared" ref="X49" si="65">G49-($O49/5)</f>
        <v>50440.336579958966</v>
      </c>
      <c r="Y49" s="2">
        <f t="shared" ref="Y49" si="66">H49-($O49/5)</f>
        <v>54925.651376908856</v>
      </c>
      <c r="Z49" s="2">
        <f t="shared" si="22"/>
        <v>222111.68188346396</v>
      </c>
      <c r="AA49" s="2">
        <f t="shared" si="23"/>
        <v>25283.740056930343</v>
      </c>
      <c r="AB49" s="6">
        <f t="shared" si="24"/>
        <v>0.12845605061101106</v>
      </c>
      <c r="AC49" s="7">
        <f t="shared" si="25"/>
        <v>1.1284560506110111</v>
      </c>
      <c r="AD49" s="2">
        <f t="shared" si="26"/>
        <v>0</v>
      </c>
      <c r="AE49" s="2"/>
      <c r="AG49">
        <f t="shared" si="27"/>
        <v>1999</v>
      </c>
      <c r="AH49" s="6">
        <f t="shared" si="5"/>
        <v>0.23656197497731477</v>
      </c>
      <c r="AI49" s="6">
        <f t="shared" si="5"/>
        <v>0</v>
      </c>
      <c r="AJ49" s="7"/>
      <c r="AK49" s="7"/>
      <c r="AL49" s="6"/>
      <c r="AM49" s="6">
        <f t="shared" si="28"/>
        <v>0.22709447856247228</v>
      </c>
      <c r="AN49" s="6">
        <f t="shared" si="29"/>
        <v>0.24728844026189883</v>
      </c>
      <c r="AO49" s="6">
        <f t="shared" si="30"/>
        <v>0.7109448938016858</v>
      </c>
      <c r="AP49" s="7">
        <f t="shared" si="31"/>
        <v>0.46365645353978702</v>
      </c>
      <c r="AQ49" s="7">
        <f t="shared" si="32"/>
        <v>0</v>
      </c>
      <c r="AR49" s="24"/>
      <c r="AS49">
        <f t="shared" si="33"/>
        <v>1999</v>
      </c>
      <c r="AT49" s="1" t="b">
        <f t="shared" si="34"/>
        <v>1</v>
      </c>
      <c r="AU49" s="1"/>
      <c r="AV49" s="1" t="b">
        <f t="shared" si="34"/>
        <v>1</v>
      </c>
      <c r="AX49" s="1"/>
      <c r="AY49" s="1" t="b">
        <f t="shared" si="57"/>
        <v>1</v>
      </c>
      <c r="AZ49" s="39" t="b">
        <f t="shared" si="36"/>
        <v>0</v>
      </c>
      <c r="BA49" s="1" t="b">
        <f t="shared" si="37"/>
        <v>1</v>
      </c>
      <c r="BC49">
        <f t="shared" si="38"/>
        <v>1999</v>
      </c>
      <c r="BD49" s="40">
        <f>$BK49*BD$39</f>
        <v>44422.336376692794</v>
      </c>
      <c r="BE49" s="2"/>
      <c r="BF49" s="40">
        <f t="shared" ref="BF49:BG49" si="67">$BK49*BF$39</f>
        <v>44422.336376692794</v>
      </c>
      <c r="BG49" s="40">
        <f t="shared" si="67"/>
        <v>22211.168188346397</v>
      </c>
      <c r="BH49" s="2"/>
      <c r="BI49" s="40">
        <f>$BK49*BI$39</f>
        <v>44422.336376692794</v>
      </c>
      <c r="BJ49" s="40">
        <f t="shared" ref="BJ49" si="68">$BK49*BJ$39</f>
        <v>66633.504565039184</v>
      </c>
      <c r="BK49" s="2">
        <f t="shared" si="40"/>
        <v>222111.68188346396</v>
      </c>
      <c r="BL49" s="2">
        <f t="shared" si="41"/>
        <v>0</v>
      </c>
      <c r="BM49" s="2"/>
    </row>
    <row r="50" spans="1:65" x14ac:dyDescent="0.2">
      <c r="A50">
        <f t="shared" si="6"/>
        <v>2000</v>
      </c>
      <c r="B50" s="2">
        <f t="shared" si="10"/>
        <v>40397.672700964424</v>
      </c>
      <c r="C50" s="2"/>
      <c r="D50" s="2">
        <f t="shared" ref="D50:D51" si="69">BF49*(1+(D14/100))</f>
        <v>52461.890814146653</v>
      </c>
      <c r="E50" s="2">
        <f t="shared" ref="E50:E51" si="70">BG49*(1+(E14/100))</f>
        <v>21619.240556126966</v>
      </c>
      <c r="F50" s="2"/>
      <c r="G50" s="2">
        <f t="shared" si="54"/>
        <v>37486.232774835982</v>
      </c>
      <c r="H50" s="2">
        <f t="shared" si="13"/>
        <v>74223.060734997154</v>
      </c>
      <c r="I50" s="2">
        <f t="shared" si="42"/>
        <v>226188.0975810712</v>
      </c>
      <c r="J50" s="2">
        <f t="shared" si="14"/>
        <v>-1507.713005462836</v>
      </c>
      <c r="K50" s="6">
        <f t="shared" si="15"/>
        <v>-6.621610654930523E-3</v>
      </c>
      <c r="L50" s="7">
        <f t="shared" si="16"/>
        <v>0.9933783893450695</v>
      </c>
      <c r="N50">
        <f t="shared" si="17"/>
        <v>2000</v>
      </c>
      <c r="O50" s="2">
        <f t="shared" si="18"/>
        <v>5734.9001780529579</v>
      </c>
      <c r="P50" s="2"/>
      <c r="Q50" s="2"/>
      <c r="R50">
        <f t="shared" si="19"/>
        <v>2000</v>
      </c>
      <c r="S50" s="2">
        <f t="shared" ref="S50" si="71">B50-($O50/5)</f>
        <v>39250.692665353832</v>
      </c>
      <c r="T50" s="2"/>
      <c r="U50" s="2">
        <f t="shared" ref="U50" si="72">D50-($O50/5)</f>
        <v>51314.910778536061</v>
      </c>
      <c r="V50" s="2">
        <f t="shared" ref="V50" si="73">E50-($O50/5)</f>
        <v>20472.260520516375</v>
      </c>
      <c r="W50" s="2"/>
      <c r="X50" s="2">
        <f t="shared" ref="X50" si="74">G50-($O50/5)</f>
        <v>36339.252739225391</v>
      </c>
      <c r="Y50" s="2">
        <f t="shared" ref="Y50" si="75">H50-($O50/5)</f>
        <v>73076.08069938657</v>
      </c>
      <c r="Z50" s="2">
        <f t="shared" si="22"/>
        <v>220453.19740301822</v>
      </c>
      <c r="AA50" s="2">
        <f t="shared" si="23"/>
        <v>-1658.4844804457389</v>
      </c>
      <c r="AB50" s="6">
        <f t="shared" si="24"/>
        <v>-7.4668944306851056E-3</v>
      </c>
      <c r="AC50" s="7">
        <f t="shared" si="25"/>
        <v>0.99253310556931484</v>
      </c>
      <c r="AD50" s="2">
        <f t="shared" si="26"/>
        <v>0</v>
      </c>
      <c r="AE50" s="2"/>
      <c r="AG50">
        <f t="shared" si="27"/>
        <v>2000</v>
      </c>
      <c r="AH50" s="38">
        <f t="shared" si="5"/>
        <v>0.17804546782598152</v>
      </c>
      <c r="AI50" s="6">
        <f t="shared" si="5"/>
        <v>0</v>
      </c>
      <c r="AJ50" s="7"/>
      <c r="AK50" s="7"/>
      <c r="AL50" s="7"/>
      <c r="AM50" s="6">
        <f t="shared" si="28"/>
        <v>0.16483885544554988</v>
      </c>
      <c r="AN50" s="6">
        <f t="shared" si="29"/>
        <v>0.33148115591081051</v>
      </c>
      <c r="AO50" s="6">
        <f t="shared" si="30"/>
        <v>0.67436547918234191</v>
      </c>
      <c r="AP50" s="7">
        <f t="shared" si="31"/>
        <v>0.3428843232715314</v>
      </c>
      <c r="AQ50" s="7">
        <f t="shared" si="32"/>
        <v>0</v>
      </c>
      <c r="AR50" s="24"/>
      <c r="AS50">
        <f t="shared" si="33"/>
        <v>2000</v>
      </c>
      <c r="AT50" s="1" t="b">
        <f t="shared" si="34"/>
        <v>1</v>
      </c>
      <c r="AU50" s="1"/>
      <c r="AV50" s="1" t="b">
        <f t="shared" si="34"/>
        <v>1</v>
      </c>
      <c r="AY50" s="1" t="b">
        <f t="shared" si="57"/>
        <v>1</v>
      </c>
      <c r="AZ50" s="1" t="b">
        <f t="shared" si="36"/>
        <v>1</v>
      </c>
      <c r="BA50" s="1" t="b">
        <f t="shared" si="37"/>
        <v>1</v>
      </c>
      <c r="BC50">
        <f t="shared" si="38"/>
        <v>2000</v>
      </c>
      <c r="BD50" s="83">
        <f t="shared" ref="BD50" si="76">S50</f>
        <v>39250.692665353832</v>
      </c>
      <c r="BE50" s="83"/>
      <c r="BF50" s="83">
        <f t="shared" ref="BF50" si="77">U50</f>
        <v>51314.910778536061</v>
      </c>
      <c r="BG50" s="83">
        <f t="shared" ref="BG50" si="78">V50</f>
        <v>20472.260520516375</v>
      </c>
      <c r="BH50" s="83"/>
      <c r="BI50" s="83">
        <f>X50</f>
        <v>36339.252739225391</v>
      </c>
      <c r="BJ50" s="83">
        <f t="shared" ref="BJ50" si="79">Y50</f>
        <v>73076.08069938657</v>
      </c>
      <c r="BK50" s="2">
        <f t="shared" si="40"/>
        <v>220453.19740301822</v>
      </c>
      <c r="BL50" s="2">
        <f t="shared" si="41"/>
        <v>0</v>
      </c>
      <c r="BM50" s="2"/>
    </row>
    <row r="51" spans="1:65" x14ac:dyDescent="0.2">
      <c r="A51">
        <f t="shared" si="6"/>
        <v>2001</v>
      </c>
      <c r="B51" s="2">
        <f t="shared" ref="B51:B64" si="80">BD50*(1+(B15/100))</f>
        <v>34532.759406978301</v>
      </c>
      <c r="C51" s="2"/>
      <c r="D51" s="2">
        <f t="shared" si="69"/>
        <v>51058.849373751167</v>
      </c>
      <c r="E51" s="2">
        <f t="shared" si="70"/>
        <v>21106.90059665238</v>
      </c>
      <c r="F51" s="2"/>
      <c r="G51" s="2">
        <f t="shared" si="54"/>
        <v>29015.803134689297</v>
      </c>
      <c r="H51" s="2">
        <f t="shared" si="13"/>
        <v>79236.394302344866</v>
      </c>
      <c r="I51" s="2">
        <f t="shared" si="42"/>
        <v>214950.70681441604</v>
      </c>
      <c r="J51" s="2">
        <f t="shared" si="14"/>
        <v>-11237.390766655153</v>
      </c>
      <c r="K51" s="6">
        <f t="shared" si="15"/>
        <v>-4.968161847078361E-2</v>
      </c>
      <c r="L51" s="7">
        <f t="shared" si="16"/>
        <v>0.95031838152921644</v>
      </c>
      <c r="N51">
        <f t="shared" si="17"/>
        <v>2001</v>
      </c>
      <c r="O51" s="2">
        <f t="shared" si="18"/>
        <v>5929.8867841067586</v>
      </c>
      <c r="P51" s="2"/>
      <c r="Q51" s="2"/>
      <c r="R51">
        <f t="shared" si="19"/>
        <v>2001</v>
      </c>
      <c r="S51" s="2">
        <f>B51-($O51/5)</f>
        <v>33346.782050156951</v>
      </c>
      <c r="T51" s="2"/>
      <c r="U51" s="2">
        <f>D51-($O51/5)</f>
        <v>49872.872016929818</v>
      </c>
      <c r="V51" s="2">
        <f>E51-($O51/5)</f>
        <v>19920.923239831027</v>
      </c>
      <c r="W51" s="2"/>
      <c r="X51" s="2">
        <f>G51-($O51/5)</f>
        <v>27829.825777867944</v>
      </c>
      <c r="Y51" s="2">
        <f>H51-($O51/5)</f>
        <v>78050.41694552351</v>
      </c>
      <c r="Z51" s="2">
        <f t="shared" si="22"/>
        <v>209020.82003030926</v>
      </c>
      <c r="AA51" s="2">
        <f t="shared" si="23"/>
        <v>-11432.377372708957</v>
      </c>
      <c r="AB51" s="6">
        <f t="shared" si="24"/>
        <v>-5.1858523747374041E-2</v>
      </c>
      <c r="AC51" s="7">
        <f t="shared" si="25"/>
        <v>0.9481414762526259</v>
      </c>
      <c r="AD51" s="2">
        <f t="shared" si="26"/>
        <v>0</v>
      </c>
      <c r="AE51" s="2"/>
      <c r="AG51">
        <f t="shared" si="27"/>
        <v>2001</v>
      </c>
      <c r="AH51" s="6">
        <f t="shared" si="5"/>
        <v>0.15953808833647035</v>
      </c>
      <c r="AI51" s="7"/>
      <c r="AJ51" s="6">
        <f t="shared" ref="AJ51:AK64" si="81">U51/$Z51</f>
        <v>0.23860241295435525</v>
      </c>
      <c r="AK51" s="6">
        <f t="shared" si="81"/>
        <v>9.5305928074257751E-2</v>
      </c>
      <c r="AL51" s="7"/>
      <c r="AM51" s="6">
        <f t="shared" si="28"/>
        <v>0.13314379770317833</v>
      </c>
      <c r="AN51" s="6">
        <f t="shared" si="29"/>
        <v>0.37340977293173827</v>
      </c>
      <c r="AO51" s="6">
        <f t="shared" si="30"/>
        <v>0.99999999999999989</v>
      </c>
      <c r="AP51" s="7">
        <f t="shared" si="31"/>
        <v>0.62659022706826162</v>
      </c>
      <c r="AQ51" s="7">
        <f t="shared" si="32"/>
        <v>0</v>
      </c>
      <c r="AR51" s="24"/>
      <c r="AS51">
        <f t="shared" si="33"/>
        <v>2001</v>
      </c>
      <c r="AT51" s="1" t="b">
        <f t="shared" si="34"/>
        <v>1</v>
      </c>
      <c r="AU51" s="1"/>
      <c r="AV51" s="1" t="b">
        <f>AND((U51/$Z51)&gt;0.15,(U51/$Z51)&lt;0.25)</f>
        <v>1</v>
      </c>
      <c r="AW51" s="1" t="b">
        <f>AND((V51/$Z51)&gt;0.05,(V51/$Z51)&lt;0.15)</f>
        <v>1</v>
      </c>
      <c r="AY51" s="39" t="b">
        <f t="shared" ref="AY51" si="82">AND((X51/$Z51)&gt;0.25,(X51/$Z51)&lt;0.35)</f>
        <v>0</v>
      </c>
      <c r="AZ51" s="39" t="b">
        <f t="shared" ref="AZ51" si="83">AND((Y51/$Z51)&gt;0.25,(Y51/$Z51)&lt;0.35)</f>
        <v>0</v>
      </c>
      <c r="BA51" s="1" t="b">
        <f t="shared" si="37"/>
        <v>1</v>
      </c>
      <c r="BC51">
        <f t="shared" si="38"/>
        <v>2001</v>
      </c>
      <c r="BD51" s="40">
        <f>$BK51*BD$39</f>
        <v>41804.164006061852</v>
      </c>
      <c r="BE51" s="2"/>
      <c r="BF51" s="40">
        <f t="shared" ref="BF51:BG53" si="84">$BK51*BF$39</f>
        <v>41804.164006061852</v>
      </c>
      <c r="BG51" s="40">
        <f t="shared" si="84"/>
        <v>20902.082003030926</v>
      </c>
      <c r="BH51" s="2"/>
      <c r="BI51" s="40">
        <f>$BK51*BI$39</f>
        <v>41804.164006061852</v>
      </c>
      <c r="BJ51" s="40">
        <f t="shared" ref="BJ51:BJ53" si="85">$BK51*BJ$39</f>
        <v>62706.246009092778</v>
      </c>
      <c r="BK51" s="2">
        <f t="shared" si="40"/>
        <v>209020.82003030926</v>
      </c>
      <c r="BL51" s="2">
        <f t="shared" si="41"/>
        <v>0</v>
      </c>
      <c r="BM51" s="2"/>
    </row>
    <row r="52" spans="1:65" x14ac:dyDescent="0.2">
      <c r="A52">
        <f t="shared" si="6"/>
        <v>2002</v>
      </c>
      <c r="B52" s="2">
        <f t="shared" si="80"/>
        <v>32544.54167871915</v>
      </c>
      <c r="C52" s="2"/>
      <c r="D52" s="2">
        <f t="shared" ref="D52:D64" si="86">BF51*(1+(D16/100))</f>
        <v>35697.411728056337</v>
      </c>
      <c r="E52" s="2">
        <f t="shared" ref="E52:E64" si="87">BG51*(1+(E16/100))</f>
        <v>16717.067144384077</v>
      </c>
      <c r="F52" s="2"/>
      <c r="G52" s="2">
        <f t="shared" si="54"/>
        <v>35498.841949027541</v>
      </c>
      <c r="H52" s="2">
        <f t="shared" si="13"/>
        <v>67885.781929443838</v>
      </c>
      <c r="I52" s="2">
        <f t="shared" si="42"/>
        <v>188343.64442963095</v>
      </c>
      <c r="J52" s="2">
        <f t="shared" si="14"/>
        <v>-26607.062384785095</v>
      </c>
      <c r="K52" s="6">
        <f t="shared" si="15"/>
        <v>-0.12378215814734249</v>
      </c>
      <c r="L52" s="7">
        <f t="shared" si="16"/>
        <v>0.8762178418526575</v>
      </c>
      <c r="N52">
        <f t="shared" si="17"/>
        <v>2002</v>
      </c>
      <c r="O52" s="2">
        <f t="shared" si="18"/>
        <v>6024.7649726524669</v>
      </c>
      <c r="P52" s="2"/>
      <c r="Q52" s="2"/>
      <c r="R52">
        <f t="shared" si="19"/>
        <v>2002</v>
      </c>
      <c r="S52" s="2">
        <f t="shared" ref="S52:S64" si="88">B52-($O52/5)</f>
        <v>31339.588684188657</v>
      </c>
      <c r="T52" s="2"/>
      <c r="U52" s="2">
        <f t="shared" ref="U52:V64" si="89">D52-($O52/5)</f>
        <v>34492.45873352584</v>
      </c>
      <c r="V52" s="2">
        <f t="shared" si="89"/>
        <v>15512.114149853584</v>
      </c>
      <c r="W52" s="2"/>
      <c r="X52" s="2">
        <f t="shared" ref="X52:Y64" si="90">G52-($O52/5)</f>
        <v>34293.888954497044</v>
      </c>
      <c r="Y52" s="2">
        <f t="shared" si="90"/>
        <v>66680.828934913341</v>
      </c>
      <c r="Z52" s="2">
        <f t="shared" si="22"/>
        <v>182318.87945697847</v>
      </c>
      <c r="AA52" s="2">
        <f t="shared" si="23"/>
        <v>-26701.940573330794</v>
      </c>
      <c r="AB52" s="6">
        <f t="shared" si="24"/>
        <v>-0.12774775531671367</v>
      </c>
      <c r="AC52" s="7">
        <f t="shared" si="25"/>
        <v>0.87225224468328633</v>
      </c>
      <c r="AD52" s="2">
        <f t="shared" si="26"/>
        <v>0</v>
      </c>
      <c r="AE52" s="2"/>
      <c r="AG52">
        <f t="shared" si="27"/>
        <v>2002</v>
      </c>
      <c r="AH52" s="6">
        <f t="shared" si="5"/>
        <v>0.17189436868815233</v>
      </c>
      <c r="AI52" s="7"/>
      <c r="AJ52" s="6">
        <f t="shared" si="81"/>
        <v>0.18918753140793068</v>
      </c>
      <c r="AK52" s="6">
        <f t="shared" si="81"/>
        <v>8.5082324968511869E-2</v>
      </c>
      <c r="AL52" s="7"/>
      <c r="AM52" s="6">
        <f t="shared" si="28"/>
        <v>0.18809839692213184</v>
      </c>
      <c r="AN52" s="6">
        <f t="shared" si="29"/>
        <v>0.36573737801327327</v>
      </c>
      <c r="AO52" s="6">
        <f t="shared" si="30"/>
        <v>1</v>
      </c>
      <c r="AP52" s="7">
        <f t="shared" si="31"/>
        <v>0.63426262198672667</v>
      </c>
      <c r="AQ52" s="7">
        <f t="shared" si="32"/>
        <v>0</v>
      </c>
      <c r="AR52" s="24"/>
      <c r="AS52">
        <f t="shared" si="33"/>
        <v>2002</v>
      </c>
      <c r="AT52" s="1" t="b">
        <f t="shared" si="34"/>
        <v>1</v>
      </c>
      <c r="AV52" s="1" t="b">
        <f t="shared" ref="AV52:AV64" si="91">AND((U52/$Z52)&gt;0.15,(U52/$Z52)&lt;0.25)</f>
        <v>1</v>
      </c>
      <c r="AW52" s="1" t="b">
        <f t="shared" ref="AW52:AW64" si="92">AND((V52/$Z52)&gt;0.05,(V52/$Z52)&lt;0.15)</f>
        <v>1</v>
      </c>
      <c r="AY52" s="1" t="b">
        <f t="shared" si="57"/>
        <v>1</v>
      </c>
      <c r="AZ52" s="39" t="b">
        <f t="shared" si="36"/>
        <v>0</v>
      </c>
      <c r="BA52" s="1" t="b">
        <f t="shared" si="37"/>
        <v>1</v>
      </c>
      <c r="BC52">
        <f t="shared" si="38"/>
        <v>2002</v>
      </c>
      <c r="BD52" s="40">
        <f>$BK52*BD$39</f>
        <v>36463.775891395693</v>
      </c>
      <c r="BE52" s="2"/>
      <c r="BF52" s="40">
        <f t="shared" si="84"/>
        <v>36463.775891395693</v>
      </c>
      <c r="BG52" s="40">
        <f t="shared" si="84"/>
        <v>18231.887945697847</v>
      </c>
      <c r="BH52" s="2"/>
      <c r="BI52" s="40">
        <f>$BK52*BI$39</f>
        <v>36463.775891395693</v>
      </c>
      <c r="BJ52" s="40">
        <f t="shared" si="85"/>
        <v>54695.66383709354</v>
      </c>
      <c r="BK52" s="2">
        <f t="shared" si="40"/>
        <v>182318.87945697847</v>
      </c>
      <c r="BL52" s="2">
        <f t="shared" si="41"/>
        <v>0</v>
      </c>
      <c r="BM52" s="2"/>
    </row>
    <row r="53" spans="1:65" x14ac:dyDescent="0.2">
      <c r="A53">
        <f t="shared" si="6"/>
        <v>2003</v>
      </c>
      <c r="B53" s="2">
        <f t="shared" si="80"/>
        <v>46855.952020443459</v>
      </c>
      <c r="C53" s="2"/>
      <c r="D53" s="2">
        <f t="shared" si="86"/>
        <v>48913.238256236014</v>
      </c>
      <c r="E53" s="2">
        <f t="shared" si="87"/>
        <v>26550.733777560861</v>
      </c>
      <c r="F53" s="2"/>
      <c r="G53" s="2">
        <f t="shared" si="54"/>
        <v>51173.263085984712</v>
      </c>
      <c r="H53" s="2">
        <f t="shared" si="13"/>
        <v>56867.08169142616</v>
      </c>
      <c r="I53" s="2">
        <f t="shared" si="42"/>
        <v>230360.26883165119</v>
      </c>
      <c r="J53" s="2">
        <f t="shared" si="14"/>
        <v>42016.624402020243</v>
      </c>
      <c r="K53" s="6">
        <f t="shared" si="15"/>
        <v>0.22308490700209699</v>
      </c>
      <c r="L53" s="7">
        <f t="shared" si="16"/>
        <v>1.223084907002097</v>
      </c>
      <c r="N53">
        <f t="shared" si="17"/>
        <v>2003</v>
      </c>
      <c r="O53" s="2">
        <f t="shared" si="18"/>
        <v>6175.3840969687781</v>
      </c>
      <c r="P53" s="2"/>
      <c r="Q53" s="2"/>
      <c r="R53">
        <f t="shared" si="19"/>
        <v>2003</v>
      </c>
      <c r="S53" s="2">
        <f t="shared" si="88"/>
        <v>45620.875201049705</v>
      </c>
      <c r="T53" s="2"/>
      <c r="U53" s="2">
        <f t="shared" si="89"/>
        <v>47678.16143684226</v>
      </c>
      <c r="V53" s="2">
        <f t="shared" si="89"/>
        <v>25315.656958167106</v>
      </c>
      <c r="W53" s="2"/>
      <c r="X53" s="2">
        <f t="shared" si="90"/>
        <v>49938.186266590958</v>
      </c>
      <c r="Y53" s="2">
        <f t="shared" si="90"/>
        <v>55632.004872032405</v>
      </c>
      <c r="Z53" s="2">
        <f t="shared" si="22"/>
        <v>224184.88473468242</v>
      </c>
      <c r="AA53" s="2">
        <f t="shared" si="23"/>
        <v>41866.005277703953</v>
      </c>
      <c r="AB53" s="6">
        <f t="shared" si="24"/>
        <v>0.22963066360652473</v>
      </c>
      <c r="AC53" s="7">
        <f t="shared" si="25"/>
        <v>1.2296306636065246</v>
      </c>
      <c r="AD53" s="2">
        <f t="shared" si="26"/>
        <v>0</v>
      </c>
      <c r="AE53" s="2"/>
      <c r="AG53">
        <f t="shared" si="27"/>
        <v>2003</v>
      </c>
      <c r="AH53" s="6">
        <f t="shared" si="5"/>
        <v>0.2034966597103143</v>
      </c>
      <c r="AI53" s="7"/>
      <c r="AJ53" s="6">
        <f t="shared" si="81"/>
        <v>0.21267339898168536</v>
      </c>
      <c r="AK53" s="6">
        <f t="shared" si="81"/>
        <v>0.11292312141439685</v>
      </c>
      <c r="AL53" s="7"/>
      <c r="AM53" s="6">
        <f t="shared" si="28"/>
        <v>0.22275447484201102</v>
      </c>
      <c r="AN53" s="59">
        <f t="shared" si="29"/>
        <v>0.2481523450515925</v>
      </c>
      <c r="AO53" s="6">
        <f t="shared" si="30"/>
        <v>1</v>
      </c>
      <c r="AP53" s="7">
        <f t="shared" si="31"/>
        <v>0.75184765494840755</v>
      </c>
      <c r="AQ53" s="7">
        <f t="shared" si="32"/>
        <v>0</v>
      </c>
      <c r="AR53" s="24"/>
      <c r="AS53">
        <f t="shared" si="33"/>
        <v>2003</v>
      </c>
      <c r="AT53" s="1" t="b">
        <f t="shared" si="34"/>
        <v>1</v>
      </c>
      <c r="AV53" s="1" t="b">
        <f t="shared" si="91"/>
        <v>1</v>
      </c>
      <c r="AW53" s="1" t="b">
        <f t="shared" si="92"/>
        <v>1</v>
      </c>
      <c r="AY53" s="35" t="b">
        <f t="shared" si="57"/>
        <v>1</v>
      </c>
      <c r="AZ53" s="39" t="b">
        <f t="shared" si="36"/>
        <v>0</v>
      </c>
      <c r="BA53" s="1" t="b">
        <f t="shared" si="37"/>
        <v>1</v>
      </c>
      <c r="BC53">
        <f t="shared" si="38"/>
        <v>2003</v>
      </c>
      <c r="BD53" s="40">
        <f>$BK53*BD$39</f>
        <v>44836.976946936484</v>
      </c>
      <c r="BE53" s="2"/>
      <c r="BF53" s="40">
        <f t="shared" si="84"/>
        <v>44836.976946936484</v>
      </c>
      <c r="BG53" s="40">
        <f t="shared" si="84"/>
        <v>22418.488473468242</v>
      </c>
      <c r="BH53" s="2"/>
      <c r="BI53" s="40">
        <f>$BK53*BI$39</f>
        <v>44836.976946936484</v>
      </c>
      <c r="BJ53" s="40">
        <f t="shared" si="85"/>
        <v>67255.465420404726</v>
      </c>
      <c r="BK53" s="2">
        <f t="shared" si="40"/>
        <v>224184.88473468242</v>
      </c>
      <c r="BL53" s="2">
        <f t="shared" si="41"/>
        <v>0</v>
      </c>
      <c r="BM53" s="2"/>
    </row>
    <row r="54" spans="1:65" x14ac:dyDescent="0.2">
      <c r="A54">
        <f t="shared" si="6"/>
        <v>2004</v>
      </c>
      <c r="B54" s="2">
        <f t="shared" si="80"/>
        <v>49652.468271037462</v>
      </c>
      <c r="C54" s="2"/>
      <c r="D54" s="2">
        <f t="shared" si="86"/>
        <v>53962.646864946466</v>
      </c>
      <c r="E54" s="2">
        <f t="shared" si="87"/>
        <v>26879.095125034219</v>
      </c>
      <c r="F54" s="2"/>
      <c r="G54" s="2">
        <f t="shared" si="54"/>
        <v>54179.657833369638</v>
      </c>
      <c r="H54" s="2">
        <f t="shared" si="13"/>
        <v>70107.097154229879</v>
      </c>
      <c r="I54" s="2">
        <f t="shared" si="42"/>
        <v>254780.96524861766</v>
      </c>
      <c r="J54" s="2">
        <f t="shared" si="14"/>
        <v>24420.696416966472</v>
      </c>
      <c r="K54" s="6">
        <f t="shared" si="15"/>
        <v>0.10601088695035896</v>
      </c>
      <c r="L54" s="7">
        <f t="shared" si="16"/>
        <v>1.1060108869503589</v>
      </c>
      <c r="N54">
        <f t="shared" si="17"/>
        <v>2004</v>
      </c>
      <c r="O54" s="2">
        <f t="shared" si="18"/>
        <v>6298.8917789081534</v>
      </c>
      <c r="P54" s="2"/>
      <c r="Q54" s="2"/>
      <c r="R54">
        <f t="shared" si="19"/>
        <v>2004</v>
      </c>
      <c r="S54" s="2">
        <f t="shared" si="88"/>
        <v>48392.689915255833</v>
      </c>
      <c r="T54" s="2"/>
      <c r="U54" s="2">
        <f t="shared" si="89"/>
        <v>52702.868509164837</v>
      </c>
      <c r="V54" s="2">
        <f t="shared" si="89"/>
        <v>25619.316769252589</v>
      </c>
      <c r="W54" s="2"/>
      <c r="X54" s="2">
        <f t="shared" si="90"/>
        <v>52919.879477588009</v>
      </c>
      <c r="Y54" s="2">
        <f t="shared" si="90"/>
        <v>68847.31879844825</v>
      </c>
      <c r="Z54" s="2">
        <f t="shared" si="22"/>
        <v>248482.07346970952</v>
      </c>
      <c r="AA54" s="2">
        <f t="shared" si="23"/>
        <v>24297.188735027099</v>
      </c>
      <c r="AB54" s="6">
        <f t="shared" si="24"/>
        <v>0.10838013795525178</v>
      </c>
      <c r="AC54" s="7">
        <f t="shared" si="25"/>
        <v>1.1083801379552518</v>
      </c>
      <c r="AD54" s="2">
        <f t="shared" si="26"/>
        <v>0</v>
      </c>
      <c r="AE54" s="2"/>
      <c r="AG54">
        <f t="shared" si="27"/>
        <v>2004</v>
      </c>
      <c r="AH54" s="6">
        <f t="shared" si="5"/>
        <v>0.19475324412549624</v>
      </c>
      <c r="AI54" s="7"/>
      <c r="AJ54" s="6">
        <f t="shared" si="81"/>
        <v>0.2120992785243698</v>
      </c>
      <c r="AK54" s="6">
        <f t="shared" si="81"/>
        <v>0.10310327989264641</v>
      </c>
      <c r="AL54" s="7"/>
      <c r="AM54" s="38">
        <f t="shared" si="28"/>
        <v>0.21297262510182269</v>
      </c>
      <c r="AN54" s="38">
        <f t="shared" si="29"/>
        <v>0.27707157235566487</v>
      </c>
      <c r="AO54" s="6">
        <f t="shared" si="30"/>
        <v>1</v>
      </c>
      <c r="AP54" s="7">
        <f t="shared" si="31"/>
        <v>0.72292842764433518</v>
      </c>
      <c r="AQ54" s="7">
        <f t="shared" si="32"/>
        <v>0</v>
      </c>
      <c r="AR54" s="24"/>
      <c r="AS54">
        <f t="shared" si="33"/>
        <v>2004</v>
      </c>
      <c r="AT54" s="1" t="b">
        <f t="shared" si="34"/>
        <v>1</v>
      </c>
      <c r="AV54" s="1" t="b">
        <f t="shared" si="91"/>
        <v>1</v>
      </c>
      <c r="AW54" s="1" t="b">
        <f t="shared" si="92"/>
        <v>1</v>
      </c>
      <c r="AY54" s="1" t="b">
        <f t="shared" si="57"/>
        <v>1</v>
      </c>
      <c r="AZ54" s="1" t="b">
        <f t="shared" si="36"/>
        <v>1</v>
      </c>
      <c r="BA54" s="1" t="b">
        <f t="shared" si="37"/>
        <v>1</v>
      </c>
      <c r="BC54">
        <f t="shared" si="38"/>
        <v>2004</v>
      </c>
      <c r="BD54" s="2">
        <f t="shared" ref="BD54" si="93">S54</f>
        <v>48392.689915255833</v>
      </c>
      <c r="BE54" s="2"/>
      <c r="BF54" s="2">
        <f t="shared" ref="BF54" si="94">U54</f>
        <v>52702.868509164837</v>
      </c>
      <c r="BG54" s="2">
        <f t="shared" ref="BG54" si="95">V54</f>
        <v>25619.316769252589</v>
      </c>
      <c r="BH54" s="2"/>
      <c r="BI54" s="2">
        <f>X54</f>
        <v>52919.879477588009</v>
      </c>
      <c r="BJ54" s="2">
        <f>Y54</f>
        <v>68847.31879844825</v>
      </c>
      <c r="BK54" s="2">
        <f t="shared" si="40"/>
        <v>248482.07346970952</v>
      </c>
      <c r="BL54" s="2">
        <f t="shared" si="41"/>
        <v>0</v>
      </c>
      <c r="BM54" s="2"/>
    </row>
    <row r="55" spans="1:65" x14ac:dyDescent="0.2">
      <c r="A55">
        <f t="shared" si="6"/>
        <v>2005</v>
      </c>
      <c r="B55" s="2">
        <f t="shared" si="80"/>
        <v>50701.021224213539</v>
      </c>
      <c r="C55" s="2"/>
      <c r="D55" s="2">
        <f t="shared" si="86"/>
        <v>60044.905121176591</v>
      </c>
      <c r="E55" s="2">
        <f t="shared" si="87"/>
        <v>27505.667062972661</v>
      </c>
      <c r="F55" s="2"/>
      <c r="G55" s="2">
        <f t="shared" si="54"/>
        <v>61160.03391104324</v>
      </c>
      <c r="H55" s="2">
        <f t="shared" si="13"/>
        <v>70499.654449611015</v>
      </c>
      <c r="I55" s="2">
        <f t="shared" si="42"/>
        <v>269911.28176901705</v>
      </c>
      <c r="J55" s="2">
        <f t="shared" si="14"/>
        <v>15130.316520399385</v>
      </c>
      <c r="K55" s="6">
        <f t="shared" si="15"/>
        <v>5.9385584420072669E-2</v>
      </c>
      <c r="L55" s="7">
        <f t="shared" si="16"/>
        <v>1.0593855844200726</v>
      </c>
      <c r="N55">
        <f t="shared" si="17"/>
        <v>2005</v>
      </c>
      <c r="O55" s="2">
        <f t="shared" si="18"/>
        <v>6506.7552076121219</v>
      </c>
      <c r="P55" s="2"/>
      <c r="Q55" s="2"/>
      <c r="R55">
        <f t="shared" si="19"/>
        <v>2005</v>
      </c>
      <c r="S55" s="2">
        <f t="shared" si="88"/>
        <v>49399.670182691116</v>
      </c>
      <c r="T55" s="2"/>
      <c r="U55" s="2">
        <f t="shared" si="89"/>
        <v>58743.554079654168</v>
      </c>
      <c r="V55" s="2">
        <f t="shared" si="89"/>
        <v>26204.316021450239</v>
      </c>
      <c r="W55" s="2"/>
      <c r="X55" s="2">
        <f t="shared" si="90"/>
        <v>59858.682869520817</v>
      </c>
      <c r="Y55" s="2">
        <f t="shared" si="90"/>
        <v>69198.303408088585</v>
      </c>
      <c r="Z55" s="2">
        <f t="shared" si="22"/>
        <v>263404.52656140493</v>
      </c>
      <c r="AA55" s="2">
        <f t="shared" si="23"/>
        <v>14922.45309169541</v>
      </c>
      <c r="AB55" s="6">
        <f t="shared" si="24"/>
        <v>6.0054445309973191E-2</v>
      </c>
      <c r="AC55" s="7">
        <f t="shared" si="25"/>
        <v>1.0600544453099732</v>
      </c>
      <c r="AD55" s="2">
        <f t="shared" si="26"/>
        <v>0</v>
      </c>
      <c r="AE55" s="2"/>
      <c r="AG55">
        <f t="shared" si="27"/>
        <v>2005</v>
      </c>
      <c r="AH55" s="6">
        <f t="shared" ref="AH55:AH64" si="96">S55/$Z55</f>
        <v>0.18754298123716964</v>
      </c>
      <c r="AI55" s="7"/>
      <c r="AJ55" s="6">
        <f t="shared" si="81"/>
        <v>0.22301649423613781</v>
      </c>
      <c r="AK55" s="6">
        <f t="shared" si="81"/>
        <v>9.9483165166265597E-2</v>
      </c>
      <c r="AL55" s="7"/>
      <c r="AM55" s="6">
        <f t="shared" si="28"/>
        <v>0.22725001597710412</v>
      </c>
      <c r="AN55" s="38">
        <f t="shared" si="29"/>
        <v>0.26270734338332286</v>
      </c>
      <c r="AO55" s="6">
        <f t="shared" si="30"/>
        <v>1</v>
      </c>
      <c r="AP55" s="7">
        <f t="shared" si="31"/>
        <v>0.7372926566166772</v>
      </c>
      <c r="AQ55" s="7">
        <f t="shared" si="32"/>
        <v>0</v>
      </c>
      <c r="AR55" s="24"/>
      <c r="AS55">
        <f t="shared" si="33"/>
        <v>2005</v>
      </c>
      <c r="AT55" s="1" t="b">
        <f t="shared" si="34"/>
        <v>1</v>
      </c>
      <c r="AV55" s="1" t="b">
        <f t="shared" si="91"/>
        <v>1</v>
      </c>
      <c r="AW55" s="1" t="b">
        <f t="shared" si="92"/>
        <v>1</v>
      </c>
      <c r="AY55" s="1" t="b">
        <f t="shared" si="57"/>
        <v>1</v>
      </c>
      <c r="AZ55" s="1" t="b">
        <f t="shared" si="36"/>
        <v>1</v>
      </c>
      <c r="BA55" s="1" t="b">
        <f t="shared" si="37"/>
        <v>1</v>
      </c>
      <c r="BC55">
        <f t="shared" si="38"/>
        <v>2005</v>
      </c>
      <c r="BD55" s="2">
        <f t="shared" ref="BD55" si="97">S55</f>
        <v>49399.670182691116</v>
      </c>
      <c r="BE55" s="2"/>
      <c r="BF55" s="2">
        <f t="shared" ref="BF55" si="98">U55</f>
        <v>58743.554079654168</v>
      </c>
      <c r="BG55" s="2">
        <f t="shared" ref="BG55" si="99">V55</f>
        <v>26204.316021450239</v>
      </c>
      <c r="BH55" s="2"/>
      <c r="BI55" s="2">
        <f>X55</f>
        <v>59858.682869520817</v>
      </c>
      <c r="BJ55" s="2">
        <f>Y55</f>
        <v>69198.303408088585</v>
      </c>
      <c r="BK55" s="2">
        <f t="shared" si="40"/>
        <v>263404.52656140493</v>
      </c>
      <c r="BL55" s="2">
        <f t="shared" si="41"/>
        <v>0</v>
      </c>
      <c r="BM55" s="2"/>
    </row>
    <row r="56" spans="1:65" x14ac:dyDescent="0.2">
      <c r="A56">
        <f t="shared" si="6"/>
        <v>2006</v>
      </c>
      <c r="B56" s="2">
        <f t="shared" si="80"/>
        <v>57125.778599264013</v>
      </c>
      <c r="C56" s="2"/>
      <c r="D56" s="2">
        <f t="shared" si="86"/>
        <v>66730.915127864748</v>
      </c>
      <c r="E56" s="2">
        <f t="shared" si="87"/>
        <v>30306.86373776849</v>
      </c>
      <c r="F56" s="2"/>
      <c r="G56" s="2">
        <f t="shared" si="54"/>
        <v>75803.240225475078</v>
      </c>
      <c r="H56" s="2">
        <f t="shared" si="13"/>
        <v>72153.070963613965</v>
      </c>
      <c r="I56" s="2">
        <f t="shared" si="42"/>
        <v>302119.86865398631</v>
      </c>
      <c r="J56" s="2">
        <f>I56-I55</f>
        <v>32208.586884969263</v>
      </c>
      <c r="K56" s="6">
        <f>(J56/I55)</f>
        <v>0.11933027279879513</v>
      </c>
      <c r="L56" s="7">
        <f t="shared" si="16"/>
        <v>1.119330272798795</v>
      </c>
      <c r="N56">
        <f t="shared" si="17"/>
        <v>2006</v>
      </c>
      <c r="O56" s="2">
        <f t="shared" si="18"/>
        <v>6721.4781294633212</v>
      </c>
      <c r="P56" s="2"/>
      <c r="Q56" s="2"/>
      <c r="R56">
        <f t="shared" si="19"/>
        <v>2006</v>
      </c>
      <c r="S56" s="2">
        <f t="shared" si="88"/>
        <v>55781.482973371349</v>
      </c>
      <c r="T56" s="2"/>
      <c r="U56" s="2">
        <f t="shared" si="89"/>
        <v>65386.619501972084</v>
      </c>
      <c r="V56" s="2">
        <f t="shared" si="89"/>
        <v>28962.568111875826</v>
      </c>
      <c r="W56" s="2"/>
      <c r="X56" s="2">
        <f t="shared" si="90"/>
        <v>74458.944599582406</v>
      </c>
      <c r="Y56" s="2">
        <f t="shared" si="90"/>
        <v>70808.775337721308</v>
      </c>
      <c r="Z56" s="2">
        <f t="shared" si="22"/>
        <v>295398.39052452298</v>
      </c>
      <c r="AA56" s="2">
        <f>Z56-Z55</f>
        <v>31993.863963118056</v>
      </c>
      <c r="AB56" s="6">
        <f>(AA56/Z55)</f>
        <v>0.12146284796536949</v>
      </c>
      <c r="AC56" s="7">
        <f t="shared" si="25"/>
        <v>1.1214628479653694</v>
      </c>
      <c r="AD56" s="2">
        <f t="shared" si="26"/>
        <v>0</v>
      </c>
      <c r="AE56" s="2"/>
      <c r="AG56">
        <f t="shared" si="27"/>
        <v>2006</v>
      </c>
      <c r="AH56" s="6">
        <f t="shared" si="96"/>
        <v>0.1888347559183487</v>
      </c>
      <c r="AI56" s="7"/>
      <c r="AJ56" s="6">
        <f t="shared" si="81"/>
        <v>0.22135062884353768</v>
      </c>
      <c r="AK56" s="6">
        <f t="shared" si="81"/>
        <v>9.8045788470440057E-2</v>
      </c>
      <c r="AL56" s="7"/>
      <c r="AM56" s="6">
        <f t="shared" si="28"/>
        <v>0.25206279718508173</v>
      </c>
      <c r="AN56" s="6">
        <f t="shared" si="29"/>
        <v>0.2397060295825918</v>
      </c>
      <c r="AO56" s="6">
        <f t="shared" si="30"/>
        <v>1</v>
      </c>
      <c r="AP56" s="7">
        <f t="shared" si="31"/>
        <v>0.7602939704174082</v>
      </c>
      <c r="AQ56" s="7">
        <f t="shared" si="32"/>
        <v>0</v>
      </c>
      <c r="AR56" s="24"/>
      <c r="AS56">
        <f t="shared" si="33"/>
        <v>2006</v>
      </c>
      <c r="AT56" s="1" t="b">
        <f t="shared" si="34"/>
        <v>1</v>
      </c>
      <c r="AV56" s="1" t="b">
        <f t="shared" si="91"/>
        <v>1</v>
      </c>
      <c r="AW56" s="1" t="b">
        <f t="shared" si="92"/>
        <v>1</v>
      </c>
      <c r="AY56" s="39" t="b">
        <f t="shared" si="57"/>
        <v>0</v>
      </c>
      <c r="AZ56" s="39" t="b">
        <f t="shared" si="36"/>
        <v>0</v>
      </c>
      <c r="BA56" s="1" t="b">
        <f t="shared" si="37"/>
        <v>1</v>
      </c>
      <c r="BC56">
        <f t="shared" si="38"/>
        <v>2006</v>
      </c>
      <c r="BD56" s="27">
        <f>$BK56*BD$39</f>
        <v>59079.678104904597</v>
      </c>
      <c r="BE56" s="2"/>
      <c r="BF56" s="27">
        <f t="shared" ref="BF56:BG60" si="100">$BK56*BF$39</f>
        <v>59079.678104904597</v>
      </c>
      <c r="BG56" s="27">
        <f t="shared" si="100"/>
        <v>29539.839052452298</v>
      </c>
      <c r="BH56" s="2"/>
      <c r="BI56" s="27">
        <f>$BK56*BI$39</f>
        <v>59079.678104904597</v>
      </c>
      <c r="BJ56" s="27">
        <f t="shared" ref="BJ56:BJ60" si="101">$BK56*BJ$39</f>
        <v>88619.517157356895</v>
      </c>
      <c r="BK56" s="2">
        <f t="shared" si="40"/>
        <v>295398.39052452298</v>
      </c>
      <c r="BL56" s="2">
        <f t="shared" si="41"/>
        <v>0</v>
      </c>
      <c r="BM56" s="2"/>
    </row>
    <row r="57" spans="1:65" x14ac:dyDescent="0.2">
      <c r="A57">
        <f t="shared" si="6"/>
        <v>2007</v>
      </c>
      <c r="B57" s="2">
        <f t="shared" si="80"/>
        <v>62264.072754758956</v>
      </c>
      <c r="C57" s="2"/>
      <c r="D57" s="2">
        <f t="shared" si="86"/>
        <v>62636.865523600907</v>
      </c>
      <c r="E57" s="2">
        <f t="shared" si="87"/>
        <v>29881.319591898646</v>
      </c>
      <c r="F57" s="2"/>
      <c r="G57" s="2">
        <f t="shared" si="54"/>
        <v>68250.02574034789</v>
      </c>
      <c r="H57" s="2">
        <f t="shared" si="13"/>
        <v>94751.987744645987</v>
      </c>
      <c r="I57" s="2">
        <f t="shared" si="42"/>
        <v>317784.27135525236</v>
      </c>
      <c r="J57" s="2">
        <f t="shared" si="14"/>
        <v>15664.402701266052</v>
      </c>
      <c r="K57" s="6">
        <f t="shared" si="15"/>
        <v>5.1848303691692237E-2</v>
      </c>
      <c r="L57" s="7">
        <f t="shared" si="16"/>
        <v>1.0518483036916921</v>
      </c>
      <c r="N57">
        <f t="shared" si="17"/>
        <v>2007</v>
      </c>
      <c r="O57" s="2">
        <f t="shared" si="18"/>
        <v>6889.5150826999034</v>
      </c>
      <c r="P57" s="2"/>
      <c r="Q57" s="2"/>
      <c r="R57">
        <f t="shared" si="19"/>
        <v>2007</v>
      </c>
      <c r="S57" s="2">
        <f t="shared" si="88"/>
        <v>60886.169738218974</v>
      </c>
      <c r="T57" s="2"/>
      <c r="U57" s="2">
        <f t="shared" si="89"/>
        <v>61258.962507060925</v>
      </c>
      <c r="V57" s="2">
        <f t="shared" si="89"/>
        <v>28503.416575358664</v>
      </c>
      <c r="W57" s="2"/>
      <c r="X57" s="2">
        <f t="shared" si="90"/>
        <v>66872.122723807915</v>
      </c>
      <c r="Y57" s="2">
        <f t="shared" si="90"/>
        <v>93374.084728106012</v>
      </c>
      <c r="Z57" s="2">
        <f t="shared" si="22"/>
        <v>310894.75627255253</v>
      </c>
      <c r="AA57" s="2">
        <f t="shared" ref="AA57:AA64" si="102">Z57-Z56</f>
        <v>15496.365748029551</v>
      </c>
      <c r="AB57" s="6">
        <f t="shared" ref="AB57:AB64" si="103">(AA57/Z56)</f>
        <v>5.245920846255625E-2</v>
      </c>
      <c r="AC57" s="7">
        <f t="shared" si="25"/>
        <v>1.0524592084625564</v>
      </c>
      <c r="AD57" s="2">
        <f t="shared" si="26"/>
        <v>0</v>
      </c>
      <c r="AE57" s="2"/>
      <c r="AG57">
        <f t="shared" si="27"/>
        <v>2007</v>
      </c>
      <c r="AH57" s="6">
        <f t="shared" si="96"/>
        <v>0.1958417390766212</v>
      </c>
      <c r="AI57" s="7"/>
      <c r="AJ57" s="6">
        <f t="shared" si="81"/>
        <v>0.19704083543100015</v>
      </c>
      <c r="AK57" s="6">
        <f t="shared" si="81"/>
        <v>9.168188269592599E-2</v>
      </c>
      <c r="AL57" s="7"/>
      <c r="AM57" s="6">
        <f t="shared" ref="AM57:AM64" si="104">X57/$Z57</f>
        <v>0.21509569194915285</v>
      </c>
      <c r="AN57" s="6">
        <f t="shared" si="29"/>
        <v>0.30033985084729969</v>
      </c>
      <c r="AO57" s="6">
        <f t="shared" si="30"/>
        <v>0.99999999999999978</v>
      </c>
      <c r="AP57" s="7">
        <f t="shared" si="31"/>
        <v>0.69966014915270014</v>
      </c>
      <c r="AQ57" s="7">
        <f t="shared" si="32"/>
        <v>0</v>
      </c>
      <c r="AR57" s="24"/>
      <c r="AS57">
        <f t="shared" si="33"/>
        <v>2007</v>
      </c>
      <c r="AT57" s="1" t="b">
        <f t="shared" si="34"/>
        <v>1</v>
      </c>
      <c r="AV57" s="1" t="b">
        <f t="shared" si="91"/>
        <v>1</v>
      </c>
      <c r="AW57" s="1" t="b">
        <f t="shared" si="92"/>
        <v>1</v>
      </c>
      <c r="AY57" s="1" t="b">
        <f t="shared" si="57"/>
        <v>1</v>
      </c>
      <c r="AZ57" s="1" t="b">
        <f t="shared" si="36"/>
        <v>1</v>
      </c>
      <c r="BA57" s="1" t="b">
        <f t="shared" si="37"/>
        <v>1</v>
      </c>
      <c r="BC57">
        <f t="shared" si="38"/>
        <v>2007</v>
      </c>
      <c r="BD57" s="2">
        <f t="shared" ref="BD57" si="105">S57</f>
        <v>60886.169738218974</v>
      </c>
      <c r="BE57" s="2"/>
      <c r="BF57" s="2">
        <f t="shared" ref="BF57" si="106">U57</f>
        <v>61258.962507060925</v>
      </c>
      <c r="BG57" s="2">
        <f t="shared" ref="BG57" si="107">V57</f>
        <v>28503.416575358664</v>
      </c>
      <c r="BH57" s="2"/>
      <c r="BI57" s="2">
        <f>X57</f>
        <v>66872.122723807915</v>
      </c>
      <c r="BJ57" s="2">
        <f>Y57</f>
        <v>93374.084728106012</v>
      </c>
      <c r="BK57" s="2">
        <f t="shared" si="40"/>
        <v>310894.75627255253</v>
      </c>
      <c r="BL57" s="2">
        <f t="shared" si="41"/>
        <v>0</v>
      </c>
      <c r="BM57" s="2"/>
    </row>
    <row r="58" spans="1:65" x14ac:dyDescent="0.2">
      <c r="A58">
        <f t="shared" si="6"/>
        <v>2008</v>
      </c>
      <c r="B58" s="2">
        <f t="shared" si="80"/>
        <v>38346.109701130306</v>
      </c>
      <c r="C58" s="2"/>
      <c r="D58" s="2">
        <f t="shared" si="86"/>
        <v>35638.014028107769</v>
      </c>
      <c r="E58" s="2">
        <f t="shared" si="87"/>
        <v>18222.234216626792</v>
      </c>
      <c r="F58" s="2"/>
      <c r="G58" s="2">
        <f t="shared" si="54"/>
        <v>37380.847881381385</v>
      </c>
      <c r="H58" s="2">
        <f t="shared" si="13"/>
        <v>98089.476006875368</v>
      </c>
      <c r="I58" s="2">
        <f t="shared" si="42"/>
        <v>227676.68183412164</v>
      </c>
      <c r="J58" s="2">
        <f t="shared" si="14"/>
        <v>-90107.589521130722</v>
      </c>
      <c r="K58" s="6">
        <f t="shared" si="15"/>
        <v>-0.28354955749335709</v>
      </c>
      <c r="L58" s="7">
        <f t="shared" si="16"/>
        <v>0.71645044250664291</v>
      </c>
      <c r="N58">
        <f t="shared" si="17"/>
        <v>2008</v>
      </c>
      <c r="O58" s="2">
        <f t="shared" si="18"/>
        <v>7171.9852010905988</v>
      </c>
      <c r="P58" s="2"/>
      <c r="Q58" s="2"/>
      <c r="R58">
        <f t="shared" si="19"/>
        <v>2008</v>
      </c>
      <c r="S58" s="2">
        <f t="shared" si="88"/>
        <v>36911.712660912184</v>
      </c>
      <c r="T58" s="2"/>
      <c r="U58" s="2">
        <f t="shared" si="89"/>
        <v>34203.616987889647</v>
      </c>
      <c r="V58" s="2">
        <f t="shared" si="89"/>
        <v>16787.837176408673</v>
      </c>
      <c r="W58" s="2"/>
      <c r="X58" s="2">
        <f t="shared" si="90"/>
        <v>35946.450841163263</v>
      </c>
      <c r="Y58" s="2">
        <f t="shared" si="90"/>
        <v>96655.078966657253</v>
      </c>
      <c r="Z58" s="2">
        <f t="shared" si="22"/>
        <v>220504.69663303101</v>
      </c>
      <c r="AA58" s="2">
        <f t="shared" si="102"/>
        <v>-90390.059639521525</v>
      </c>
      <c r="AB58" s="6">
        <f t="shared" si="103"/>
        <v>-0.29074166680469565</v>
      </c>
      <c r="AC58" s="7">
        <f t="shared" si="25"/>
        <v>0.7092583331953044</v>
      </c>
      <c r="AD58" s="2">
        <f t="shared" si="26"/>
        <v>0</v>
      </c>
      <c r="AE58" s="2"/>
      <c r="AG58">
        <f t="shared" si="27"/>
        <v>2008</v>
      </c>
      <c r="AH58" s="6">
        <f t="shared" si="96"/>
        <v>0.16739649188670799</v>
      </c>
      <c r="AI58" s="7"/>
      <c r="AJ58" s="6">
        <f t="shared" si="81"/>
        <v>0.15511514044896782</v>
      </c>
      <c r="AK58" s="6">
        <f t="shared" si="81"/>
        <v>7.6133694350952436E-2</v>
      </c>
      <c r="AL58" s="7"/>
      <c r="AM58" s="38">
        <f t="shared" si="104"/>
        <v>0.16301898050265193</v>
      </c>
      <c r="AN58" s="38">
        <f t="shared" si="29"/>
        <v>0.43833569281071988</v>
      </c>
      <c r="AO58" s="6">
        <f t="shared" si="30"/>
        <v>1</v>
      </c>
      <c r="AP58" s="7">
        <f t="shared" si="31"/>
        <v>0.56166430718928018</v>
      </c>
      <c r="AQ58" s="7">
        <f t="shared" si="32"/>
        <v>0</v>
      </c>
      <c r="AR58" s="24"/>
      <c r="AS58">
        <f t="shared" si="33"/>
        <v>2008</v>
      </c>
      <c r="AT58" s="1" t="b">
        <f t="shared" si="34"/>
        <v>1</v>
      </c>
      <c r="AV58" s="35" t="b">
        <f t="shared" si="91"/>
        <v>1</v>
      </c>
      <c r="AW58" s="1" t="b">
        <f t="shared" si="92"/>
        <v>1</v>
      </c>
      <c r="AY58" s="1" t="b">
        <f t="shared" ref="AY58" si="108">AND((X58/$Z58)&gt;0.15,(X58/$Z58)&lt;0.25)</f>
        <v>1</v>
      </c>
      <c r="AZ58" s="39" t="b">
        <f t="shared" ref="AZ58" si="109">AND((Y58/$Z58)&gt;0.25,(Y58/$Z58)&lt;0.35)</f>
        <v>0</v>
      </c>
      <c r="BA58" s="1" t="b">
        <f t="shared" si="37"/>
        <v>1</v>
      </c>
      <c r="BC58">
        <f t="shared" si="38"/>
        <v>2008</v>
      </c>
      <c r="BD58" s="27">
        <f>$BK58*BD$39</f>
        <v>44100.939326606203</v>
      </c>
      <c r="BE58" s="2"/>
      <c r="BF58" s="27">
        <f t="shared" si="100"/>
        <v>44100.939326606203</v>
      </c>
      <c r="BG58" s="27">
        <f t="shared" si="100"/>
        <v>22050.469663303102</v>
      </c>
      <c r="BH58" s="2"/>
      <c r="BI58" s="27">
        <f>$BK58*BI$39</f>
        <v>44100.939326606203</v>
      </c>
      <c r="BJ58" s="27">
        <f t="shared" si="101"/>
        <v>66151.408989909294</v>
      </c>
      <c r="BK58" s="2">
        <f t="shared" si="40"/>
        <v>220504.69663303101</v>
      </c>
      <c r="BL58" s="2">
        <f t="shared" si="41"/>
        <v>0</v>
      </c>
      <c r="BM58" s="2"/>
    </row>
    <row r="59" spans="1:65" x14ac:dyDescent="0.2">
      <c r="A59">
        <f t="shared" si="6"/>
        <v>2009</v>
      </c>
      <c r="B59" s="2">
        <f t="shared" si="80"/>
        <v>55783.278154224186</v>
      </c>
      <c r="C59" s="2"/>
      <c r="D59" s="2">
        <f t="shared" si="86"/>
        <v>61837.455104980683</v>
      </c>
      <c r="E59" s="2">
        <f t="shared" si="87"/>
        <v>30014.658296294918</v>
      </c>
      <c r="F59" s="2"/>
      <c r="G59" s="2">
        <f t="shared" si="54"/>
        <v>60297.891313088861</v>
      </c>
      <c r="H59" s="2">
        <f t="shared" si="13"/>
        <v>70074.187543010907</v>
      </c>
      <c r="I59" s="2">
        <f t="shared" si="42"/>
        <v>278007.47041159956</v>
      </c>
      <c r="J59" s="2">
        <f t="shared" si="14"/>
        <v>50330.788577477913</v>
      </c>
      <c r="K59" s="6">
        <f t="shared" si="15"/>
        <v>0.22106255314344139</v>
      </c>
      <c r="L59" s="7">
        <f t="shared" si="16"/>
        <v>1.2210625531434414</v>
      </c>
      <c r="N59">
        <f t="shared" si="17"/>
        <v>2009</v>
      </c>
      <c r="O59" s="2">
        <f t="shared" si="18"/>
        <v>7171.9852010905988</v>
      </c>
      <c r="P59" s="2"/>
      <c r="Q59" s="2"/>
      <c r="R59">
        <f t="shared" si="19"/>
        <v>2009</v>
      </c>
      <c r="S59" s="2">
        <f t="shared" si="88"/>
        <v>54348.881114006064</v>
      </c>
      <c r="T59" s="2"/>
      <c r="U59" s="2">
        <f t="shared" si="89"/>
        <v>60403.058064762561</v>
      </c>
      <c r="V59" s="2">
        <f t="shared" si="89"/>
        <v>28580.261256076799</v>
      </c>
      <c r="W59" s="2"/>
      <c r="X59" s="2">
        <f t="shared" si="90"/>
        <v>58863.494272870739</v>
      </c>
      <c r="Y59" s="2">
        <f t="shared" si="90"/>
        <v>68639.790502792792</v>
      </c>
      <c r="Z59" s="2">
        <f t="shared" si="22"/>
        <v>270835.48521050898</v>
      </c>
      <c r="AA59" s="2">
        <f t="shared" si="102"/>
        <v>50330.788577477972</v>
      </c>
      <c r="AB59" s="6">
        <f t="shared" si="103"/>
        <v>0.22825268280448296</v>
      </c>
      <c r="AC59" s="7">
        <f t="shared" si="25"/>
        <v>1.2282526828044831</v>
      </c>
      <c r="AD59" s="2">
        <f t="shared" si="26"/>
        <v>0</v>
      </c>
      <c r="AE59" s="2"/>
      <c r="AG59">
        <f t="shared" si="27"/>
        <v>2009</v>
      </c>
      <c r="AH59" s="6">
        <f t="shared" si="96"/>
        <v>0.2006711973941043</v>
      </c>
      <c r="AI59" s="7"/>
      <c r="AJ59" s="6">
        <f t="shared" si="81"/>
        <v>0.22302490391099902</v>
      </c>
      <c r="AK59" s="6">
        <f t="shared" si="81"/>
        <v>0.10552628003624624</v>
      </c>
      <c r="AL59" s="7"/>
      <c r="AM59" s="6">
        <f t="shared" si="104"/>
        <v>0.21734040584496758</v>
      </c>
      <c r="AN59" s="6">
        <f t="shared" si="29"/>
        <v>0.25343721281368276</v>
      </c>
      <c r="AO59" s="6">
        <f t="shared" si="30"/>
        <v>1</v>
      </c>
      <c r="AP59" s="7">
        <f t="shared" si="31"/>
        <v>0.74656278718631719</v>
      </c>
      <c r="AQ59" s="7">
        <f t="shared" si="32"/>
        <v>0</v>
      </c>
      <c r="AR59" s="24"/>
      <c r="AS59">
        <f t="shared" si="33"/>
        <v>2009</v>
      </c>
      <c r="AT59" s="1" t="b">
        <f t="shared" si="34"/>
        <v>1</v>
      </c>
      <c r="AV59" s="1" t="b">
        <f t="shared" si="91"/>
        <v>1</v>
      </c>
      <c r="AW59" s="1" t="b">
        <f t="shared" si="92"/>
        <v>1</v>
      </c>
      <c r="AY59" s="1" t="b">
        <f t="shared" si="57"/>
        <v>1</v>
      </c>
      <c r="AZ59" s="1" t="b">
        <f t="shared" si="36"/>
        <v>1</v>
      </c>
      <c r="BA59" s="1" t="b">
        <f t="shared" si="37"/>
        <v>1</v>
      </c>
      <c r="BC59">
        <f t="shared" si="38"/>
        <v>2009</v>
      </c>
      <c r="BD59" s="2">
        <f t="shared" ref="BD59" si="110">S59</f>
        <v>54348.881114006064</v>
      </c>
      <c r="BE59" s="2"/>
      <c r="BF59" s="2">
        <f t="shared" ref="BF59" si="111">U59</f>
        <v>60403.058064762561</v>
      </c>
      <c r="BG59" s="2">
        <f t="shared" ref="BG59" si="112">V59</f>
        <v>28580.261256076799</v>
      </c>
      <c r="BH59" s="2"/>
      <c r="BI59" s="2">
        <f>X59</f>
        <v>58863.494272870739</v>
      </c>
      <c r="BJ59" s="2">
        <f>Y59</f>
        <v>68639.790502792792</v>
      </c>
      <c r="BK59" s="2">
        <f t="shared" si="40"/>
        <v>270835.48521050898</v>
      </c>
      <c r="BL59" s="2">
        <f t="shared" si="41"/>
        <v>0</v>
      </c>
      <c r="BM59" s="2"/>
    </row>
    <row r="60" spans="1:65" x14ac:dyDescent="0.2">
      <c r="A60">
        <f t="shared" si="6"/>
        <v>2010</v>
      </c>
      <c r="B60" s="2">
        <f t="shared" si="80"/>
        <v>62452.299288104368</v>
      </c>
      <c r="C60" s="2"/>
      <c r="D60" s="2">
        <f t="shared" si="86"/>
        <v>75781.6766480511</v>
      </c>
      <c r="E60" s="2">
        <f t="shared" si="87"/>
        <v>36502.709676261293</v>
      </c>
      <c r="F60" s="2"/>
      <c r="G60" s="2">
        <f t="shared" si="54"/>
        <v>65409.114836013963</v>
      </c>
      <c r="H60" s="2">
        <f t="shared" si="13"/>
        <v>73046.465053072097</v>
      </c>
      <c r="I60" s="2">
        <f t="shared" si="42"/>
        <v>313192.26550150284</v>
      </c>
      <c r="J60" s="2">
        <f t="shared" si="14"/>
        <v>35184.795089903288</v>
      </c>
      <c r="K60" s="6">
        <f t="shared" si="15"/>
        <v>0.12656061018004658</v>
      </c>
      <c r="L60" s="7">
        <f t="shared" si="16"/>
        <v>1.1265606101800465</v>
      </c>
      <c r="N60">
        <f t="shared" si="17"/>
        <v>2010</v>
      </c>
      <c r="O60" s="2">
        <f t="shared" si="18"/>
        <v>7372.8007867211354</v>
      </c>
      <c r="P60" s="2"/>
      <c r="Q60" s="2"/>
      <c r="R60">
        <f t="shared" si="19"/>
        <v>2010</v>
      </c>
      <c r="S60" s="2">
        <f t="shared" si="88"/>
        <v>60977.739130760143</v>
      </c>
      <c r="T60" s="2"/>
      <c r="U60" s="2">
        <f t="shared" si="89"/>
        <v>74307.116490706874</v>
      </c>
      <c r="V60" s="2">
        <f t="shared" si="89"/>
        <v>35028.149518917067</v>
      </c>
      <c r="W60" s="2"/>
      <c r="X60" s="2">
        <f t="shared" si="90"/>
        <v>63934.554678669738</v>
      </c>
      <c r="Y60" s="2">
        <f t="shared" si="90"/>
        <v>71571.904895727872</v>
      </c>
      <c r="Z60" s="2">
        <f t="shared" si="22"/>
        <v>305819.46471478167</v>
      </c>
      <c r="AA60" s="2">
        <f t="shared" si="102"/>
        <v>34983.979504272691</v>
      </c>
      <c r="AB60" s="6">
        <f t="shared" si="103"/>
        <v>0.12917059032010197</v>
      </c>
      <c r="AC60" s="7">
        <f t="shared" si="25"/>
        <v>1.1291705903201019</v>
      </c>
      <c r="AD60" s="2">
        <f t="shared" si="26"/>
        <v>0</v>
      </c>
      <c r="AE60" s="2"/>
      <c r="AG60">
        <f t="shared" si="27"/>
        <v>2010</v>
      </c>
      <c r="AH60" s="6">
        <f t="shared" si="96"/>
        <v>0.19939129508198633</v>
      </c>
      <c r="AI60" s="7"/>
      <c r="AJ60" s="6">
        <f t="shared" si="81"/>
        <v>0.24297706674756098</v>
      </c>
      <c r="AK60" s="6">
        <f t="shared" si="81"/>
        <v>0.11453865289963015</v>
      </c>
      <c r="AL60" s="7"/>
      <c r="AM60" s="6">
        <f t="shared" si="104"/>
        <v>0.20905979525632035</v>
      </c>
      <c r="AN60" s="38">
        <f t="shared" si="29"/>
        <v>0.23403319001450226</v>
      </c>
      <c r="AO60" s="6">
        <f t="shared" si="30"/>
        <v>1</v>
      </c>
      <c r="AP60" s="7">
        <f t="shared" si="31"/>
        <v>0.76596680998549782</v>
      </c>
      <c r="AQ60" s="7">
        <f t="shared" si="32"/>
        <v>0</v>
      </c>
      <c r="AR60" s="24"/>
      <c r="AS60">
        <f t="shared" si="33"/>
        <v>2010</v>
      </c>
      <c r="AT60" s="1" t="b">
        <f t="shared" si="34"/>
        <v>1</v>
      </c>
      <c r="AV60" s="1" t="b">
        <f t="shared" si="91"/>
        <v>1</v>
      </c>
      <c r="AW60" s="1" t="b">
        <f t="shared" si="92"/>
        <v>1</v>
      </c>
      <c r="AY60" s="1" t="b">
        <f t="shared" si="57"/>
        <v>1</v>
      </c>
      <c r="AZ60" s="39" t="b">
        <f t="shared" si="36"/>
        <v>0</v>
      </c>
      <c r="BA60" s="1" t="b">
        <f t="shared" si="37"/>
        <v>1</v>
      </c>
      <c r="BC60">
        <f t="shared" si="38"/>
        <v>2010</v>
      </c>
      <c r="BD60" s="27">
        <f>$BK60*BD$39</f>
        <v>61163.892942956336</v>
      </c>
      <c r="BE60" s="2"/>
      <c r="BF60" s="27">
        <f t="shared" si="100"/>
        <v>61163.892942956336</v>
      </c>
      <c r="BG60" s="27">
        <f t="shared" si="100"/>
        <v>30581.946471478168</v>
      </c>
      <c r="BH60" s="2"/>
      <c r="BI60" s="27">
        <f>$BK60*BI$39</f>
        <v>61163.892942956336</v>
      </c>
      <c r="BJ60" s="27">
        <f t="shared" si="101"/>
        <v>91745.839414434493</v>
      </c>
      <c r="BK60" s="2">
        <f t="shared" si="40"/>
        <v>305819.46471478167</v>
      </c>
      <c r="BL60" s="2">
        <f t="shared" si="41"/>
        <v>0</v>
      </c>
      <c r="BM60" s="2"/>
    </row>
    <row r="61" spans="1:65" x14ac:dyDescent="0.2">
      <c r="A61">
        <f t="shared" si="6"/>
        <v>2011</v>
      </c>
      <c r="B61" s="2">
        <f t="shared" si="80"/>
        <v>62368.821633932581</v>
      </c>
      <c r="C61" s="2"/>
      <c r="D61" s="2">
        <f t="shared" si="86"/>
        <v>59873.334801859957</v>
      </c>
      <c r="E61" s="2">
        <f t="shared" si="87"/>
        <v>29725.65197027678</v>
      </c>
      <c r="F61" s="2"/>
      <c r="G61" s="2">
        <f t="shared" si="54"/>
        <v>52258.430130461893</v>
      </c>
      <c r="H61" s="2">
        <f t="shared" si="13"/>
        <v>98681.824874165744</v>
      </c>
      <c r="I61" s="2">
        <f t="shared" si="42"/>
        <v>302908.06341069698</v>
      </c>
      <c r="J61" s="2">
        <f t="shared" si="14"/>
        <v>-10284.202090805862</v>
      </c>
      <c r="K61" s="6">
        <f t="shared" si="15"/>
        <v>-3.2836705192378107E-2</v>
      </c>
      <c r="L61" s="7">
        <f t="shared" si="16"/>
        <v>0.96716329480762186</v>
      </c>
      <c r="N61">
        <f t="shared" si="17"/>
        <v>2011</v>
      </c>
      <c r="O61" s="2">
        <f t="shared" si="18"/>
        <v>7476.0199977352313</v>
      </c>
      <c r="P61" s="2"/>
      <c r="Q61" s="2"/>
      <c r="R61">
        <f t="shared" si="19"/>
        <v>2011</v>
      </c>
      <c r="S61" s="2">
        <f t="shared" si="88"/>
        <v>60873.617634385533</v>
      </c>
      <c r="T61" s="2"/>
      <c r="U61" s="2">
        <f t="shared" si="89"/>
        <v>58378.13080231291</v>
      </c>
      <c r="V61" s="2">
        <f t="shared" si="89"/>
        <v>28230.447970729732</v>
      </c>
      <c r="W61" s="2"/>
      <c r="X61" s="2">
        <f t="shared" si="90"/>
        <v>50763.226130914845</v>
      </c>
      <c r="Y61" s="2">
        <f t="shared" si="90"/>
        <v>97186.620874618704</v>
      </c>
      <c r="Z61" s="2">
        <f t="shared" si="22"/>
        <v>295432.04341296176</v>
      </c>
      <c r="AA61" s="2">
        <f t="shared" si="102"/>
        <v>-10387.421301819908</v>
      </c>
      <c r="AB61" s="6">
        <f t="shared" si="103"/>
        <v>-3.3965860582182344E-2</v>
      </c>
      <c r="AC61" s="7">
        <f t="shared" si="25"/>
        <v>0.96603413941781768</v>
      </c>
      <c r="AD61" s="2">
        <f t="shared" si="26"/>
        <v>0</v>
      </c>
      <c r="AE61" s="2"/>
      <c r="AG61">
        <f t="shared" si="27"/>
        <v>2011</v>
      </c>
      <c r="AH61" s="6">
        <f t="shared" si="96"/>
        <v>0.20604947564640094</v>
      </c>
      <c r="AI61" s="7"/>
      <c r="AJ61" s="6">
        <f t="shared" si="81"/>
        <v>0.19760256919968089</v>
      </c>
      <c r="AK61" s="6">
        <f t="shared" si="81"/>
        <v>9.5556486170555843E-2</v>
      </c>
      <c r="AL61" s="7"/>
      <c r="AM61" s="6">
        <f t="shared" si="104"/>
        <v>0.17182708261593962</v>
      </c>
      <c r="AN61" s="6">
        <f t="shared" si="29"/>
        <v>0.32896438636742253</v>
      </c>
      <c r="AO61" s="6">
        <f t="shared" si="30"/>
        <v>0.99999999999999989</v>
      </c>
      <c r="AP61" s="7">
        <f t="shared" si="31"/>
        <v>0.67103561363257735</v>
      </c>
      <c r="AQ61" s="7">
        <f t="shared" si="32"/>
        <v>0</v>
      </c>
      <c r="AR61" s="24"/>
      <c r="AS61">
        <f t="shared" si="33"/>
        <v>2011</v>
      </c>
      <c r="AT61" s="1" t="b">
        <f t="shared" si="34"/>
        <v>1</v>
      </c>
      <c r="AV61" s="1" t="b">
        <f t="shared" si="91"/>
        <v>1</v>
      </c>
      <c r="AW61" s="1" t="b">
        <f t="shared" si="92"/>
        <v>1</v>
      </c>
      <c r="AY61" s="1" t="b">
        <f t="shared" si="57"/>
        <v>1</v>
      </c>
      <c r="AZ61" s="1" t="b">
        <f t="shared" si="36"/>
        <v>1</v>
      </c>
      <c r="BA61" s="1" t="b">
        <f t="shared" si="37"/>
        <v>1</v>
      </c>
      <c r="BC61">
        <f t="shared" si="38"/>
        <v>2011</v>
      </c>
      <c r="BD61" s="2">
        <f t="shared" ref="BD61" si="113">S61</f>
        <v>60873.617634385533</v>
      </c>
      <c r="BE61" s="2"/>
      <c r="BF61" s="2">
        <f t="shared" ref="BF61" si="114">U61</f>
        <v>58378.13080231291</v>
      </c>
      <c r="BG61" s="2">
        <f t="shared" ref="BG61" si="115">V61</f>
        <v>28230.447970729732</v>
      </c>
      <c r="BH61" s="2"/>
      <c r="BI61" s="2">
        <f>X61</f>
        <v>50763.226130914845</v>
      </c>
      <c r="BJ61" s="2">
        <f t="shared" ref="BJ61" si="116">Y61</f>
        <v>97186.620874618704</v>
      </c>
      <c r="BK61" s="2">
        <f t="shared" si="40"/>
        <v>295432.04341296176</v>
      </c>
      <c r="BL61" s="2">
        <f t="shared" si="41"/>
        <v>0</v>
      </c>
      <c r="BM61" s="2"/>
    </row>
    <row r="62" spans="1:65" x14ac:dyDescent="0.2">
      <c r="A62">
        <f t="shared" si="6"/>
        <v>2012</v>
      </c>
      <c r="B62" s="2">
        <f t="shared" si="80"/>
        <v>70503.823944145319</v>
      </c>
      <c r="C62" s="2"/>
      <c r="D62" s="2">
        <f t="shared" si="86"/>
        <v>67601.875469078339</v>
      </c>
      <c r="E62" s="2">
        <f t="shared" si="87"/>
        <v>33323.220784649377</v>
      </c>
      <c r="F62" s="2"/>
      <c r="G62" s="2">
        <f t="shared" si="54"/>
        <v>59971.675351062797</v>
      </c>
      <c r="H62" s="2">
        <f t="shared" si="13"/>
        <v>101122.67902004076</v>
      </c>
      <c r="I62" s="2">
        <f t="shared" si="42"/>
        <v>332523.2745689766</v>
      </c>
      <c r="J62" s="2">
        <f t="shared" si="14"/>
        <v>29615.211158279621</v>
      </c>
      <c r="K62" s="6">
        <f t="shared" si="15"/>
        <v>9.7769636188673945E-2</v>
      </c>
      <c r="L62" s="7">
        <f t="shared" si="16"/>
        <v>1.097769636188674</v>
      </c>
      <c r="N62">
        <f t="shared" si="17"/>
        <v>2012</v>
      </c>
      <c r="O62" s="2">
        <f t="shared" si="18"/>
        <v>7700.3005976672885</v>
      </c>
      <c r="P62" s="2"/>
      <c r="Q62" s="2"/>
      <c r="R62">
        <f t="shared" si="19"/>
        <v>2012</v>
      </c>
      <c r="S62" s="2">
        <f t="shared" si="88"/>
        <v>68963.763824611859</v>
      </c>
      <c r="T62" s="2"/>
      <c r="U62" s="2">
        <f t="shared" si="89"/>
        <v>66061.815349544879</v>
      </c>
      <c r="V62" s="2">
        <f t="shared" si="89"/>
        <v>31783.16066511592</v>
      </c>
      <c r="W62" s="2"/>
      <c r="X62" s="2">
        <f t="shared" si="90"/>
        <v>58431.615231529337</v>
      </c>
      <c r="Y62" s="2">
        <f t="shared" si="90"/>
        <v>99582.618900507296</v>
      </c>
      <c r="Z62" s="2">
        <f t="shared" si="22"/>
        <v>324822.97397130931</v>
      </c>
      <c r="AA62" s="2">
        <f t="shared" si="102"/>
        <v>29390.930558347551</v>
      </c>
      <c r="AB62" s="6">
        <f t="shared" si="103"/>
        <v>9.9484572556214651E-2</v>
      </c>
      <c r="AC62" s="7">
        <f t="shared" si="25"/>
        <v>1.0994845725562146</v>
      </c>
      <c r="AD62" s="2">
        <f t="shared" si="26"/>
        <v>0</v>
      </c>
      <c r="AE62" s="2"/>
      <c r="AG62">
        <f t="shared" si="27"/>
        <v>2012</v>
      </c>
      <c r="AH62" s="6">
        <f t="shared" si="96"/>
        <v>0.21231184168242739</v>
      </c>
      <c r="AI62" s="7"/>
      <c r="AJ62" s="6">
        <f t="shared" si="81"/>
        <v>0.20337790317559229</v>
      </c>
      <c r="AK62" s="6">
        <f t="shared" si="81"/>
        <v>9.7847637673323051E-2</v>
      </c>
      <c r="AL62" s="7"/>
      <c r="AM62" s="6">
        <f t="shared" si="104"/>
        <v>0.17988756927239521</v>
      </c>
      <c r="AN62" s="38">
        <f t="shared" si="29"/>
        <v>0.30657504819626197</v>
      </c>
      <c r="AO62" s="6">
        <f t="shared" si="30"/>
        <v>1</v>
      </c>
      <c r="AP62" s="7">
        <f t="shared" si="31"/>
        <v>0.69342495180373798</v>
      </c>
      <c r="AQ62" s="7">
        <f t="shared" si="32"/>
        <v>0</v>
      </c>
      <c r="AR62" s="24"/>
      <c r="AS62">
        <f t="shared" si="33"/>
        <v>2012</v>
      </c>
      <c r="AT62" s="1" t="b">
        <f t="shared" si="34"/>
        <v>1</v>
      </c>
      <c r="AV62" s="1" t="b">
        <f t="shared" si="91"/>
        <v>1</v>
      </c>
      <c r="AW62" s="1" t="b">
        <f t="shared" si="92"/>
        <v>1</v>
      </c>
      <c r="AY62" s="1" t="b">
        <f t="shared" si="57"/>
        <v>1</v>
      </c>
      <c r="AZ62" s="1" t="b">
        <f t="shared" si="36"/>
        <v>1</v>
      </c>
      <c r="BA62" s="1" t="b">
        <f t="shared" si="37"/>
        <v>1</v>
      </c>
      <c r="BC62">
        <f t="shared" si="38"/>
        <v>2012</v>
      </c>
      <c r="BD62" s="2">
        <f t="shared" ref="BD62" si="117">S62</f>
        <v>68963.763824611859</v>
      </c>
      <c r="BE62" s="2"/>
      <c r="BF62" s="2">
        <f t="shared" ref="BF62" si="118">U62</f>
        <v>66061.815349544879</v>
      </c>
      <c r="BG62" s="2">
        <f t="shared" ref="BG62" si="119">V62</f>
        <v>31783.16066511592</v>
      </c>
      <c r="BH62" s="2"/>
      <c r="BI62" s="2">
        <f>X62</f>
        <v>58431.615231529337</v>
      </c>
      <c r="BJ62" s="2">
        <f t="shared" ref="BJ62" si="120">Y62</f>
        <v>99582.618900507296</v>
      </c>
      <c r="BK62" s="2">
        <f t="shared" si="40"/>
        <v>324822.97397130931</v>
      </c>
      <c r="BL62" s="2">
        <f t="shared" si="41"/>
        <v>0</v>
      </c>
      <c r="BM62" s="2"/>
    </row>
    <row r="63" spans="1:65" x14ac:dyDescent="0.2">
      <c r="A63">
        <f t="shared" si="6"/>
        <v>2013</v>
      </c>
      <c r="B63" s="2">
        <f t="shared" si="80"/>
        <v>91156.303023371962</v>
      </c>
      <c r="C63" s="2"/>
      <c r="D63" s="2">
        <f t="shared" si="86"/>
        <v>89183.450721885587</v>
      </c>
      <c r="E63" s="2">
        <f t="shared" si="87"/>
        <v>43739.985707332526</v>
      </c>
      <c r="F63" s="2"/>
      <c r="G63" s="2">
        <f t="shared" si="54"/>
        <v>67219.730162351334</v>
      </c>
      <c r="H63" s="2">
        <f t="shared" si="13"/>
        <v>97332.051713355831</v>
      </c>
      <c r="I63" s="2">
        <f t="shared" si="42"/>
        <v>388631.52132829721</v>
      </c>
      <c r="J63" s="2">
        <f t="shared" si="14"/>
        <v>56108.246759320609</v>
      </c>
      <c r="K63" s="6">
        <f t="shared" si="15"/>
        <v>0.16873479557799151</v>
      </c>
      <c r="L63" s="7">
        <f t="shared" si="16"/>
        <v>1.1687347955779914</v>
      </c>
      <c r="N63">
        <f t="shared" si="17"/>
        <v>2013</v>
      </c>
      <c r="O63" s="2">
        <f t="shared" si="18"/>
        <v>7838.9060084252997</v>
      </c>
      <c r="P63" s="2"/>
      <c r="Q63" s="2"/>
      <c r="R63">
        <f t="shared" si="19"/>
        <v>2013</v>
      </c>
      <c r="S63" s="2">
        <f t="shared" si="88"/>
        <v>89588.521821686896</v>
      </c>
      <c r="T63" s="2"/>
      <c r="U63" s="2">
        <f t="shared" si="89"/>
        <v>87615.669520200521</v>
      </c>
      <c r="V63" s="2">
        <f t="shared" si="89"/>
        <v>42172.204505647467</v>
      </c>
      <c r="W63" s="2"/>
      <c r="X63" s="2">
        <f t="shared" si="90"/>
        <v>65651.948960666268</v>
      </c>
      <c r="Y63" s="2">
        <f t="shared" si="90"/>
        <v>95764.270511670766</v>
      </c>
      <c r="Z63" s="2">
        <f t="shared" si="22"/>
        <v>380792.61531987193</v>
      </c>
      <c r="AA63" s="2">
        <f t="shared" si="102"/>
        <v>55969.641348562611</v>
      </c>
      <c r="AB63" s="6">
        <f t="shared" si="103"/>
        <v>0.17230813653441351</v>
      </c>
      <c r="AC63" s="7">
        <f t="shared" si="25"/>
        <v>1.1723081365344135</v>
      </c>
      <c r="AD63" s="2">
        <f t="shared" si="26"/>
        <v>0</v>
      </c>
      <c r="AE63" s="2"/>
      <c r="AG63">
        <f t="shared" si="27"/>
        <v>2013</v>
      </c>
      <c r="AH63" s="6">
        <f t="shared" si="96"/>
        <v>0.23526853782716112</v>
      </c>
      <c r="AI63" s="7"/>
      <c r="AJ63" s="6">
        <f t="shared" si="81"/>
        <v>0.230087627740895</v>
      </c>
      <c r="AK63" s="6">
        <f t="shared" si="81"/>
        <v>0.1107484830561174</v>
      </c>
      <c r="AL63" s="7"/>
      <c r="AM63" s="6">
        <f t="shared" si="104"/>
        <v>0.17240867159547613</v>
      </c>
      <c r="AN63" s="6">
        <f t="shared" si="29"/>
        <v>0.25148667978035033</v>
      </c>
      <c r="AO63" s="6">
        <f t="shared" si="30"/>
        <v>1</v>
      </c>
      <c r="AP63" s="7">
        <f t="shared" si="31"/>
        <v>0.74851332021964967</v>
      </c>
      <c r="AQ63" s="7">
        <f t="shared" si="32"/>
        <v>0</v>
      </c>
      <c r="AR63" s="24"/>
      <c r="AS63">
        <f t="shared" si="33"/>
        <v>2013</v>
      </c>
      <c r="AT63" s="1" t="b">
        <f t="shared" si="34"/>
        <v>1</v>
      </c>
      <c r="AV63" s="1" t="b">
        <f t="shared" si="91"/>
        <v>1</v>
      </c>
      <c r="AW63" s="1" t="b">
        <f t="shared" si="92"/>
        <v>1</v>
      </c>
      <c r="AY63" s="1" t="b">
        <f t="shared" si="57"/>
        <v>1</v>
      </c>
      <c r="AZ63" s="1" t="b">
        <f t="shared" si="36"/>
        <v>1</v>
      </c>
      <c r="BA63" s="1" t="b">
        <f t="shared" si="37"/>
        <v>1</v>
      </c>
      <c r="BC63">
        <f t="shared" si="38"/>
        <v>2013</v>
      </c>
      <c r="BD63" s="2">
        <f t="shared" si="39"/>
        <v>89588.521821686896</v>
      </c>
      <c r="BE63" s="2"/>
      <c r="BF63" s="2">
        <f t="shared" ref="BF63:BG64" si="121">U63</f>
        <v>87615.669520200521</v>
      </c>
      <c r="BG63" s="2">
        <f t="shared" si="121"/>
        <v>42172.204505647467</v>
      </c>
      <c r="BH63" s="2"/>
      <c r="BI63" s="2">
        <f>X63</f>
        <v>65651.948960666268</v>
      </c>
      <c r="BJ63" s="2">
        <f t="shared" ref="BJ63:BJ64" si="122">Y63</f>
        <v>95764.270511670766</v>
      </c>
      <c r="BK63" s="2">
        <f t="shared" si="40"/>
        <v>380792.61531987193</v>
      </c>
      <c r="BL63" s="2">
        <f t="shared" si="41"/>
        <v>0</v>
      </c>
      <c r="BM63" s="2"/>
    </row>
    <row r="64" spans="1:65" x14ac:dyDescent="0.2">
      <c r="A64">
        <f t="shared" si="6"/>
        <v>2014</v>
      </c>
      <c r="B64" s="2">
        <f t="shared" si="80"/>
        <v>101691.93111979679</v>
      </c>
      <c r="C64" s="2"/>
      <c r="D64" s="2">
        <f t="shared" si="86"/>
        <v>99531.400574947809</v>
      </c>
      <c r="E64" s="2">
        <f t="shared" si="87"/>
        <v>45280.295977713693</v>
      </c>
      <c r="F64" s="2"/>
      <c r="G64" s="2">
        <f t="shared" si="54"/>
        <v>62868.306324734018</v>
      </c>
      <c r="H64" s="2">
        <f t="shared" si="13"/>
        <v>101280.29249314302</v>
      </c>
      <c r="I64" s="2">
        <f t="shared" si="42"/>
        <v>410652.22649033531</v>
      </c>
      <c r="J64" s="2">
        <f t="shared" si="14"/>
        <v>22020.705162038095</v>
      </c>
      <c r="K64" s="6">
        <f t="shared" si="15"/>
        <v>5.6662169570738607E-2</v>
      </c>
      <c r="L64" s="7">
        <f t="shared" si="16"/>
        <v>1.0566621695707386</v>
      </c>
      <c r="N64">
        <f t="shared" si="17"/>
        <v>2014</v>
      </c>
      <c r="O64" s="2">
        <f t="shared" si="18"/>
        <v>7929.4917560490194</v>
      </c>
      <c r="P64" s="2"/>
      <c r="Q64" s="2"/>
      <c r="R64">
        <f t="shared" si="19"/>
        <v>2014</v>
      </c>
      <c r="S64" s="2">
        <f t="shared" si="88"/>
        <v>100106.03276858699</v>
      </c>
      <c r="T64" s="2"/>
      <c r="U64" s="2">
        <f t="shared" si="89"/>
        <v>97945.502223738004</v>
      </c>
      <c r="V64" s="2">
        <f t="shared" si="89"/>
        <v>43694.397626503887</v>
      </c>
      <c r="W64" s="2"/>
      <c r="X64" s="2">
        <f t="shared" si="90"/>
        <v>61282.407973524212</v>
      </c>
      <c r="Y64" s="2">
        <f t="shared" si="90"/>
        <v>99694.394141933211</v>
      </c>
      <c r="Z64" s="2">
        <f t="shared" si="22"/>
        <v>402722.73473428632</v>
      </c>
      <c r="AA64" s="2">
        <f t="shared" si="102"/>
        <v>21930.119414414396</v>
      </c>
      <c r="AB64" s="6">
        <f t="shared" si="103"/>
        <v>5.7590716132960566E-2</v>
      </c>
      <c r="AC64" s="7">
        <f t="shared" si="25"/>
        <v>1.0575907161329605</v>
      </c>
      <c r="AD64" s="2">
        <f t="shared" si="26"/>
        <v>0</v>
      </c>
      <c r="AE64" s="2"/>
      <c r="AG64">
        <f t="shared" si="27"/>
        <v>2014</v>
      </c>
      <c r="AH64" s="6">
        <f t="shared" si="96"/>
        <v>0.24857308548680832</v>
      </c>
      <c r="AI64" s="7"/>
      <c r="AJ64" s="6">
        <f t="shared" si="81"/>
        <v>0.24320827650408605</v>
      </c>
      <c r="AK64" s="6">
        <f t="shared" si="81"/>
        <v>0.1084974694943238</v>
      </c>
      <c r="AL64" s="7"/>
      <c r="AM64" s="6">
        <f t="shared" si="104"/>
        <v>0.15217022206098677</v>
      </c>
      <c r="AN64" s="6">
        <f t="shared" si="29"/>
        <v>0.24755094645379502</v>
      </c>
      <c r="AO64" s="6">
        <f t="shared" si="30"/>
        <v>1</v>
      </c>
      <c r="AP64" s="7">
        <f t="shared" si="31"/>
        <v>0.75244905354620495</v>
      </c>
      <c r="AQ64" s="7">
        <f t="shared" si="32"/>
        <v>0</v>
      </c>
      <c r="AR64" s="24"/>
      <c r="AS64">
        <f t="shared" si="33"/>
        <v>2014</v>
      </c>
      <c r="AT64" s="1" t="b">
        <f t="shared" si="34"/>
        <v>1</v>
      </c>
      <c r="AV64" s="1" t="b">
        <f t="shared" si="91"/>
        <v>1</v>
      </c>
      <c r="AW64" s="1" t="b">
        <f t="shared" si="92"/>
        <v>1</v>
      </c>
      <c r="AY64" s="1" t="b">
        <f t="shared" si="57"/>
        <v>1</v>
      </c>
      <c r="AZ64" s="35" t="b">
        <f t="shared" si="36"/>
        <v>0</v>
      </c>
      <c r="BA64" s="1" t="b">
        <f t="shared" si="37"/>
        <v>1</v>
      </c>
      <c r="BC64">
        <f t="shared" si="38"/>
        <v>2014</v>
      </c>
      <c r="BD64" s="2">
        <f t="shared" si="39"/>
        <v>100106.03276858699</v>
      </c>
      <c r="BE64" s="2"/>
      <c r="BF64" s="2">
        <f t="shared" si="121"/>
        <v>97945.502223738004</v>
      </c>
      <c r="BG64" s="2">
        <f t="shared" si="121"/>
        <v>43694.397626503887</v>
      </c>
      <c r="BH64" s="2"/>
      <c r="BI64" s="2">
        <f>X64</f>
        <v>61282.407973524212</v>
      </c>
      <c r="BJ64" s="2">
        <f t="shared" si="122"/>
        <v>99694.394141933211</v>
      </c>
      <c r="BK64" s="2">
        <f t="shared" si="40"/>
        <v>402722.73473428632</v>
      </c>
      <c r="BL64" s="2">
        <f t="shared" si="41"/>
        <v>0</v>
      </c>
      <c r="BM64" s="2"/>
    </row>
    <row r="65" spans="1:62" x14ac:dyDescent="0.2">
      <c r="A65" s="9" t="s">
        <v>78</v>
      </c>
      <c r="B65" s="10">
        <f>BD64</f>
        <v>100106.03276858699</v>
      </c>
      <c r="C65" s="10"/>
      <c r="D65" s="10">
        <f>BF64</f>
        <v>97945.502223738004</v>
      </c>
      <c r="E65" s="10">
        <f>BG64</f>
        <v>43694.397626503887</v>
      </c>
      <c r="F65" s="10"/>
      <c r="G65" s="10">
        <f>BI64</f>
        <v>61282.407973524212</v>
      </c>
      <c r="H65" s="10">
        <f>BJ64</f>
        <v>99694.394141933211</v>
      </c>
      <c r="I65" s="10">
        <f>SUM(B65:H65)</f>
        <v>402722.73473428632</v>
      </c>
      <c r="J65" s="10"/>
      <c r="K65" s="10"/>
      <c r="L65" s="74"/>
      <c r="N65" t="s">
        <v>40</v>
      </c>
      <c r="O65" s="2">
        <f>O64</f>
        <v>7929.4917560490194</v>
      </c>
      <c r="P65" s="2"/>
      <c r="R65" s="9" t="s">
        <v>78</v>
      </c>
      <c r="S65" s="10">
        <f>S64</f>
        <v>100106.03276858699</v>
      </c>
      <c r="T65" s="10"/>
      <c r="U65" s="10">
        <f>U64</f>
        <v>97945.502223738004</v>
      </c>
      <c r="V65" s="10">
        <f>V64</f>
        <v>43694.397626503887</v>
      </c>
      <c r="W65" s="10"/>
      <c r="X65" s="10">
        <f>X64</f>
        <v>61282.407973524212</v>
      </c>
      <c r="Y65" s="10">
        <f>Y64</f>
        <v>99694.394141933211</v>
      </c>
      <c r="Z65" s="10">
        <f>SUM(S65:Y65)</f>
        <v>402722.73473428632</v>
      </c>
      <c r="AA65" s="10"/>
      <c r="AB65" s="10"/>
      <c r="AC65" s="74"/>
      <c r="AD65" s="10"/>
      <c r="AE65" s="43"/>
      <c r="AK65" s="7"/>
      <c r="BC65" s="21"/>
      <c r="BD65" s="22"/>
      <c r="BF65" s="22"/>
      <c r="BG65" s="22"/>
      <c r="BI65" s="22"/>
      <c r="BJ65" s="22"/>
    </row>
    <row r="66" spans="1:62" x14ac:dyDescent="0.2">
      <c r="A66" s="11" t="s">
        <v>11</v>
      </c>
      <c r="I66" s="6">
        <f>(Z65-Z39)/Z39</f>
        <v>3.0272273473428633</v>
      </c>
      <c r="K66" s="6"/>
      <c r="N66" t="s">
        <v>70</v>
      </c>
      <c r="O66" s="2">
        <f>SUM(O40:O64)</f>
        <v>153095.61715261915</v>
      </c>
      <c r="P66" s="2"/>
      <c r="AB66" s="6"/>
      <c r="AN66" s="80"/>
      <c r="BC66" s="21" t="s">
        <v>160</v>
      </c>
      <c r="BD66">
        <f>COUNTA(BD42,BD46,BD47,BD49,BD51:BD53,BD56,BD58,BD60)</f>
        <v>10</v>
      </c>
      <c r="BF66" s="22"/>
    </row>
    <row r="67" spans="1:62" x14ac:dyDescent="0.2">
      <c r="A67" s="1" t="s">
        <v>12</v>
      </c>
      <c r="I67" s="12">
        <f>STDEV(AC40:AC64)</f>
        <v>0.12161997644615873</v>
      </c>
    </row>
    <row r="68" spans="1:62" x14ac:dyDescent="0.2">
      <c r="A68" s="1" t="s">
        <v>13</v>
      </c>
      <c r="I68" s="13">
        <f>((1+I66)^(1/I75))-1</f>
        <v>5.7304902378479072E-2</v>
      </c>
    </row>
    <row r="69" spans="1:62" x14ac:dyDescent="0.2">
      <c r="A69" s="1" t="s">
        <v>82</v>
      </c>
      <c r="I69" s="31">
        <f>J60</f>
        <v>35184.795089903288</v>
      </c>
      <c r="O69" s="2"/>
      <c r="P69" s="2"/>
    </row>
    <row r="70" spans="1:62" x14ac:dyDescent="0.2">
      <c r="A70" s="1" t="s">
        <v>83</v>
      </c>
      <c r="I70" s="32">
        <f>K60</f>
        <v>0.12656061018004658</v>
      </c>
    </row>
    <row r="71" spans="1:62" x14ac:dyDescent="0.2">
      <c r="A71" s="1" t="s">
        <v>42</v>
      </c>
      <c r="I71" s="2">
        <f>O66</f>
        <v>153095.61715261915</v>
      </c>
    </row>
    <row r="72" spans="1:62" x14ac:dyDescent="0.2">
      <c r="A72" s="3" t="s">
        <v>5</v>
      </c>
      <c r="B72" s="3"/>
      <c r="C72" s="3"/>
      <c r="D72" s="3"/>
      <c r="E72" s="3"/>
      <c r="F72" s="3"/>
      <c r="G72" s="3"/>
      <c r="H72" s="3"/>
      <c r="I72" s="33">
        <f>I65-Z65</f>
        <v>0</v>
      </c>
      <c r="Z72" s="2"/>
    </row>
    <row r="73" spans="1:62" x14ac:dyDescent="0.2">
      <c r="A73" s="3" t="s">
        <v>148</v>
      </c>
      <c r="B73" s="3"/>
      <c r="C73" s="3"/>
      <c r="D73" s="3"/>
      <c r="E73" s="3"/>
      <c r="F73" s="3"/>
      <c r="G73" s="3"/>
      <c r="H73" s="3"/>
      <c r="I73" s="33">
        <f>((SUM(AA40:AA64)))-(I65-I39)</f>
        <v>0</v>
      </c>
    </row>
    <row r="74" spans="1:62" x14ac:dyDescent="0.2">
      <c r="A74" s="3" t="s">
        <v>147</v>
      </c>
      <c r="B74" s="3"/>
      <c r="C74" s="3"/>
      <c r="D74" s="3"/>
      <c r="E74" s="3"/>
      <c r="F74" s="3"/>
      <c r="G74" s="3"/>
      <c r="H74" s="3"/>
      <c r="I74" s="33">
        <f>(SUM(O40:O64))-I71</f>
        <v>0</v>
      </c>
      <c r="Z74" s="73"/>
    </row>
    <row r="75" spans="1:62" x14ac:dyDescent="0.2">
      <c r="A75" s="3" t="s">
        <v>159</v>
      </c>
      <c r="B75" s="3"/>
      <c r="C75" s="3"/>
      <c r="D75" s="3"/>
      <c r="E75" s="3"/>
      <c r="F75" s="3"/>
      <c r="G75" s="3"/>
      <c r="H75" s="3"/>
      <c r="I75" s="75">
        <f>COUNTA(I40:I64)</f>
        <v>25</v>
      </c>
    </row>
    <row r="76" spans="1:62" x14ac:dyDescent="0.2">
      <c r="A76" s="1" t="s">
        <v>105</v>
      </c>
      <c r="B76" s="63"/>
      <c r="C76" s="63"/>
      <c r="D76" s="63"/>
      <c r="E76" s="63"/>
      <c r="G76" s="63"/>
      <c r="H76" s="63"/>
      <c r="I76" s="85">
        <f>(SUM(B65:G65)/I65)</f>
        <v>0.75244905354620506</v>
      </c>
    </row>
    <row r="77" spans="1:62" x14ac:dyDescent="0.2">
      <c r="A77" s="1" t="s">
        <v>106</v>
      </c>
      <c r="B77" s="63"/>
      <c r="C77" s="63"/>
      <c r="D77" s="63"/>
      <c r="E77" s="63"/>
      <c r="G77" s="63"/>
      <c r="H77" s="63"/>
      <c r="I77" s="85">
        <f>(H65/I65)</f>
        <v>0.24755094645379502</v>
      </c>
    </row>
    <row r="78" spans="1:62" x14ac:dyDescent="0.2">
      <c r="A78" s="3" t="s">
        <v>107</v>
      </c>
      <c r="I78" s="3">
        <f>100%-(I76+I77)</f>
        <v>0</v>
      </c>
    </row>
  </sheetData>
  <pageMargins left="0.7" right="0.7" top="0.75" bottom="0.75" header="0.3" footer="0.3"/>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D38D6-8225-4F04-97ED-DF255C76E813}">
  <dimension ref="A1:BM78"/>
  <sheetViews>
    <sheetView topLeftCell="A28" zoomScale="120" zoomScaleNormal="120" workbookViewId="0">
      <pane xSplit="36080" topLeftCell="AV1"/>
      <selection activeCell="A76" sqref="A76:I78"/>
      <selection pane="topRight" activeCell="A30" sqref="A30"/>
    </sheetView>
  </sheetViews>
  <sheetFormatPr baseColWidth="10" defaultColWidth="8.83203125" defaultRowHeight="15" x14ac:dyDescent="0.2"/>
  <cols>
    <col min="1" max="1" width="25.5" customWidth="1"/>
    <col min="2" max="2" width="9.33203125" bestFit="1" customWidth="1"/>
    <col min="4" max="4" width="9.33203125" bestFit="1" customWidth="1"/>
    <col min="7" max="7" width="9.83203125" bestFit="1" customWidth="1"/>
    <col min="8" max="8" width="9.33203125" bestFit="1" customWidth="1"/>
    <col min="9" max="9" width="11.6640625" customWidth="1"/>
    <col min="10" max="10" width="10" bestFit="1" customWidth="1"/>
    <col min="11" max="12" width="8.83203125" customWidth="1"/>
    <col min="15" max="15" width="9.83203125" bestFit="1" customWidth="1"/>
    <col min="16" max="16" width="9.83203125" customWidth="1"/>
    <col min="18" max="18" width="9.1640625" customWidth="1"/>
    <col min="19" max="19" width="10.83203125" bestFit="1" customWidth="1"/>
    <col min="21" max="21" width="11.83203125" bestFit="1" customWidth="1"/>
    <col min="24" max="24" width="9.83203125" bestFit="1" customWidth="1"/>
    <col min="25" max="25" width="9.33203125" bestFit="1" customWidth="1"/>
    <col min="26" max="26" width="10.83203125" bestFit="1" customWidth="1"/>
    <col min="27" max="27" width="10" bestFit="1" customWidth="1"/>
    <col min="30" max="31" width="10.83203125" customWidth="1"/>
    <col min="56" max="56" width="10.83203125" bestFit="1" customWidth="1"/>
    <col min="58" max="58" width="9.33203125" bestFit="1" customWidth="1"/>
    <col min="61" max="61" width="10.1640625" customWidth="1"/>
    <col min="62" max="63" width="9.33203125" bestFit="1" customWidth="1"/>
  </cols>
  <sheetData>
    <row r="1" spans="1:16" x14ac:dyDescent="0.2">
      <c r="A1" s="20" t="s">
        <v>49</v>
      </c>
      <c r="N1" s="20" t="s">
        <v>144</v>
      </c>
    </row>
    <row r="2" spans="1:16"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'4.5% Withdrawals-No Rebalancing'!N3</f>
        <v>Year</v>
      </c>
      <c r="O3" s="50" t="str">
        <f>'4.5% Withdrawals-No Rebalancing'!O3</f>
        <v>CPI</v>
      </c>
      <c r="P3" s="44"/>
    </row>
    <row r="4" spans="1:16" x14ac:dyDescent="0.2">
      <c r="A4" s="17">
        <f>'Non-Rebalanced Portfolio'!A4</f>
        <v>1990</v>
      </c>
      <c r="B4" s="17">
        <f>'Non-Rebalanced Portfolio'!B4</f>
        <v>-3.32</v>
      </c>
      <c r="C4" s="19">
        <f>'Non-Rebalanced Portfolio'!C4</f>
        <v>-14.045</v>
      </c>
      <c r="D4" s="17"/>
      <c r="E4" s="17"/>
      <c r="F4" s="17">
        <f>'Non-Rebalanced Portfolio'!F4</f>
        <v>-12.26</v>
      </c>
      <c r="G4" s="17"/>
      <c r="H4" s="17">
        <f>'Non-Rebalanced Portfolio'!H4</f>
        <v>8.65</v>
      </c>
      <c r="N4" s="49">
        <f>'4.5% Withdrawals-No Rebalancing'!N4</f>
        <v>1989</v>
      </c>
      <c r="O4" s="50">
        <f>'4.5% Withdrawals-No Rebalancing'!O4</f>
        <v>4.5999999999999999E-2</v>
      </c>
      <c r="P4" s="44"/>
    </row>
    <row r="5" spans="1:16" x14ac:dyDescent="0.2">
      <c r="A5" s="17">
        <f>'Non-Rebalanced Portfolio'!A5</f>
        <v>1991</v>
      </c>
      <c r="B5" s="17">
        <f>'Non-Rebalanced Portfolio'!B5</f>
        <v>30.22</v>
      </c>
      <c r="C5" s="19">
        <f>'Non-Rebalanced Portfolio'!C5</f>
        <v>41.85</v>
      </c>
      <c r="D5" s="17"/>
      <c r="E5" s="17"/>
      <c r="F5" s="17">
        <f>'Non-Rebalanced Portfolio'!F5</f>
        <v>9.9559999999999995</v>
      </c>
      <c r="G5" s="17"/>
      <c r="H5" s="17">
        <f>'Non-Rebalanced Portfolio'!H5</f>
        <v>15.25</v>
      </c>
      <c r="N5" s="49">
        <f>'4.5% Withdrawals-No Rebalancing'!N5</f>
        <v>1990</v>
      </c>
      <c r="O5" s="50">
        <f>'4.5% Withdrawals-No Rebalancing'!O5</f>
        <v>6.3E-2</v>
      </c>
      <c r="P5" s="44"/>
    </row>
    <row r="6" spans="1:16" x14ac:dyDescent="0.2">
      <c r="A6" s="17">
        <f>'Non-Rebalanced Portfolio'!A6</f>
        <v>1992</v>
      </c>
      <c r="B6" s="17">
        <f>'Non-Rebalanced Portfolio'!B6</f>
        <v>7.42</v>
      </c>
      <c r="C6" s="19">
        <f>'Non-Rebalanced Portfolio'!C6</f>
        <v>12.465999999999999</v>
      </c>
      <c r="D6" s="17"/>
      <c r="E6" s="17"/>
      <c r="F6" s="17">
        <f>'Non-Rebalanced Portfolio'!F6</f>
        <v>-8.7210000000000001</v>
      </c>
      <c r="G6" s="17"/>
      <c r="H6" s="17">
        <f>'Non-Rebalanced Portfolio'!H6</f>
        <v>7.14</v>
      </c>
      <c r="N6" s="49">
        <f>'4.5% Withdrawals-No Rebalancing'!N6</f>
        <v>1991</v>
      </c>
      <c r="O6" s="50">
        <f>'4.5% Withdrawals-No Rebalancing'!O6</f>
        <v>0.03</v>
      </c>
      <c r="P6" s="44"/>
    </row>
    <row r="7" spans="1:16" x14ac:dyDescent="0.2">
      <c r="A7" s="17">
        <f>'Non-Rebalanced Portfolio'!A7</f>
        <v>1993</v>
      </c>
      <c r="B7" s="17">
        <f>'Non-Rebalanced Portfolio'!B7</f>
        <v>9.89</v>
      </c>
      <c r="C7" s="19">
        <f>'Non-Rebalanced Portfolio'!C7</f>
        <v>14.49</v>
      </c>
      <c r="D7" s="17"/>
      <c r="E7" s="17"/>
      <c r="F7" s="17">
        <f>'Non-Rebalanced Portfolio'!F7</f>
        <v>30.494</v>
      </c>
      <c r="G7" s="17"/>
      <c r="H7" s="17">
        <f>'Non-Rebalanced Portfolio'!H7</f>
        <v>9.68</v>
      </c>
      <c r="N7" s="49">
        <f>'4.5% Withdrawals-No Rebalancing'!N7</f>
        <v>1992</v>
      </c>
      <c r="O7" s="50">
        <f>'4.5% Withdrawals-No Rebalancing'!O7</f>
        <v>0.03</v>
      </c>
      <c r="P7" s="44"/>
    </row>
    <row r="8" spans="1:16" x14ac:dyDescent="0.2">
      <c r="A8" s="17">
        <f>'Non-Rebalanced Portfolio'!A8</f>
        <v>1994</v>
      </c>
      <c r="B8" s="17">
        <f>'Non-Rebalanced Portfolio'!B8</f>
        <v>1.18</v>
      </c>
      <c r="C8" s="19">
        <f>'Non-Rebalanced Portfolio'!C8</f>
        <v>-1.764</v>
      </c>
      <c r="D8" s="17"/>
      <c r="E8" s="17"/>
      <c r="F8" s="17">
        <f>'Non-Rebalanced Portfolio'!F8</f>
        <v>5.2549999999999999</v>
      </c>
      <c r="G8" s="17"/>
      <c r="H8" s="17">
        <f>'Non-Rebalanced Portfolio'!H8</f>
        <v>-2.66</v>
      </c>
      <c r="N8" s="49">
        <f>'4.5% Withdrawals-No Rebalancing'!N8</f>
        <v>1993</v>
      </c>
      <c r="O8" s="50">
        <f>'4.5% Withdrawals-No Rebalancing'!O8</f>
        <v>2.8000000000000001E-2</v>
      </c>
      <c r="P8" s="44"/>
    </row>
    <row r="9" spans="1:16" x14ac:dyDescent="0.2">
      <c r="A9" s="17">
        <f>'Non-Rebalanced Portfolio'!A9</f>
        <v>1995</v>
      </c>
      <c r="B9" s="17">
        <f>'Non-Rebalanced Portfolio'!B9</f>
        <v>37.450000000000003</v>
      </c>
      <c r="C9" s="19">
        <f>'Non-Rebalanced Portfolio'!C9</f>
        <v>33.796999999999997</v>
      </c>
      <c r="D9" s="17"/>
      <c r="E9" s="17"/>
      <c r="F9" s="17">
        <f>'Non-Rebalanced Portfolio'!F9</f>
        <v>9.6460000000000008</v>
      </c>
      <c r="G9" s="17"/>
      <c r="H9" s="17">
        <f>'Non-Rebalanced Portfolio'!H9</f>
        <v>18.18</v>
      </c>
      <c r="N9" s="49">
        <f>'4.5% Withdrawals-No Rebalancing'!N9</f>
        <v>1994</v>
      </c>
      <c r="O9" s="50">
        <f>'4.5% Withdrawals-No Rebalancing'!O9</f>
        <v>2.5999999999999999E-2</v>
      </c>
      <c r="P9" s="44"/>
    </row>
    <row r="10" spans="1:16" x14ac:dyDescent="0.2">
      <c r="A10" s="17">
        <f>'Non-Rebalanced Portfolio'!A10</f>
        <v>1996</v>
      </c>
      <c r="B10" s="17">
        <f>'Non-Rebalanced Portfolio'!B10</f>
        <v>22.88</v>
      </c>
      <c r="C10" s="19">
        <f>'Non-Rebalanced Portfolio'!C10</f>
        <v>17.646999999999998</v>
      </c>
      <c r="D10" s="17"/>
      <c r="E10" s="17"/>
      <c r="F10" s="17">
        <f>'Non-Rebalanced Portfolio'!F10</f>
        <v>10.218999999999999</v>
      </c>
      <c r="G10" s="17"/>
      <c r="H10" s="17">
        <f>'Non-Rebalanced Portfolio'!H10</f>
        <v>3.58</v>
      </c>
      <c r="N10" s="49">
        <f>'4.5% Withdrawals-No Rebalancing'!N10</f>
        <v>1995</v>
      </c>
      <c r="O10" s="50">
        <f>'4.5% Withdrawals-No Rebalancing'!O10</f>
        <v>2.5000000000000001E-2</v>
      </c>
      <c r="P10" s="44"/>
    </row>
    <row r="11" spans="1:16" x14ac:dyDescent="0.2">
      <c r="A11" s="17">
        <f>'Non-Rebalanced Portfolio'!A11</f>
        <v>1997</v>
      </c>
      <c r="B11" s="17">
        <f>'Non-Rebalanced Portfolio'!B11</f>
        <v>33.19</v>
      </c>
      <c r="C11" s="19">
        <f>'Non-Rebalanced Portfolio'!C11</f>
        <v>26.687000000000001</v>
      </c>
      <c r="D11" s="17"/>
      <c r="E11" s="17"/>
      <c r="F11" s="17">
        <f>'Non-Rebalanced Portfolio'!F11</f>
        <v>0</v>
      </c>
      <c r="G11" s="17"/>
      <c r="H11" s="17">
        <f>'Non-Rebalanced Portfolio'!H11</f>
        <v>9.44</v>
      </c>
      <c r="N11" s="49">
        <f>'4.5% Withdrawals-No Rebalancing'!N11</f>
        <v>1996</v>
      </c>
      <c r="O11" s="50">
        <f>'4.5% Withdrawals-No Rebalancing'!O11</f>
        <v>3.4000000000000002E-2</v>
      </c>
      <c r="P11" s="44"/>
    </row>
    <row r="12" spans="1:16" x14ac:dyDescent="0.2">
      <c r="A12" s="17">
        <f>'Non-Rebalanced Portfolio'!A12</f>
        <v>1998</v>
      </c>
      <c r="B12" s="17">
        <f>'Non-Rebalanced Portfolio'!B12</f>
        <v>28.66</v>
      </c>
      <c r="C12" s="19">
        <f>'Non-Rebalanced Portfolio'!C12</f>
        <v>8.3529999999999998</v>
      </c>
      <c r="D12" s="17"/>
      <c r="E12" s="17"/>
      <c r="F12" s="17">
        <f>'Non-Rebalanced Portfolio'!F12</f>
        <v>0</v>
      </c>
      <c r="G12" s="17">
        <f>'Non-Rebalanced Portfolio'!G12</f>
        <v>15.603</v>
      </c>
      <c r="H12" s="17">
        <f>'Non-Rebalanced Portfolio'!H12</f>
        <v>8.58</v>
      </c>
      <c r="N12" s="49">
        <f>'4.5% Withdrawals-No Rebalancing'!N12</f>
        <v>1997</v>
      </c>
      <c r="O12" s="50">
        <f>'4.5% Withdrawals-No Rebalancing'!O12</f>
        <v>1.7000000000000001E-2</v>
      </c>
      <c r="P12" s="44"/>
    </row>
    <row r="13" spans="1:16" x14ac:dyDescent="0.2">
      <c r="A13" s="17">
        <f>'Non-Rebalanced Portfolio'!A13</f>
        <v>1999</v>
      </c>
      <c r="B13" s="17">
        <f>'Non-Rebalanced Portfolio'!B13</f>
        <v>21.07</v>
      </c>
      <c r="C13" s="19">
        <f>'Non-Rebalanced Portfolio'!C13</f>
        <v>0</v>
      </c>
      <c r="D13" s="17"/>
      <c r="E13" s="17"/>
      <c r="F13" s="17"/>
      <c r="G13" s="17">
        <f>'Non-Rebalanced Portfolio'!G13</f>
        <v>29.919</v>
      </c>
      <c r="H13" s="17">
        <f>'Non-Rebalanced Portfolio'!H13</f>
        <v>-0.76</v>
      </c>
      <c r="N13" s="49">
        <f>'4.5% Withdrawals-No Rebalancing'!N13</f>
        <v>1998</v>
      </c>
      <c r="O13" s="50">
        <f>'4.5% Withdrawals-No Rebalancing'!O13</f>
        <v>1.6E-2</v>
      </c>
      <c r="P13" s="44"/>
    </row>
    <row r="14" spans="1:16" x14ac:dyDescent="0.2">
      <c r="A14" s="17">
        <f>'Non-Rebalanced Portfolio'!A14</f>
        <v>2000</v>
      </c>
      <c r="B14" s="17">
        <f>'Non-Rebalanced Portfolio'!B14</f>
        <v>-9.06</v>
      </c>
      <c r="C14" s="19">
        <f>'Non-Rebalanced Portfolio'!C14</f>
        <v>0</v>
      </c>
      <c r="D14" s="17">
        <f>'Non-Rebalanced Portfolio'!D14</f>
        <v>18.097999999999999</v>
      </c>
      <c r="E14" s="17">
        <f>'Non-Rebalanced Portfolio'!E14</f>
        <v>-2.665</v>
      </c>
      <c r="F14" s="17"/>
      <c r="G14" s="17">
        <f>'Non-Rebalanced Portfolio'!G14</f>
        <v>-15.614000000000001</v>
      </c>
      <c r="H14" s="17">
        <f>'Non-Rebalanced Portfolio'!H14</f>
        <v>11.39</v>
      </c>
      <c r="N14" s="49">
        <f>'4.5% Withdrawals-No Rebalancing'!N14</f>
        <v>1999</v>
      </c>
      <c r="O14" s="50">
        <f>'4.5% Withdrawals-No Rebalancing'!O14</f>
        <v>2.7E-2</v>
      </c>
      <c r="P14" s="44"/>
    </row>
    <row r="15" spans="1:16" x14ac:dyDescent="0.2">
      <c r="A15" s="17">
        <f>'Non-Rebalanced Portfolio'!A15</f>
        <v>2001</v>
      </c>
      <c r="B15" s="17">
        <f>'Non-Rebalanced Portfolio'!B15</f>
        <v>-12.02</v>
      </c>
      <c r="C15" s="17"/>
      <c r="D15" s="17">
        <f>'Non-Rebalanced Portfolio'!D15</f>
        <v>-0.499</v>
      </c>
      <c r="E15" s="17">
        <f>'Non-Rebalanced Portfolio'!E15</f>
        <v>3.1</v>
      </c>
      <c r="F15" s="17"/>
      <c r="G15" s="17">
        <f>'Non-Rebalanced Portfolio'!G15</f>
        <v>-20.152999999999999</v>
      </c>
      <c r="H15" s="17">
        <f>'Non-Rebalanced Portfolio'!H15</f>
        <v>8.43</v>
      </c>
      <c r="N15" s="49">
        <f>'4.5% Withdrawals-No Rebalancing'!N15</f>
        <v>2000</v>
      </c>
      <c r="O15" s="50">
        <f>'4.5% Withdrawals-No Rebalancing'!O15</f>
        <v>3.4000000000000002E-2</v>
      </c>
      <c r="P15" s="44"/>
    </row>
    <row r="16" spans="1:16" x14ac:dyDescent="0.2">
      <c r="A16" s="17">
        <f>'Non-Rebalanced Portfolio'!A16</f>
        <v>2002</v>
      </c>
      <c r="B16" s="17">
        <f>'Non-Rebalanced Portfolio'!B16</f>
        <v>-22.15</v>
      </c>
      <c r="C16" s="17"/>
      <c r="D16" s="17">
        <f>'Non-Rebalanced Portfolio'!D16</f>
        <v>-14.608000000000001</v>
      </c>
      <c r="E16" s="17">
        <f>'Non-Rebalanced Portfolio'!E16</f>
        <v>-20.021999999999998</v>
      </c>
      <c r="F16" s="17"/>
      <c r="G16" s="17">
        <f>'Non-Rebalanced Portfolio'!G16</f>
        <v>-15.083</v>
      </c>
      <c r="H16" s="17">
        <f>'Non-Rebalanced Portfolio'!H16</f>
        <v>8.26</v>
      </c>
      <c r="N16" s="49">
        <f>'4.5% Withdrawals-No Rebalancing'!N16</f>
        <v>2001</v>
      </c>
      <c r="O16" s="50">
        <f>'4.5% Withdrawals-No Rebalancing'!O16</f>
        <v>1.6E-2</v>
      </c>
      <c r="P16" s="44"/>
    </row>
    <row r="17" spans="1:16" x14ac:dyDescent="0.2">
      <c r="A17" s="17">
        <f>'Non-Rebalanced Portfolio'!A17</f>
        <v>2003</v>
      </c>
      <c r="B17" s="17">
        <f>'Non-Rebalanced Portfolio'!B17</f>
        <v>28.5</v>
      </c>
      <c r="C17" s="17"/>
      <c r="D17" s="17">
        <f>'Non-Rebalanced Portfolio'!D17</f>
        <v>34.142000000000003</v>
      </c>
      <c r="E17" s="17">
        <f>'Non-Rebalanced Portfolio'!E17</f>
        <v>45.628</v>
      </c>
      <c r="F17" s="17"/>
      <c r="G17" s="17">
        <f>'Non-Rebalanced Portfolio'!G17</f>
        <v>40.340000000000003</v>
      </c>
      <c r="H17" s="17">
        <f>'Non-Rebalanced Portfolio'!H17</f>
        <v>3.97</v>
      </c>
      <c r="N17" s="49">
        <f>'4.5% Withdrawals-No Rebalancing'!N17</f>
        <v>2002</v>
      </c>
      <c r="O17" s="50">
        <f>'4.5% Withdrawals-No Rebalancing'!O17</f>
        <v>2.5000000000000001E-2</v>
      </c>
      <c r="P17" s="44"/>
    </row>
    <row r="18" spans="1:16" x14ac:dyDescent="0.2">
      <c r="A18" s="17">
        <f>'Non-Rebalanced Portfolio'!A18</f>
        <v>2004</v>
      </c>
      <c r="B18" s="17">
        <f>'Non-Rebalanced Portfolio'!B18</f>
        <v>10.74</v>
      </c>
      <c r="C18" s="17"/>
      <c r="D18" s="17">
        <f>'Non-Rebalanced Portfolio'!D18</f>
        <v>20.353000000000002</v>
      </c>
      <c r="E18" s="17">
        <f>'Non-Rebalanced Portfolio'!E18</f>
        <v>19.896999999999998</v>
      </c>
      <c r="F18" s="17"/>
      <c r="G18" s="17">
        <f>'Non-Rebalanced Portfolio'!G18</f>
        <v>20.837</v>
      </c>
      <c r="H18" s="17">
        <f>'Non-Rebalanced Portfolio'!H18</f>
        <v>4.24</v>
      </c>
      <c r="N18" s="49">
        <f>'4.5% Withdrawals-No Rebalancing'!N18</f>
        <v>2003</v>
      </c>
      <c r="O18" s="50">
        <f>'4.5% Withdrawals-No Rebalancing'!O18</f>
        <v>0.02</v>
      </c>
      <c r="P18" s="44"/>
    </row>
    <row r="19" spans="1:16" x14ac:dyDescent="0.2">
      <c r="A19" s="17">
        <f>'Non-Rebalanced Portfolio'!A19</f>
        <v>2005</v>
      </c>
      <c r="B19" s="17">
        <f>'Non-Rebalanced Portfolio'!B19</f>
        <v>4.7699999999999996</v>
      </c>
      <c r="C19" s="17"/>
      <c r="D19" s="17">
        <f>'Non-Rebalanced Portfolio'!D19</f>
        <v>13.930999999999999</v>
      </c>
      <c r="E19" s="17">
        <f>'Non-Rebalanced Portfolio'!E19</f>
        <v>7.3630000000000004</v>
      </c>
      <c r="F19" s="17"/>
      <c r="G19" s="17">
        <f>'Non-Rebalanced Portfolio'!G19</f>
        <v>15.571</v>
      </c>
      <c r="H19" s="17">
        <f>'Non-Rebalanced Portfolio'!H19</f>
        <v>2.4</v>
      </c>
      <c r="N19" s="49">
        <f>'4.5% Withdrawals-No Rebalancing'!N19</f>
        <v>2004</v>
      </c>
      <c r="O19" s="50">
        <f>'4.5% Withdrawals-No Rebalancing'!O19</f>
        <v>3.3000000000000002E-2</v>
      </c>
      <c r="P19" s="44"/>
    </row>
    <row r="20" spans="1:16" x14ac:dyDescent="0.2">
      <c r="A20" s="17">
        <f>'Non-Rebalanced Portfolio'!A20</f>
        <v>2006</v>
      </c>
      <c r="B20" s="17">
        <f>'Non-Rebalanced Portfolio'!B20</f>
        <v>15.64</v>
      </c>
      <c r="C20" s="17"/>
      <c r="D20" s="17">
        <f>'Non-Rebalanced Portfolio'!D20</f>
        <v>13.597</v>
      </c>
      <c r="E20" s="17">
        <f>'Non-Rebalanced Portfolio'!E20</f>
        <v>15.656000000000001</v>
      </c>
      <c r="F20" s="17"/>
      <c r="G20" s="17">
        <f>'Non-Rebalanced Portfolio'!G20</f>
        <v>26.637</v>
      </c>
      <c r="H20" s="17">
        <f>'Non-Rebalanced Portfolio'!H20</f>
        <v>4.2699999999999996</v>
      </c>
      <c r="N20" s="49">
        <f>'4.5% Withdrawals-No Rebalancing'!N20</f>
        <v>2005</v>
      </c>
      <c r="O20" s="50">
        <f>'4.5% Withdrawals-No Rebalancing'!O20</f>
        <v>3.3000000000000002E-2</v>
      </c>
      <c r="P20" s="44"/>
    </row>
    <row r="21" spans="1:16" x14ac:dyDescent="0.2">
      <c r="A21" s="17">
        <f>'Non-Rebalanced Portfolio'!A21</f>
        <v>2007</v>
      </c>
      <c r="B21" s="17">
        <f>'Non-Rebalanced Portfolio'!B21</f>
        <v>5.39</v>
      </c>
      <c r="C21" s="17"/>
      <c r="D21" s="17">
        <f>'Non-Rebalanced Portfolio'!D21</f>
        <v>6.0209999999999999</v>
      </c>
      <c r="E21" s="17">
        <f>'Non-Rebalanced Portfolio'!E21</f>
        <v>1.1559999999999999</v>
      </c>
      <c r="F21" s="17"/>
      <c r="G21" s="17">
        <f>'Non-Rebalanced Portfolio'!G21</f>
        <v>15.522</v>
      </c>
      <c r="H21" s="17">
        <f>'Non-Rebalanced Portfolio'!H21</f>
        <v>6.92</v>
      </c>
      <c r="N21" s="49">
        <f>'4.5% Withdrawals-No Rebalancing'!N21</f>
        <v>2006</v>
      </c>
      <c r="O21" s="50">
        <f>'4.5% Withdrawals-No Rebalancing'!O21</f>
        <v>2.5000000000000001E-2</v>
      </c>
      <c r="P21" s="44"/>
    </row>
    <row r="22" spans="1:16" x14ac:dyDescent="0.2">
      <c r="A22" s="17">
        <f>'Non-Rebalanced Portfolio'!A22</f>
        <v>2008</v>
      </c>
      <c r="B22" s="17">
        <f>'Non-Rebalanced Portfolio'!B22</f>
        <v>-37.020000000000003</v>
      </c>
      <c r="C22" s="17"/>
      <c r="D22" s="17">
        <f>'Non-Rebalanced Portfolio'!D22</f>
        <v>-41.823999999999998</v>
      </c>
      <c r="E22" s="17">
        <f>'Non-Rebalanced Portfolio'!E22</f>
        <v>-36.07</v>
      </c>
      <c r="F22" s="17"/>
      <c r="G22" s="17">
        <f>'Non-Rebalanced Portfolio'!G22</f>
        <v>-44.100999999999999</v>
      </c>
      <c r="H22" s="17">
        <f>'Non-Rebalanced Portfolio'!H22</f>
        <v>5.05</v>
      </c>
      <c r="N22" s="49">
        <f>'4.5% Withdrawals-No Rebalancing'!N22</f>
        <v>2007</v>
      </c>
      <c r="O22" s="50">
        <f>'4.5% Withdrawals-No Rebalancing'!O22</f>
        <v>4.1000000000000002E-2</v>
      </c>
      <c r="P22" s="44"/>
    </row>
    <row r="23" spans="1:16" x14ac:dyDescent="0.2">
      <c r="A23" s="17">
        <f>'Non-Rebalanced Portfolio'!A23</f>
        <v>2009</v>
      </c>
      <c r="B23" s="17">
        <f>'Non-Rebalanced Portfolio'!B23</f>
        <v>26.49</v>
      </c>
      <c r="C23" s="17"/>
      <c r="D23" s="17">
        <f>'Non-Rebalanced Portfolio'!D23</f>
        <v>40.218000000000004</v>
      </c>
      <c r="E23" s="17">
        <f>'Non-Rebalanced Portfolio'!E23</f>
        <v>36.118000000000002</v>
      </c>
      <c r="F23" s="17"/>
      <c r="G23" s="17">
        <f>'Non-Rebalanced Portfolio'!G23</f>
        <v>36.726999999999997</v>
      </c>
      <c r="H23" s="17">
        <f>'Non-Rebalanced Portfolio'!H23</f>
        <v>5.93</v>
      </c>
      <c r="N23" s="49">
        <f>'4.5% Withdrawals-No Rebalancing'!N23</f>
        <v>2008</v>
      </c>
      <c r="O23" s="50">
        <f>'4.5% Withdrawals-No Rebalancing'!O23</f>
        <v>0</v>
      </c>
      <c r="P23" s="44"/>
    </row>
    <row r="24" spans="1:16" x14ac:dyDescent="0.2">
      <c r="A24" s="17">
        <f>'Non-Rebalanced Portfolio'!A24</f>
        <v>2010</v>
      </c>
      <c r="B24" s="17">
        <f>'Non-Rebalanced Portfolio'!B24</f>
        <v>14.91</v>
      </c>
      <c r="C24" s="17"/>
      <c r="D24" s="17">
        <f>'Non-Rebalanced Portfolio'!D24</f>
        <v>25.46</v>
      </c>
      <c r="E24" s="17">
        <f>'Non-Rebalanced Portfolio'!E24</f>
        <v>27.72</v>
      </c>
      <c r="F24" s="17"/>
      <c r="G24" s="17">
        <f>'Non-Rebalanced Portfolio'!G24</f>
        <v>11.12</v>
      </c>
      <c r="H24" s="17">
        <f>'Non-Rebalanced Portfolio'!H24</f>
        <v>6.42</v>
      </c>
      <c r="N24" s="49">
        <f>'4.5% Withdrawals-No Rebalancing'!N24</f>
        <v>2009</v>
      </c>
      <c r="O24" s="50">
        <f>'4.5% Withdrawals-No Rebalancing'!O24</f>
        <v>2.8000000000000001E-2</v>
      </c>
      <c r="P24" s="44"/>
    </row>
    <row r="25" spans="1:16" x14ac:dyDescent="0.2">
      <c r="A25" s="17">
        <f>'Non-Rebalanced Portfolio'!A25</f>
        <v>2011</v>
      </c>
      <c r="B25" s="17">
        <f>'Non-Rebalanced Portfolio'!B25</f>
        <v>1.97</v>
      </c>
      <c r="C25" s="17"/>
      <c r="D25" s="17">
        <f>'Non-Rebalanced Portfolio'!D25</f>
        <v>-2.11</v>
      </c>
      <c r="E25" s="17">
        <f>'Non-Rebalanced Portfolio'!E25</f>
        <v>-2.8</v>
      </c>
      <c r="F25" s="17"/>
      <c r="G25" s="17">
        <f>'Non-Rebalanced Portfolio'!G25</f>
        <v>-14.56</v>
      </c>
      <c r="H25" s="17">
        <f>'Non-Rebalanced Portfolio'!H25</f>
        <v>7.56</v>
      </c>
      <c r="N25" s="49">
        <f>'4.5% Withdrawals-No Rebalancing'!N25</f>
        <v>2010</v>
      </c>
      <c r="O25" s="50">
        <f>'4.5% Withdrawals-No Rebalancing'!O25</f>
        <v>1.4E-2</v>
      </c>
      <c r="P25" s="44"/>
    </row>
    <row r="26" spans="1:16" x14ac:dyDescent="0.2">
      <c r="A26" s="17">
        <f>'Non-Rebalanced Portfolio'!A26</f>
        <v>2012</v>
      </c>
      <c r="B26" s="17">
        <f>'Non-Rebalanced Portfolio'!B26</f>
        <v>15.82</v>
      </c>
      <c r="C26" s="17"/>
      <c r="D26" s="17">
        <f>'Non-Rebalanced Portfolio'!D26</f>
        <v>15.8</v>
      </c>
      <c r="E26" s="17">
        <f>'Non-Rebalanced Portfolio'!E26</f>
        <v>18.04</v>
      </c>
      <c r="F26" s="17"/>
      <c r="G26" s="17">
        <f>'Non-Rebalanced Portfolio'!G26</f>
        <v>18.14</v>
      </c>
      <c r="H26" s="17">
        <f>'Non-Rebalanced Portfolio'!H26</f>
        <v>4.05</v>
      </c>
      <c r="N26" s="49">
        <f>'4.5% Withdrawals-No Rebalancing'!N26</f>
        <v>2011</v>
      </c>
      <c r="O26" s="50">
        <f>'4.5% Withdrawals-No Rebalancing'!O26</f>
        <v>0.03</v>
      </c>
      <c r="P26" s="44"/>
    </row>
    <row r="27" spans="1:16" x14ac:dyDescent="0.2">
      <c r="A27" s="17">
        <f>'Non-Rebalanced Portfolio'!A27</f>
        <v>2013</v>
      </c>
      <c r="B27" s="17">
        <f>'Non-Rebalanced Portfolio'!B27</f>
        <v>32.18</v>
      </c>
      <c r="C27" s="17"/>
      <c r="D27" s="17">
        <f>'Non-Rebalanced Portfolio'!D27</f>
        <v>35</v>
      </c>
      <c r="E27" s="17">
        <f>'Non-Rebalanced Portfolio'!E27</f>
        <v>37.619999999999997</v>
      </c>
      <c r="F27" s="17"/>
      <c r="G27" s="17">
        <f>'Non-Rebalanced Portfolio'!G27</f>
        <v>15.04</v>
      </c>
      <c r="H27" s="17">
        <f>'Non-Rebalanced Portfolio'!H27</f>
        <v>-2.2599999999999998</v>
      </c>
      <c r="N27" s="49">
        <f>'4.5% Withdrawals-No Rebalancing'!N27</f>
        <v>2012</v>
      </c>
      <c r="O27" s="50">
        <f>'4.5% Withdrawals-No Rebalancing'!O27</f>
        <v>1.7999999999999999E-2</v>
      </c>
    </row>
    <row r="28" spans="1:16" x14ac:dyDescent="0.2">
      <c r="A28" s="17">
        <f>'Non-Rebalanced Portfolio'!A28</f>
        <v>2014</v>
      </c>
      <c r="B28" s="17">
        <f>'Non-Rebalanced Portfolio'!B28</f>
        <v>13.51</v>
      </c>
      <c r="C28" s="17"/>
      <c r="D28" s="17">
        <f>'Non-Rebalanced Portfolio'!D28</f>
        <v>13.6</v>
      </c>
      <c r="E28" s="17">
        <f>'Non-Rebalanced Portfolio'!E28</f>
        <v>7.37</v>
      </c>
      <c r="F28" s="17"/>
      <c r="G28" s="17">
        <f>'Non-Rebalanced Portfolio'!G28</f>
        <v>-4.24</v>
      </c>
      <c r="H28" s="17">
        <f>'Non-Rebalanced Portfolio'!H28</f>
        <v>5.76</v>
      </c>
      <c r="N28" s="49">
        <f>'4.5% Withdrawals-No Rebalancing'!N28</f>
        <v>2013</v>
      </c>
      <c r="O28" s="50">
        <f>'4.5% Withdrawals-No Rebalancing'!O28</f>
        <v>1.15559170535223E-2</v>
      </c>
    </row>
    <row r="29" spans="1:16" x14ac:dyDescent="0.2">
      <c r="A29" s="17">
        <f>'Non-Rebalanced Portfolio'!A29</f>
        <v>2015</v>
      </c>
      <c r="B29" s="17">
        <f>'Non-Rebalanced Portfolio'!B29</f>
        <v>1.25</v>
      </c>
      <c r="C29" s="17"/>
      <c r="D29" s="17">
        <f>'Non-Rebalanced Portfolio'!D29</f>
        <v>-1.46</v>
      </c>
      <c r="E29" s="17">
        <f>'Non-Rebalanced Portfolio'!E29</f>
        <v>-3.78</v>
      </c>
      <c r="F29" s="17"/>
      <c r="G29" s="17">
        <f>'Non-Rebalanced Portfolio'!G29</f>
        <v>-4.37</v>
      </c>
      <c r="H29" s="17">
        <f>'Non-Rebalanced Portfolio'!H29</f>
        <v>0.3</v>
      </c>
      <c r="N29" s="49">
        <f>'4.5% Withdrawals-No Rebalancing'!N29</f>
        <v>2014</v>
      </c>
      <c r="O29" s="50">
        <f>'4.5% Withdrawals-No Rebalancing'!O29</f>
        <v>1.29E-2</v>
      </c>
    </row>
    <row r="30" spans="1:16" x14ac:dyDescent="0.2">
      <c r="A30" s="17">
        <f>'Non-Rebalanced Portfolio'!A30</f>
        <v>2016</v>
      </c>
      <c r="B30" s="17">
        <f>'Non-Rebalanced Portfolio'!B30</f>
        <v>11.82</v>
      </c>
      <c r="C30" s="17"/>
      <c r="D30" s="17">
        <f>'Non-Rebalanced Portfolio'!D30</f>
        <v>11.07</v>
      </c>
      <c r="E30" s="17">
        <f>'Non-Rebalanced Portfolio'!E30</f>
        <v>18.170000000000002</v>
      </c>
      <c r="F30" s="17"/>
      <c r="G30" s="17">
        <f>'Non-Rebalanced Portfolio'!G30</f>
        <v>4.6500000000000004</v>
      </c>
      <c r="H30" s="17">
        <f>'Non-Rebalanced Portfolio'!H30</f>
        <v>2.5</v>
      </c>
      <c r="N30" s="49">
        <f>'4.5% Withdrawals-No Rebalancing'!N30</f>
        <v>2015</v>
      </c>
      <c r="O30" s="50">
        <f>'4.5% Withdrawals-No Rebalancing'!O30</f>
        <v>4.4000000000000003E-3</v>
      </c>
    </row>
    <row r="31" spans="1:16" x14ac:dyDescent="0.2">
      <c r="A31" s="17">
        <f>'Non-Rebalanced Portfolio'!A31</f>
        <v>2017</v>
      </c>
      <c r="B31" s="17">
        <f>'Non-Rebalanced Portfolio'!B31</f>
        <v>21.67</v>
      </c>
      <c r="C31" s="17"/>
      <c r="D31" s="17">
        <f>'Non-Rebalanced Portfolio'!D31</f>
        <v>19.600000000000001</v>
      </c>
      <c r="E31" s="17">
        <f>'Non-Rebalanced Portfolio'!E31</f>
        <v>16.100000000000001</v>
      </c>
      <c r="F31" s="17"/>
      <c r="G31" s="17">
        <f>'Non-Rebalanced Portfolio'!G31</f>
        <v>27.4</v>
      </c>
      <c r="H31" s="17">
        <f>'Non-Rebalanced Portfolio'!H31</f>
        <v>3.46</v>
      </c>
      <c r="N31" s="49">
        <f>'4.5% Withdrawals-No Rebalancing'!N31</f>
        <v>2016</v>
      </c>
      <c r="O31" s="50">
        <f>'4.5% Withdrawals-No Rebalancing'!O31</f>
        <v>1.7000000000000001E-2</v>
      </c>
    </row>
    <row r="32" spans="1:16" x14ac:dyDescent="0.2">
      <c r="A32" s="17">
        <f>'Non-Rebalanced Portfolio'!A32</f>
        <v>2017</v>
      </c>
      <c r="B32" s="17">
        <f>'Non-Rebalanced Portfolio'!B32</f>
        <v>21.67</v>
      </c>
      <c r="C32" s="17"/>
      <c r="D32" s="17">
        <f>'Non-Rebalanced Portfolio'!D32</f>
        <v>19.600000000000001</v>
      </c>
      <c r="E32" s="17">
        <f>'Non-Rebalanced Portfolio'!E32</f>
        <v>16.100000000000001</v>
      </c>
      <c r="F32" s="17"/>
      <c r="G32" s="17">
        <f>'Non-Rebalanced Portfolio'!G32</f>
        <v>27.4</v>
      </c>
      <c r="H32" s="17">
        <f>'Non-Rebalanced Portfolio'!H32</f>
        <v>3.46</v>
      </c>
      <c r="N32" s="49">
        <f>'4.5% Withdrawals-No Rebalancing'!N32</f>
        <v>2017</v>
      </c>
      <c r="O32" s="50">
        <f>'4.5% Withdrawals-No Rebalancing'!O32</f>
        <v>2.23E-2</v>
      </c>
    </row>
    <row r="33" spans="1:65" x14ac:dyDescent="0.2">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'4.5% Withdrawals-No Rebalancing'!N33</f>
        <v>2017</v>
      </c>
      <c r="O33" s="50">
        <f>'4.5% Withdrawals-No Rebalancing'!O33</f>
        <v>2.23E-2</v>
      </c>
    </row>
    <row r="36" spans="1:65" x14ac:dyDescent="0.2">
      <c r="A36" s="20" t="s">
        <v>156</v>
      </c>
      <c r="N36" s="20" t="s">
        <v>25</v>
      </c>
      <c r="R36" s="20" t="s">
        <v>157</v>
      </c>
      <c r="AG36" s="20" t="s">
        <v>158</v>
      </c>
      <c r="AS36" s="20" t="s">
        <v>7</v>
      </c>
      <c r="BC36" s="20" t="s">
        <v>155</v>
      </c>
    </row>
    <row r="37" spans="1:65" x14ac:dyDescent="0.2">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76</v>
      </c>
      <c r="K37" s="5" t="s">
        <v>73</v>
      </c>
      <c r="L37" s="5" t="s">
        <v>74</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76</v>
      </c>
      <c r="AB37" s="5" t="s">
        <v>73</v>
      </c>
      <c r="AC37" s="5" t="s">
        <v>74</v>
      </c>
      <c r="AD37" s="5" t="s">
        <v>88</v>
      </c>
      <c r="AE37" s="5"/>
      <c r="AH37" s="4" t="str">
        <f t="shared" ref="AH37:AN38" si="2">B37</f>
        <v>LC Stocks</v>
      </c>
      <c r="AI37" s="4" t="str">
        <f t="shared" si="2"/>
        <v>Ext Mkt</v>
      </c>
      <c r="AJ37" s="4" t="str">
        <f t="shared" si="2"/>
        <v>Mcap Stk</v>
      </c>
      <c r="AK37" s="4" t="str">
        <f t="shared" si="2"/>
        <v>Small Cap</v>
      </c>
      <c r="AL37" s="4" t="str">
        <f t="shared" si="2"/>
        <v>Intl Val</v>
      </c>
      <c r="AM37" s="4" t="str">
        <f t="shared" si="2"/>
        <v>Tot Int Stk</v>
      </c>
      <c r="AN37" s="4" t="str">
        <f t="shared" si="2"/>
        <v>Bonds</v>
      </c>
      <c r="AO37" s="5"/>
      <c r="AP37" s="5" t="s">
        <v>111</v>
      </c>
      <c r="AQ37" s="5" t="s">
        <v>112</v>
      </c>
      <c r="AT37" s="4" t="str">
        <f t="shared" ref="AT37:AZ39" si="3">AH37</f>
        <v>LC Stocks</v>
      </c>
      <c r="AU37" s="4" t="str">
        <f t="shared" si="3"/>
        <v>Ext Mkt</v>
      </c>
      <c r="AV37" s="4" t="str">
        <f t="shared" si="3"/>
        <v>Mcap Stk</v>
      </c>
      <c r="AW37" s="4" t="str">
        <f t="shared" si="3"/>
        <v>Small Cap</v>
      </c>
      <c r="AX37" s="4" t="str">
        <f t="shared" si="3"/>
        <v>Intl Val</v>
      </c>
      <c r="AY37" s="4" t="str">
        <f t="shared" si="3"/>
        <v>Tot Int Stk</v>
      </c>
      <c r="AZ37" s="4" t="str">
        <f t="shared" si="3"/>
        <v>Bonds</v>
      </c>
      <c r="BA37" s="5"/>
      <c r="BD37" s="4" t="str">
        <f>AT37</f>
        <v>LC Stocks</v>
      </c>
      <c r="BE37" s="4" t="str">
        <f t="shared" ref="BE37:BK39" si="4">AU37</f>
        <v>Ext Mkt</v>
      </c>
      <c r="BF37" s="4" t="str">
        <f t="shared" si="4"/>
        <v>Mcap Stk</v>
      </c>
      <c r="BG37" s="4" t="str">
        <f t="shared" si="4"/>
        <v>Small Cap</v>
      </c>
      <c r="BH37" s="4" t="str">
        <f t="shared" si="4"/>
        <v>Intl Val</v>
      </c>
      <c r="BI37" s="4" t="str">
        <f t="shared" si="4"/>
        <v>Tot Int Stk</v>
      </c>
      <c r="BJ37" s="4" t="str">
        <f t="shared" si="4"/>
        <v>Bonds</v>
      </c>
      <c r="BK37" s="4"/>
      <c r="BL37" t="s">
        <v>88</v>
      </c>
    </row>
    <row r="38" spans="1:65" x14ac:dyDescent="0.2">
      <c r="A38" t="s">
        <v>72</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70</v>
      </c>
      <c r="J38" s="5" t="s">
        <v>77</v>
      </c>
      <c r="K38" s="5" t="s">
        <v>75</v>
      </c>
      <c r="L38" s="5" t="s">
        <v>75</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77</v>
      </c>
      <c r="AB38" s="5" t="s">
        <v>75</v>
      </c>
      <c r="AC38" s="5" t="s">
        <v>75</v>
      </c>
      <c r="AD38" s="5" t="s">
        <v>87</v>
      </c>
      <c r="AE38" s="5"/>
      <c r="AG38" t="s">
        <v>72</v>
      </c>
      <c r="AH38" s="4" t="str">
        <f t="shared" si="2"/>
        <v>VFINX</v>
      </c>
      <c r="AI38" s="4" t="str">
        <f t="shared" si="2"/>
        <v>VEXMX</v>
      </c>
      <c r="AJ38" s="4" t="str">
        <f t="shared" si="2"/>
        <v>VIMSX</v>
      </c>
      <c r="AK38" s="4" t="str">
        <f t="shared" si="2"/>
        <v>NAESX</v>
      </c>
      <c r="AL38" s="4" t="str">
        <f t="shared" si="2"/>
        <v>VTRIX</v>
      </c>
      <c r="AM38" s="4" t="str">
        <f t="shared" si="2"/>
        <v>VGTSX</v>
      </c>
      <c r="AN38" s="4" t="str">
        <f t="shared" si="2"/>
        <v>VBMFX</v>
      </c>
      <c r="AO38" s="5" t="s">
        <v>70</v>
      </c>
      <c r="AP38" s="5" t="s">
        <v>112</v>
      </c>
      <c r="AQ38" s="5" t="s">
        <v>87</v>
      </c>
      <c r="AS38" t="str">
        <f>AG38</f>
        <v>Fund</v>
      </c>
      <c r="AT38" s="4" t="str">
        <f t="shared" si="3"/>
        <v>VFINX</v>
      </c>
      <c r="AU38" s="4" t="str">
        <f t="shared" si="3"/>
        <v>VEXMX</v>
      </c>
      <c r="AV38" s="4" t="str">
        <f t="shared" si="3"/>
        <v>VIMSX</v>
      </c>
      <c r="AW38" s="4" t="str">
        <f t="shared" si="3"/>
        <v>NAESX</v>
      </c>
      <c r="AX38" s="4" t="str">
        <f t="shared" si="3"/>
        <v>VTRIX</v>
      </c>
      <c r="AY38" s="4" t="str">
        <f t="shared" si="3"/>
        <v>VGTSX</v>
      </c>
      <c r="AZ38" s="4" t="str">
        <f t="shared" si="3"/>
        <v>VBMFX</v>
      </c>
      <c r="BA38" s="4" t="str">
        <f>AO38</f>
        <v>Total</v>
      </c>
      <c r="BC38" t="s">
        <v>72</v>
      </c>
      <c r="BD38" s="4" t="str">
        <f>AT38</f>
        <v>VFINX</v>
      </c>
      <c r="BE38" s="4" t="str">
        <f t="shared" si="4"/>
        <v>VEXMX</v>
      </c>
      <c r="BF38" s="4" t="str">
        <f t="shared" si="4"/>
        <v>VIMSX</v>
      </c>
      <c r="BG38" s="4" t="str">
        <f t="shared" si="4"/>
        <v>NAESX</v>
      </c>
      <c r="BH38" s="4" t="str">
        <f t="shared" si="4"/>
        <v>VTRIX</v>
      </c>
      <c r="BI38" s="4" t="str">
        <f t="shared" si="4"/>
        <v>VGTSX</v>
      </c>
      <c r="BJ38" s="4" t="str">
        <f t="shared" si="4"/>
        <v>VBMFX</v>
      </c>
      <c r="BK38" s="4" t="str">
        <f t="shared" si="4"/>
        <v>Total</v>
      </c>
      <c r="BL38" t="s">
        <v>87</v>
      </c>
    </row>
    <row r="39" spans="1:65" x14ac:dyDescent="0.2">
      <c r="A39" t="s">
        <v>71</v>
      </c>
      <c r="B39" s="2">
        <v>20000</v>
      </c>
      <c r="C39" s="2">
        <v>30000</v>
      </c>
      <c r="F39" s="2">
        <v>20000</v>
      </c>
      <c r="H39" s="2">
        <v>30000</v>
      </c>
      <c r="I39" s="2">
        <f>SUM(B39:H39)</f>
        <v>100000</v>
      </c>
      <c r="N39" s="21"/>
      <c r="R39" t="str">
        <f>A39</f>
        <v>Stating Balance</v>
      </c>
      <c r="S39" s="2">
        <f>B39</f>
        <v>20000</v>
      </c>
      <c r="T39" s="2">
        <f t="shared" si="1"/>
        <v>30000</v>
      </c>
      <c r="U39" s="2">
        <f t="shared" si="1"/>
        <v>0</v>
      </c>
      <c r="V39" s="2">
        <f t="shared" si="1"/>
        <v>0</v>
      </c>
      <c r="W39" s="2">
        <f t="shared" si="1"/>
        <v>20000</v>
      </c>
      <c r="X39" s="2">
        <f t="shared" si="1"/>
        <v>0</v>
      </c>
      <c r="Y39" s="2">
        <f t="shared" si="1"/>
        <v>30000</v>
      </c>
      <c r="Z39" s="2">
        <f t="shared" si="1"/>
        <v>100000</v>
      </c>
      <c r="AD39" s="2"/>
      <c r="AE39" s="2"/>
      <c r="AG39" s="21" t="s">
        <v>86</v>
      </c>
      <c r="AH39" s="6">
        <f t="shared" ref="AH39:AI54" si="5">S39/$Z39</f>
        <v>0.2</v>
      </c>
      <c r="AI39" s="6">
        <f t="shared" si="5"/>
        <v>0.3</v>
      </c>
      <c r="AJ39" s="23">
        <v>0.2</v>
      </c>
      <c r="AK39" s="23">
        <v>0.1</v>
      </c>
      <c r="AL39" s="6">
        <f>W39/$Z39</f>
        <v>0.2</v>
      </c>
      <c r="AM39" s="23">
        <v>0.2</v>
      </c>
      <c r="AN39" s="6">
        <f>Y39/$Z39</f>
        <v>0.3</v>
      </c>
      <c r="AO39" s="6">
        <f>Z39/$Z39</f>
        <v>1</v>
      </c>
      <c r="AP39" s="24"/>
      <c r="AR39" s="24"/>
      <c r="AS39" s="21" t="str">
        <f>AG39</f>
        <v>Target Allocation</v>
      </c>
      <c r="AT39" s="24">
        <f t="shared" si="3"/>
        <v>0.2</v>
      </c>
      <c r="AU39" s="24">
        <f t="shared" si="3"/>
        <v>0.3</v>
      </c>
      <c r="AV39" s="25">
        <f t="shared" si="3"/>
        <v>0.2</v>
      </c>
      <c r="AW39" s="25">
        <f t="shared" si="3"/>
        <v>0.1</v>
      </c>
      <c r="AX39" s="24">
        <f t="shared" si="3"/>
        <v>0.2</v>
      </c>
      <c r="AY39" s="25">
        <f t="shared" si="3"/>
        <v>0.2</v>
      </c>
      <c r="AZ39" s="24">
        <f t="shared" si="3"/>
        <v>0.3</v>
      </c>
      <c r="BA39" s="24">
        <f>AO39</f>
        <v>1</v>
      </c>
      <c r="BC39" s="21" t="str">
        <f>AS39</f>
        <v>Target Allocation</v>
      </c>
      <c r="BD39" s="24">
        <f>AT39</f>
        <v>0.2</v>
      </c>
      <c r="BE39" s="24">
        <f t="shared" si="4"/>
        <v>0.3</v>
      </c>
      <c r="BF39" s="25">
        <f t="shared" si="4"/>
        <v>0.2</v>
      </c>
      <c r="BG39" s="25">
        <f t="shared" si="4"/>
        <v>0.1</v>
      </c>
      <c r="BH39" s="24">
        <f t="shared" si="4"/>
        <v>0.2</v>
      </c>
      <c r="BI39" s="25">
        <f t="shared" si="4"/>
        <v>0.2</v>
      </c>
      <c r="BJ39" s="24">
        <f t="shared" si="4"/>
        <v>0.3</v>
      </c>
      <c r="BK39" s="24">
        <f t="shared" si="4"/>
        <v>1</v>
      </c>
      <c r="BL39" s="2"/>
    </row>
    <row r="40" spans="1:65" x14ac:dyDescent="0.2">
      <c r="A40">
        <f t="shared" ref="A40:A64" si="6">A4</f>
        <v>1990</v>
      </c>
      <c r="B40" s="2">
        <f>B39*(1+(B4/100))</f>
        <v>19336</v>
      </c>
      <c r="C40" s="2">
        <f>C39*(1+(C4/100))</f>
        <v>25786.5</v>
      </c>
      <c r="D40" s="2"/>
      <c r="E40" s="2"/>
      <c r="F40" s="2">
        <f>F39*(1+(F4/100))</f>
        <v>17548</v>
      </c>
      <c r="G40" s="2"/>
      <c r="H40" s="2">
        <f>H39*(1+(H4/100))</f>
        <v>32595</v>
      </c>
      <c r="I40" s="2">
        <f>SUM(B40:H40)</f>
        <v>95265.5</v>
      </c>
      <c r="J40" s="2">
        <f>I40-I39</f>
        <v>-4734.5</v>
      </c>
      <c r="K40" s="6">
        <f>(J40/I39)</f>
        <v>-4.7344999999999998E-2</v>
      </c>
      <c r="L40" s="7">
        <f>K40+1</f>
        <v>0.95265500000000003</v>
      </c>
      <c r="N40">
        <f>A40</f>
        <v>1990</v>
      </c>
      <c r="O40" s="2">
        <f>I40*0.04</f>
        <v>3810.62</v>
      </c>
      <c r="P40" s="2"/>
      <c r="Q40" s="2"/>
      <c r="R40">
        <f>A40</f>
        <v>1990</v>
      </c>
      <c r="S40" s="2">
        <f>B40-($O40/4)</f>
        <v>18383.345000000001</v>
      </c>
      <c r="T40" s="2">
        <f>C40-($O40/4)</f>
        <v>24833.845000000001</v>
      </c>
      <c r="U40" s="2"/>
      <c r="V40" s="2"/>
      <c r="W40" s="2">
        <f t="shared" ref="W40:W46" si="7">F40-($O40/4)</f>
        <v>16595.345000000001</v>
      </c>
      <c r="X40" s="2"/>
      <c r="Y40" s="2">
        <f>H40-($O40/4)</f>
        <v>31642.345000000001</v>
      </c>
      <c r="Z40" s="2">
        <f>SUM(S40:Y40)</f>
        <v>91454.88</v>
      </c>
      <c r="AA40" s="2">
        <f>Z40-Z39</f>
        <v>-8545.1199999999953</v>
      </c>
      <c r="AB40" s="6">
        <f>(AA40/Z39)</f>
        <v>-8.5451199999999949E-2</v>
      </c>
      <c r="AC40" s="7">
        <f>AB40+1</f>
        <v>0.91454880000000005</v>
      </c>
      <c r="AD40" s="2">
        <f>Z40-(I40-O40)</f>
        <v>0</v>
      </c>
      <c r="AE40" s="2"/>
      <c r="AG40">
        <f>A40</f>
        <v>1990</v>
      </c>
      <c r="AH40" s="6">
        <f t="shared" si="5"/>
        <v>0.20100999531134917</v>
      </c>
      <c r="AI40" s="6">
        <f t="shared" si="5"/>
        <v>0.27154204346449307</v>
      </c>
      <c r="AJ40" s="7"/>
      <c r="AK40" s="7"/>
      <c r="AL40" s="6">
        <f>W40/$Z40</f>
        <v>0.18145937100349374</v>
      </c>
      <c r="AM40" s="7"/>
      <c r="AN40" s="6">
        <f>Y40/$Z40</f>
        <v>0.34598859022066397</v>
      </c>
      <c r="AO40" s="6">
        <f>SUM(AH40:AN40)</f>
        <v>0.99999999999999989</v>
      </c>
      <c r="AP40" s="7">
        <f>SUM(AH40:AM40)</f>
        <v>0.65401140977933592</v>
      </c>
      <c r="AQ40" s="7">
        <f>AO40-(AP40+AN40)</f>
        <v>0</v>
      </c>
      <c r="AR40" s="24"/>
      <c r="AS40">
        <f>AG40</f>
        <v>1990</v>
      </c>
      <c r="AT40" s="1" t="b">
        <f>AND((S40/$Z40)&gt;0.15,(S40/$Z40)&lt;0.25)</f>
        <v>1</v>
      </c>
      <c r="AU40" s="1" t="b">
        <f>AND((T40/$Z40)&gt;0.25,(T40/$Z40)&lt;0.35)</f>
        <v>1</v>
      </c>
      <c r="AX40" s="1" t="b">
        <f t="shared" ref="AX40:AX48" si="8">AND((W40/$Z40)&gt;0.15,(W40/$Z40)&lt;0.25)</f>
        <v>1</v>
      </c>
      <c r="AZ40" s="1" t="b">
        <f>AND((Y40/$Z40)&gt;0.25,(Y40/$Z40)&lt;0.35)</f>
        <v>1</v>
      </c>
      <c r="BA40" s="1" t="b">
        <f>AND((Z40/$Z40)&gt;0.999,(Z40/$Z40)&lt;1.01)</f>
        <v>1</v>
      </c>
      <c r="BC40">
        <f>AS40</f>
        <v>1990</v>
      </c>
      <c r="BD40" s="2">
        <f t="shared" ref="BD40:BE50" si="9">$BK40*BD$39</f>
        <v>18290.976000000002</v>
      </c>
      <c r="BE40" s="2">
        <f t="shared" si="9"/>
        <v>27436.464</v>
      </c>
      <c r="BF40" s="2"/>
      <c r="BG40" s="2"/>
      <c r="BH40" s="2">
        <f t="shared" ref="BH40:BH46" si="10">$BK40*BH$39</f>
        <v>18290.976000000002</v>
      </c>
      <c r="BI40" s="2"/>
      <c r="BJ40" s="2">
        <f t="shared" ref="BJ40:BJ64" si="11">$BK40*BJ$39</f>
        <v>27436.464</v>
      </c>
      <c r="BK40" s="2">
        <f>Z40</f>
        <v>91454.88</v>
      </c>
      <c r="BL40" s="2">
        <f>SUM(BD40:BJ40)-Z40</f>
        <v>0</v>
      </c>
      <c r="BM40" s="2"/>
    </row>
    <row r="41" spans="1:65" x14ac:dyDescent="0.2">
      <c r="A41">
        <f t="shared" si="6"/>
        <v>1991</v>
      </c>
      <c r="B41" s="2">
        <f t="shared" ref="B41:B50" si="12">BD40*(1+(B5/100))</f>
        <v>23818.508947200004</v>
      </c>
      <c r="C41" s="2">
        <f t="shared" ref="C41:C48" si="13">BE40*(1+(C5/100))</f>
        <v>38918.624184</v>
      </c>
      <c r="D41" s="2"/>
      <c r="E41" s="2"/>
      <c r="F41" s="2">
        <f t="shared" ref="F41:F46" si="14">BH40*(1+(F5/100))</f>
        <v>20112.025570560003</v>
      </c>
      <c r="G41" s="2"/>
      <c r="H41" s="2">
        <f t="shared" ref="H41:H64" si="15">BJ40*(1+(H5/100))</f>
        <v>31620.524760000004</v>
      </c>
      <c r="I41" s="2">
        <f>SUM(B41:H41)</f>
        <v>114469.68346176001</v>
      </c>
      <c r="J41" s="2">
        <f t="shared" ref="J41:J64" si="16">I41-I40</f>
        <v>19204.183461760011</v>
      </c>
      <c r="K41" s="6">
        <f t="shared" ref="K41:K64" si="17">(J41/I40)</f>
        <v>0.20158592000000011</v>
      </c>
      <c r="L41" s="7">
        <f t="shared" ref="L41:L64" si="18">K41+1</f>
        <v>1.2015859200000001</v>
      </c>
      <c r="N41">
        <f t="shared" ref="N41:N64" si="19">A41</f>
        <v>1991</v>
      </c>
      <c r="O41" s="2">
        <f t="shared" ref="O41:O64" si="20">O40*(1+O5)</f>
        <v>4050.6890599999997</v>
      </c>
      <c r="P41" s="2"/>
      <c r="Q41" s="2"/>
      <c r="R41">
        <f t="shared" ref="R41:R64" si="21">A41</f>
        <v>1991</v>
      </c>
      <c r="S41" s="2">
        <f t="shared" ref="S41:T48" si="22">B41-($O41/4)</f>
        <v>22805.836682200003</v>
      </c>
      <c r="T41" s="2">
        <f t="shared" si="22"/>
        <v>37905.951918999999</v>
      </c>
      <c r="U41" s="2"/>
      <c r="V41" s="2"/>
      <c r="W41" s="2">
        <f t="shared" si="7"/>
        <v>19099.353305560002</v>
      </c>
      <c r="X41" s="2"/>
      <c r="Y41" s="2">
        <f t="shared" ref="Y41:Y48" si="23">H41-($O41/4)</f>
        <v>30607.852495000003</v>
      </c>
      <c r="Z41" s="2">
        <f t="shared" ref="Z41:Z64" si="24">SUM(S41:Y41)</f>
        <v>110418.99440176001</v>
      </c>
      <c r="AA41" s="2">
        <f t="shared" ref="AA41:AA55" si="25">Z41-Z40</f>
        <v>18964.114401760002</v>
      </c>
      <c r="AB41" s="6">
        <f t="shared" ref="AB41:AB55" si="26">(AA41/Z40)</f>
        <v>0.20736033333333334</v>
      </c>
      <c r="AC41" s="7">
        <f t="shared" ref="AC41:AC64" si="27">AB41+1</f>
        <v>1.2073603333333334</v>
      </c>
      <c r="AD41" s="2">
        <f t="shared" ref="AD41:AD64" si="28">Z41-(I41-O41)</f>
        <v>0</v>
      </c>
      <c r="AE41" s="2"/>
      <c r="AG41">
        <f t="shared" ref="AG41:AG64" si="29">A41</f>
        <v>1991</v>
      </c>
      <c r="AH41" s="6">
        <f t="shared" si="5"/>
        <v>0.20653907242825328</v>
      </c>
      <c r="AI41" s="6">
        <f t="shared" si="5"/>
        <v>0.3432919501248039</v>
      </c>
      <c r="AJ41" s="7"/>
      <c r="AK41" s="7"/>
      <c r="AL41" s="6">
        <f t="shared" ref="AL41:AM56" si="30">W41/$Z41</f>
        <v>0.17297162874049476</v>
      </c>
      <c r="AM41" s="7"/>
      <c r="AN41" s="6">
        <f t="shared" ref="AN41:AN64" si="31">Y41/$Z41</f>
        <v>0.27719734870644802</v>
      </c>
      <c r="AO41" s="6">
        <f t="shared" ref="AO41:AO64" si="32">SUM(AH41:AN41)</f>
        <v>1</v>
      </c>
      <c r="AP41" s="7">
        <f t="shared" ref="AP41:AP64" si="33">SUM(AH41:AM41)</f>
        <v>0.72280265129355192</v>
      </c>
      <c r="AQ41" s="7">
        <f t="shared" ref="AQ41:AQ64" si="34">AO41-(AP41+AN41)</f>
        <v>0</v>
      </c>
      <c r="AR41" s="24"/>
      <c r="AS41">
        <f t="shared" ref="AS41:AS64" si="35">AG41</f>
        <v>1991</v>
      </c>
      <c r="AT41" s="1" t="b">
        <f t="shared" ref="AT41:AT64" si="36">AND((S41/$Z41)&gt;0.15,(S41/$Z41)&lt;0.25)</f>
        <v>1</v>
      </c>
      <c r="AU41" s="1" t="b">
        <f t="shared" ref="AU41:AU50" si="37">AND((T41/$Z41)&gt;0.25,(T41/$Z41)&lt;0.35)</f>
        <v>1</v>
      </c>
      <c r="AX41" s="1" t="b">
        <f t="shared" si="8"/>
        <v>1</v>
      </c>
      <c r="AZ41" s="1" t="b">
        <f t="shared" ref="AZ41:AZ64" si="38">AND((Y41/$Z41)&gt;0.25,(Y41/$Z41)&lt;0.35)</f>
        <v>1</v>
      </c>
      <c r="BA41" s="1" t="b">
        <f t="shared" ref="BA41:BA64" si="39">AND((Z41/$Z41)&gt;0.999,(Z41/$Z41)&lt;1.01)</f>
        <v>1</v>
      </c>
      <c r="BC41">
        <f t="shared" ref="BC41:BC64" si="40">AS41</f>
        <v>1991</v>
      </c>
      <c r="BD41" s="2">
        <f t="shared" si="9"/>
        <v>22083.798880352002</v>
      </c>
      <c r="BE41" s="2">
        <f t="shared" si="9"/>
        <v>33125.698320527998</v>
      </c>
      <c r="BF41" s="2"/>
      <c r="BG41" s="2"/>
      <c r="BH41" s="2">
        <f t="shared" si="10"/>
        <v>22083.798880352002</v>
      </c>
      <c r="BI41" s="2"/>
      <c r="BJ41" s="2">
        <f t="shared" si="11"/>
        <v>33125.698320527998</v>
      </c>
      <c r="BK41" s="2">
        <f t="shared" ref="BK41:BK64" si="41">Z41</f>
        <v>110418.99440176001</v>
      </c>
      <c r="BL41" s="2">
        <f t="shared" ref="BL41:BL64" si="42">SUM(BD41:BJ41)-Z41</f>
        <v>0</v>
      </c>
      <c r="BM41" s="2"/>
    </row>
    <row r="42" spans="1:65" x14ac:dyDescent="0.2">
      <c r="A42">
        <f t="shared" si="6"/>
        <v>1992</v>
      </c>
      <c r="B42" s="2">
        <f t="shared" si="12"/>
        <v>23722.416757274121</v>
      </c>
      <c r="C42" s="2">
        <f t="shared" si="13"/>
        <v>37255.14787316502</v>
      </c>
      <c r="D42" s="2"/>
      <c r="E42" s="2"/>
      <c r="F42" s="2">
        <f t="shared" si="14"/>
        <v>20157.870779996505</v>
      </c>
      <c r="G42" s="2"/>
      <c r="H42" s="2">
        <f t="shared" si="15"/>
        <v>35490.873180613693</v>
      </c>
      <c r="I42" s="2">
        <f t="shared" ref="I42:I64" si="43">SUM(B42:H42)</f>
        <v>116626.30859104934</v>
      </c>
      <c r="J42" s="2">
        <f t="shared" si="16"/>
        <v>2156.6251292893285</v>
      </c>
      <c r="K42" s="6">
        <f t="shared" si="17"/>
        <v>1.8840142333491953E-2</v>
      </c>
      <c r="L42" s="7">
        <f t="shared" si="18"/>
        <v>1.0188401423334918</v>
      </c>
      <c r="N42">
        <f t="shared" si="19"/>
        <v>1992</v>
      </c>
      <c r="O42" s="2">
        <f t="shared" si="20"/>
        <v>4172.2097317999996</v>
      </c>
      <c r="P42" s="2"/>
      <c r="Q42" s="2"/>
      <c r="R42">
        <f t="shared" si="21"/>
        <v>1992</v>
      </c>
      <c r="S42" s="2">
        <f t="shared" si="22"/>
        <v>22679.36432432412</v>
      </c>
      <c r="T42" s="2">
        <f t="shared" si="22"/>
        <v>36212.095440215024</v>
      </c>
      <c r="U42" s="2"/>
      <c r="V42" s="2"/>
      <c r="W42" s="2">
        <f t="shared" si="7"/>
        <v>19114.818347046505</v>
      </c>
      <c r="X42" s="2"/>
      <c r="Y42" s="2">
        <f t="shared" si="23"/>
        <v>34447.820747663696</v>
      </c>
      <c r="Z42" s="2">
        <f t="shared" si="24"/>
        <v>112454.09885924935</v>
      </c>
      <c r="AA42" s="2">
        <f t="shared" si="25"/>
        <v>2035.1044574893458</v>
      </c>
      <c r="AB42" s="6">
        <f t="shared" si="26"/>
        <v>1.8430746163876563E-2</v>
      </c>
      <c r="AC42" s="7">
        <f t="shared" si="27"/>
        <v>1.0184307461638766</v>
      </c>
      <c r="AD42" s="2">
        <f t="shared" si="28"/>
        <v>0</v>
      </c>
      <c r="AE42" s="2"/>
      <c r="AG42">
        <f t="shared" si="29"/>
        <v>1992</v>
      </c>
      <c r="AH42" s="6">
        <f t="shared" si="5"/>
        <v>0.20167663566190003</v>
      </c>
      <c r="AI42" s="6">
        <f t="shared" si="5"/>
        <v>0.32201667887214214</v>
      </c>
      <c r="AJ42" s="7"/>
      <c r="AK42" s="7"/>
      <c r="AL42" s="6">
        <f t="shared" si="30"/>
        <v>0.16997884951237871</v>
      </c>
      <c r="AM42" s="7"/>
      <c r="AN42" s="6">
        <f t="shared" si="31"/>
        <v>0.30632783595357904</v>
      </c>
      <c r="AO42" s="6">
        <f t="shared" si="32"/>
        <v>0.99999999999999989</v>
      </c>
      <c r="AP42" s="7">
        <f t="shared" si="33"/>
        <v>0.69367216404642085</v>
      </c>
      <c r="AQ42" s="7">
        <f t="shared" si="34"/>
        <v>0</v>
      </c>
      <c r="AR42" s="24"/>
      <c r="AS42">
        <f t="shared" si="35"/>
        <v>1992</v>
      </c>
      <c r="AT42" s="1" t="b">
        <f t="shared" si="36"/>
        <v>1</v>
      </c>
      <c r="AU42" s="1" t="b">
        <f t="shared" si="37"/>
        <v>1</v>
      </c>
      <c r="AX42" s="1" t="b">
        <f t="shared" si="8"/>
        <v>1</v>
      </c>
      <c r="AZ42" s="1" t="b">
        <f t="shared" si="38"/>
        <v>1</v>
      </c>
      <c r="BA42" s="1" t="b">
        <f t="shared" si="39"/>
        <v>1</v>
      </c>
      <c r="BC42">
        <f t="shared" si="40"/>
        <v>1992</v>
      </c>
      <c r="BD42" s="2">
        <f t="shared" si="9"/>
        <v>22490.81977184987</v>
      </c>
      <c r="BE42" s="2">
        <f t="shared" si="9"/>
        <v>33736.229657774806</v>
      </c>
      <c r="BF42" s="2"/>
      <c r="BG42" s="2"/>
      <c r="BH42" s="2">
        <f t="shared" si="10"/>
        <v>22490.81977184987</v>
      </c>
      <c r="BI42" s="2"/>
      <c r="BJ42" s="2">
        <f t="shared" si="11"/>
        <v>33736.229657774806</v>
      </c>
      <c r="BK42" s="2">
        <f t="shared" si="41"/>
        <v>112454.09885924935</v>
      </c>
      <c r="BL42" s="2">
        <f t="shared" si="42"/>
        <v>0</v>
      </c>
      <c r="BM42" s="2"/>
    </row>
    <row r="43" spans="1:65" x14ac:dyDescent="0.2">
      <c r="A43">
        <f t="shared" si="6"/>
        <v>1993</v>
      </c>
      <c r="B43" s="2">
        <f t="shared" si="12"/>
        <v>24715.161847285821</v>
      </c>
      <c r="C43" s="2">
        <f t="shared" si="13"/>
        <v>38624.609335186375</v>
      </c>
      <c r="D43" s="2"/>
      <c r="E43" s="2"/>
      <c r="F43" s="2">
        <f t="shared" si="14"/>
        <v>29349.17035307777</v>
      </c>
      <c r="G43" s="2"/>
      <c r="H43" s="2">
        <f t="shared" si="15"/>
        <v>37001.896688647408</v>
      </c>
      <c r="I43" s="2">
        <f t="shared" si="43"/>
        <v>129690.83822419737</v>
      </c>
      <c r="J43" s="2">
        <f t="shared" si="16"/>
        <v>13064.529633148035</v>
      </c>
      <c r="K43" s="6">
        <f t="shared" si="17"/>
        <v>0.11202043339088151</v>
      </c>
      <c r="L43" s="7">
        <f t="shared" si="18"/>
        <v>1.1120204333908814</v>
      </c>
      <c r="N43">
        <f t="shared" si="19"/>
        <v>1993</v>
      </c>
      <c r="O43" s="2">
        <f t="shared" si="20"/>
        <v>4297.376023754</v>
      </c>
      <c r="P43" s="2"/>
      <c r="Q43" s="2"/>
      <c r="R43">
        <f t="shared" si="21"/>
        <v>1993</v>
      </c>
      <c r="S43" s="2">
        <f t="shared" si="22"/>
        <v>23640.817841347322</v>
      </c>
      <c r="T43" s="2">
        <f t="shared" si="22"/>
        <v>37550.265329247872</v>
      </c>
      <c r="U43" s="2"/>
      <c r="V43" s="2"/>
      <c r="W43" s="2">
        <f t="shared" si="7"/>
        <v>28274.826347139271</v>
      </c>
      <c r="X43" s="2"/>
      <c r="Y43" s="2">
        <f t="shared" si="23"/>
        <v>35927.552682708905</v>
      </c>
      <c r="Z43" s="2">
        <f t="shared" si="24"/>
        <v>125393.46220044336</v>
      </c>
      <c r="AA43" s="2">
        <f t="shared" si="25"/>
        <v>12939.36334119401</v>
      </c>
      <c r="AB43" s="6">
        <f t="shared" si="26"/>
        <v>0.11506351011170587</v>
      </c>
      <c r="AC43" s="7">
        <f t="shared" si="27"/>
        <v>1.1150635101117059</v>
      </c>
      <c r="AD43" s="2">
        <f t="shared" si="28"/>
        <v>0</v>
      </c>
      <c r="AE43" s="2"/>
      <c r="AG43">
        <f t="shared" si="29"/>
        <v>1993</v>
      </c>
      <c r="AH43" s="6">
        <f t="shared" si="5"/>
        <v>0.18853309755142666</v>
      </c>
      <c r="AI43" s="6">
        <f t="shared" si="5"/>
        <v>0.2994595146373995</v>
      </c>
      <c r="AJ43" s="7"/>
      <c r="AK43" s="7"/>
      <c r="AL43" s="6">
        <f t="shared" si="30"/>
        <v>0.22548884009551892</v>
      </c>
      <c r="AM43" s="7"/>
      <c r="AN43" s="6">
        <f t="shared" si="31"/>
        <v>0.28651854771565494</v>
      </c>
      <c r="AO43" s="6">
        <f t="shared" si="32"/>
        <v>1</v>
      </c>
      <c r="AP43" s="7">
        <f t="shared" si="33"/>
        <v>0.71348145228434512</v>
      </c>
      <c r="AQ43" s="7">
        <f t="shared" si="34"/>
        <v>0</v>
      </c>
      <c r="AR43" s="24"/>
      <c r="AS43">
        <f t="shared" si="35"/>
        <v>1993</v>
      </c>
      <c r="AT43" s="1" t="b">
        <f t="shared" si="36"/>
        <v>1</v>
      </c>
      <c r="AU43" s="1" t="b">
        <f t="shared" si="37"/>
        <v>1</v>
      </c>
      <c r="AX43" s="1" t="b">
        <f t="shared" si="8"/>
        <v>1</v>
      </c>
      <c r="AZ43" s="1" t="b">
        <f t="shared" si="38"/>
        <v>1</v>
      </c>
      <c r="BA43" s="1" t="b">
        <f t="shared" si="39"/>
        <v>1</v>
      </c>
      <c r="BC43">
        <f t="shared" si="40"/>
        <v>1993</v>
      </c>
      <c r="BD43" s="2">
        <f t="shared" si="9"/>
        <v>25078.692440088675</v>
      </c>
      <c r="BE43" s="2">
        <f t="shared" si="9"/>
        <v>37618.03866013301</v>
      </c>
      <c r="BF43" s="2"/>
      <c r="BG43" s="2"/>
      <c r="BH43" s="2">
        <f t="shared" si="10"/>
        <v>25078.692440088675</v>
      </c>
      <c r="BI43" s="2"/>
      <c r="BJ43" s="2">
        <f t="shared" si="11"/>
        <v>37618.03866013301</v>
      </c>
      <c r="BK43" s="2">
        <f t="shared" si="41"/>
        <v>125393.46220044336</v>
      </c>
      <c r="BL43" s="2">
        <f t="shared" si="42"/>
        <v>0</v>
      </c>
      <c r="BM43" s="2"/>
    </row>
    <row r="44" spans="1:65" x14ac:dyDescent="0.2">
      <c r="A44">
        <f t="shared" si="6"/>
        <v>1994</v>
      </c>
      <c r="B44" s="2">
        <f t="shared" si="12"/>
        <v>25374.621010881721</v>
      </c>
      <c r="C44" s="2">
        <f t="shared" si="13"/>
        <v>36954.456458168264</v>
      </c>
      <c r="D44" s="2"/>
      <c r="E44" s="2"/>
      <c r="F44" s="2">
        <f t="shared" si="14"/>
        <v>26396.577727815336</v>
      </c>
      <c r="G44" s="2"/>
      <c r="H44" s="2">
        <f t="shared" si="15"/>
        <v>36617.398831773477</v>
      </c>
      <c r="I44" s="2">
        <f t="shared" si="43"/>
        <v>125343.0540286388</v>
      </c>
      <c r="J44" s="2">
        <f t="shared" si="16"/>
        <v>-4347.7841955585754</v>
      </c>
      <c r="K44" s="6">
        <f t="shared" si="17"/>
        <v>-3.3524220022716898E-2</v>
      </c>
      <c r="L44" s="7">
        <f t="shared" si="18"/>
        <v>0.96647577997728307</v>
      </c>
      <c r="N44">
        <f t="shared" si="19"/>
        <v>1994</v>
      </c>
      <c r="O44" s="2">
        <f t="shared" si="20"/>
        <v>4417.7025524191122</v>
      </c>
      <c r="P44" s="2"/>
      <c r="Q44" s="2"/>
      <c r="R44">
        <f t="shared" si="21"/>
        <v>1994</v>
      </c>
      <c r="S44" s="2">
        <f t="shared" si="22"/>
        <v>24270.195372776943</v>
      </c>
      <c r="T44" s="2">
        <f t="shared" si="22"/>
        <v>35850.03082006349</v>
      </c>
      <c r="U44" s="2"/>
      <c r="V44" s="2"/>
      <c r="W44" s="2">
        <f t="shared" si="7"/>
        <v>25292.152089710558</v>
      </c>
      <c r="X44" s="2"/>
      <c r="Y44" s="2">
        <f t="shared" si="23"/>
        <v>35512.973193668702</v>
      </c>
      <c r="Z44" s="2">
        <f t="shared" si="24"/>
        <v>120925.35147621969</v>
      </c>
      <c r="AA44" s="2">
        <f t="shared" si="25"/>
        <v>-4468.1107242236758</v>
      </c>
      <c r="AB44" s="6">
        <f t="shared" si="26"/>
        <v>-3.5632724751481319E-2</v>
      </c>
      <c r="AC44" s="7">
        <f t="shared" si="27"/>
        <v>0.96436727524851873</v>
      </c>
      <c r="AD44" s="2">
        <f t="shared" si="28"/>
        <v>0</v>
      </c>
      <c r="AE44" s="2"/>
      <c r="AG44">
        <f t="shared" si="29"/>
        <v>1994</v>
      </c>
      <c r="AH44" s="6">
        <f t="shared" si="5"/>
        <v>0.20070394732364905</v>
      </c>
      <c r="AI44" s="38">
        <f t="shared" si="5"/>
        <v>0.29646414405595917</v>
      </c>
      <c r="AJ44" s="7"/>
      <c r="AK44" s="7"/>
      <c r="AL44" s="38">
        <f t="shared" si="30"/>
        <v>0.20915508436363181</v>
      </c>
      <c r="AM44" s="7"/>
      <c r="AN44" s="6">
        <f t="shared" si="31"/>
        <v>0.29367682425676001</v>
      </c>
      <c r="AO44" s="6">
        <f t="shared" si="32"/>
        <v>1</v>
      </c>
      <c r="AP44" s="7">
        <f t="shared" si="33"/>
        <v>0.70632317574323999</v>
      </c>
      <c r="AQ44" s="7">
        <f t="shared" si="34"/>
        <v>0</v>
      </c>
      <c r="AR44" s="24"/>
      <c r="AS44">
        <f t="shared" si="35"/>
        <v>1994</v>
      </c>
      <c r="AT44" s="1" t="b">
        <f t="shared" si="36"/>
        <v>1</v>
      </c>
      <c r="AU44" s="1" t="b">
        <f t="shared" si="37"/>
        <v>1</v>
      </c>
      <c r="AV44" s="1"/>
      <c r="AW44" s="1"/>
      <c r="AX44" s="1" t="b">
        <f t="shared" si="8"/>
        <v>1</v>
      </c>
      <c r="AY44" s="1"/>
      <c r="AZ44" s="1" t="b">
        <f t="shared" si="38"/>
        <v>1</v>
      </c>
      <c r="BA44" s="1" t="b">
        <f t="shared" si="39"/>
        <v>1</v>
      </c>
      <c r="BC44">
        <f t="shared" si="40"/>
        <v>1994</v>
      </c>
      <c r="BD44" s="2">
        <f t="shared" si="9"/>
        <v>24185.070295243939</v>
      </c>
      <c r="BE44" s="2">
        <f t="shared" si="9"/>
        <v>36277.605442865904</v>
      </c>
      <c r="BF44" s="2"/>
      <c r="BG44" s="2"/>
      <c r="BH44" s="2">
        <f t="shared" si="10"/>
        <v>24185.070295243939</v>
      </c>
      <c r="BI44" s="2"/>
      <c r="BJ44" s="2">
        <f t="shared" si="11"/>
        <v>36277.605442865904</v>
      </c>
      <c r="BK44" s="2">
        <f t="shared" si="41"/>
        <v>120925.35147621969</v>
      </c>
      <c r="BL44" s="2">
        <f t="shared" si="42"/>
        <v>0</v>
      </c>
      <c r="BM44" s="2"/>
    </row>
    <row r="45" spans="1:65" x14ac:dyDescent="0.2">
      <c r="A45">
        <f t="shared" si="6"/>
        <v>1995</v>
      </c>
      <c r="B45" s="2">
        <f t="shared" si="12"/>
        <v>33242.379120812795</v>
      </c>
      <c r="C45" s="2">
        <f t="shared" si="13"/>
        <v>48538.347754391289</v>
      </c>
      <c r="D45" s="2"/>
      <c r="E45" s="2"/>
      <c r="F45" s="2">
        <f t="shared" si="14"/>
        <v>26517.96217592317</v>
      </c>
      <c r="G45" s="2"/>
      <c r="H45" s="2">
        <f t="shared" si="15"/>
        <v>42872.874112378922</v>
      </c>
      <c r="I45" s="2">
        <f t="shared" si="43"/>
        <v>151171.56316350616</v>
      </c>
      <c r="J45" s="2">
        <f t="shared" si="16"/>
        <v>25828.50913486736</v>
      </c>
      <c r="K45" s="6">
        <f t="shared" si="17"/>
        <v>0.2060625483799523</v>
      </c>
      <c r="L45" s="7">
        <f t="shared" si="18"/>
        <v>1.2060625483799523</v>
      </c>
      <c r="N45">
        <f t="shared" si="19"/>
        <v>1995</v>
      </c>
      <c r="O45" s="2">
        <f t="shared" si="20"/>
        <v>4532.5628187820093</v>
      </c>
      <c r="P45" s="2"/>
      <c r="Q45" s="2"/>
      <c r="R45">
        <f t="shared" si="21"/>
        <v>1995</v>
      </c>
      <c r="S45" s="2">
        <f t="shared" si="22"/>
        <v>32109.238416117292</v>
      </c>
      <c r="T45" s="2">
        <f t="shared" si="22"/>
        <v>47405.207049695789</v>
      </c>
      <c r="U45" s="2"/>
      <c r="V45" s="2"/>
      <c r="W45" s="2">
        <f t="shared" si="7"/>
        <v>25384.821471227668</v>
      </c>
      <c r="X45" s="2"/>
      <c r="Y45" s="2">
        <f t="shared" si="23"/>
        <v>41739.733407683423</v>
      </c>
      <c r="Z45" s="2">
        <f t="shared" si="24"/>
        <v>146639.00034472416</v>
      </c>
      <c r="AA45" s="2">
        <f t="shared" si="25"/>
        <v>25713.648868504475</v>
      </c>
      <c r="AB45" s="6">
        <f t="shared" si="26"/>
        <v>0.21264067918430765</v>
      </c>
      <c r="AC45" s="7">
        <f t="shared" si="27"/>
        <v>1.2126406791843076</v>
      </c>
      <c r="AD45" s="2">
        <f t="shared" si="28"/>
        <v>0</v>
      </c>
      <c r="AE45" s="2"/>
      <c r="AG45">
        <f t="shared" si="29"/>
        <v>1995</v>
      </c>
      <c r="AH45" s="6">
        <f t="shared" si="5"/>
        <v>0.21896793036391243</v>
      </c>
      <c r="AI45" s="6">
        <f t="shared" si="5"/>
        <v>0.32327830207689595</v>
      </c>
      <c r="AJ45" s="7"/>
      <c r="AK45" s="7"/>
      <c r="AL45" s="6">
        <f t="shared" si="30"/>
        <v>0.17311098283234425</v>
      </c>
      <c r="AM45" s="7"/>
      <c r="AN45" s="6">
        <f t="shared" si="31"/>
        <v>0.2846427847268474</v>
      </c>
      <c r="AO45" s="6">
        <f t="shared" si="32"/>
        <v>1</v>
      </c>
      <c r="AP45" s="7">
        <f t="shared" si="33"/>
        <v>0.71535721527315266</v>
      </c>
      <c r="AQ45" s="7">
        <f t="shared" si="34"/>
        <v>0</v>
      </c>
      <c r="AR45" s="24"/>
      <c r="AS45">
        <f t="shared" si="35"/>
        <v>1995</v>
      </c>
      <c r="AT45" s="1" t="b">
        <f t="shared" si="36"/>
        <v>1</v>
      </c>
      <c r="AU45" s="1" t="b">
        <f t="shared" si="37"/>
        <v>1</v>
      </c>
      <c r="AV45" s="1"/>
      <c r="AW45" s="1"/>
      <c r="AX45" s="1" t="b">
        <f t="shared" si="8"/>
        <v>1</v>
      </c>
      <c r="AY45" s="1"/>
      <c r="AZ45" s="1" t="b">
        <f t="shared" si="38"/>
        <v>1</v>
      </c>
      <c r="BA45" s="1" t="b">
        <f t="shared" si="39"/>
        <v>1</v>
      </c>
      <c r="BC45">
        <f t="shared" si="40"/>
        <v>1995</v>
      </c>
      <c r="BD45" s="2">
        <f t="shared" si="9"/>
        <v>29327.800068944834</v>
      </c>
      <c r="BE45" s="2">
        <f t="shared" si="9"/>
        <v>43991.70010341725</v>
      </c>
      <c r="BF45" s="2"/>
      <c r="BG45" s="2"/>
      <c r="BH45" s="2">
        <f t="shared" si="10"/>
        <v>29327.800068944834</v>
      </c>
      <c r="BI45" s="2"/>
      <c r="BJ45" s="2">
        <f t="shared" si="11"/>
        <v>43991.70010341725</v>
      </c>
      <c r="BK45" s="2">
        <f t="shared" si="41"/>
        <v>146639.00034472416</v>
      </c>
      <c r="BL45" s="2">
        <f t="shared" si="42"/>
        <v>0</v>
      </c>
      <c r="BM45" s="2"/>
    </row>
    <row r="46" spans="1:65" x14ac:dyDescent="0.2">
      <c r="A46">
        <f t="shared" si="6"/>
        <v>1996</v>
      </c>
      <c r="B46" s="2">
        <f t="shared" si="12"/>
        <v>36038.000724719415</v>
      </c>
      <c r="C46" s="2">
        <f t="shared" si="13"/>
        <v>51754.91542066729</v>
      </c>
      <c r="D46" s="2"/>
      <c r="E46" s="2"/>
      <c r="F46" s="2">
        <f t="shared" si="14"/>
        <v>32324.807957990306</v>
      </c>
      <c r="G46" s="2"/>
      <c r="H46" s="2">
        <f t="shared" si="15"/>
        <v>45566.602967119587</v>
      </c>
      <c r="I46" s="2">
        <f t="shared" si="43"/>
        <v>165684.32707049657</v>
      </c>
      <c r="J46" s="2">
        <f t="shared" si="16"/>
        <v>14512.763906990411</v>
      </c>
      <c r="K46" s="6">
        <f t="shared" si="17"/>
        <v>9.60019437736018E-2</v>
      </c>
      <c r="L46" s="7">
        <f t="shared" si="18"/>
        <v>1.0960019437736017</v>
      </c>
      <c r="N46">
        <f t="shared" si="19"/>
        <v>1996</v>
      </c>
      <c r="O46" s="2">
        <f t="shared" si="20"/>
        <v>4645.8768892515591</v>
      </c>
      <c r="P46" s="2"/>
      <c r="Q46" s="2"/>
      <c r="R46">
        <f t="shared" si="21"/>
        <v>1996</v>
      </c>
      <c r="S46" s="2">
        <f t="shared" si="22"/>
        <v>34876.531502406528</v>
      </c>
      <c r="T46" s="2">
        <f t="shared" si="22"/>
        <v>50593.446198354402</v>
      </c>
      <c r="U46" s="2"/>
      <c r="V46" s="2"/>
      <c r="W46" s="2">
        <f t="shared" si="7"/>
        <v>31163.338735677415</v>
      </c>
      <c r="X46" s="2"/>
      <c r="Y46" s="2">
        <f t="shared" si="23"/>
        <v>44405.133744806699</v>
      </c>
      <c r="Z46" s="2">
        <f t="shared" si="24"/>
        <v>161038.45018124505</v>
      </c>
      <c r="AA46" s="2">
        <f t="shared" si="25"/>
        <v>14399.449836520886</v>
      </c>
      <c r="AB46" s="6">
        <f t="shared" si="26"/>
        <v>9.8196590284100063E-2</v>
      </c>
      <c r="AC46" s="7">
        <f t="shared" si="27"/>
        <v>1.0981965902841</v>
      </c>
      <c r="AD46" s="2">
        <f t="shared" si="28"/>
        <v>0</v>
      </c>
      <c r="AE46" s="2"/>
      <c r="AG46">
        <f t="shared" si="29"/>
        <v>1996</v>
      </c>
      <c r="AH46" s="6">
        <f t="shared" si="5"/>
        <v>0.21657269716116739</v>
      </c>
      <c r="AI46" s="6">
        <f t="shared" si="5"/>
        <v>0.31416997705462668</v>
      </c>
      <c r="AJ46" s="7"/>
      <c r="AK46" s="7"/>
      <c r="AL46" s="6">
        <f t="shared" si="30"/>
        <v>0.19351489473851616</v>
      </c>
      <c r="AM46" s="7"/>
      <c r="AN46" s="6">
        <f t="shared" si="31"/>
        <v>0.27574243104568968</v>
      </c>
      <c r="AO46" s="6">
        <f t="shared" si="32"/>
        <v>1</v>
      </c>
      <c r="AP46" s="7">
        <f t="shared" si="33"/>
        <v>0.72425756895431026</v>
      </c>
      <c r="AQ46" s="7">
        <f t="shared" si="34"/>
        <v>0</v>
      </c>
      <c r="AR46" s="24"/>
      <c r="AS46">
        <f t="shared" si="35"/>
        <v>1996</v>
      </c>
      <c r="AT46" s="1" t="b">
        <f t="shared" si="36"/>
        <v>1</v>
      </c>
      <c r="AU46" s="1" t="b">
        <f t="shared" si="37"/>
        <v>1</v>
      </c>
      <c r="AV46" s="1"/>
      <c r="AW46" s="1"/>
      <c r="AX46" s="1" t="b">
        <f t="shared" si="8"/>
        <v>1</v>
      </c>
      <c r="AY46" s="1"/>
      <c r="AZ46" s="1" t="b">
        <f t="shared" si="38"/>
        <v>1</v>
      </c>
      <c r="BA46" s="1" t="b">
        <f t="shared" si="39"/>
        <v>1</v>
      </c>
      <c r="BC46">
        <f t="shared" si="40"/>
        <v>1996</v>
      </c>
      <c r="BD46" s="2">
        <f t="shared" si="9"/>
        <v>32207.690036249012</v>
      </c>
      <c r="BE46" s="2">
        <f t="shared" si="9"/>
        <v>48311.535054373511</v>
      </c>
      <c r="BF46" s="2"/>
      <c r="BG46" s="2"/>
      <c r="BH46" s="2">
        <f t="shared" si="10"/>
        <v>32207.690036249012</v>
      </c>
      <c r="BI46" s="2"/>
      <c r="BJ46" s="2">
        <f t="shared" si="11"/>
        <v>48311.535054373511</v>
      </c>
      <c r="BK46" s="2">
        <f t="shared" si="41"/>
        <v>161038.45018124505</v>
      </c>
      <c r="BL46" s="2">
        <f t="shared" si="42"/>
        <v>0</v>
      </c>
      <c r="BM46" s="2"/>
    </row>
    <row r="47" spans="1:65" x14ac:dyDescent="0.2">
      <c r="A47">
        <f t="shared" si="6"/>
        <v>1997</v>
      </c>
      <c r="B47" s="2">
        <f t="shared" si="12"/>
        <v>42897.422359280063</v>
      </c>
      <c r="C47" s="2">
        <f t="shared" si="13"/>
        <v>61204.434414334166</v>
      </c>
      <c r="D47" s="2"/>
      <c r="E47" s="2"/>
      <c r="F47" s="2"/>
      <c r="G47" s="2">
        <f>BH46*(1+(G11/100))</f>
        <v>32207.690036249012</v>
      </c>
      <c r="H47" s="2">
        <f t="shared" si="15"/>
        <v>52872.143963506373</v>
      </c>
      <c r="I47" s="2">
        <f t="shared" si="43"/>
        <v>189181.69077336963</v>
      </c>
      <c r="J47" s="2">
        <f t="shared" si="16"/>
        <v>23497.363702873059</v>
      </c>
      <c r="K47" s="6">
        <f t="shared" si="17"/>
        <v>0.14182007506887015</v>
      </c>
      <c r="L47" s="7">
        <f t="shared" si="18"/>
        <v>1.1418200750688701</v>
      </c>
      <c r="N47">
        <f t="shared" si="19"/>
        <v>1997</v>
      </c>
      <c r="O47" s="2">
        <f t="shared" si="20"/>
        <v>4803.8367034861121</v>
      </c>
      <c r="P47" s="2"/>
      <c r="Q47" s="2"/>
      <c r="R47">
        <f t="shared" si="21"/>
        <v>1997</v>
      </c>
      <c r="S47" s="2">
        <f t="shared" si="22"/>
        <v>41696.463183408538</v>
      </c>
      <c r="T47" s="2">
        <f t="shared" si="22"/>
        <v>60003.475238462641</v>
      </c>
      <c r="U47" s="2"/>
      <c r="V47" s="2"/>
      <c r="W47" s="2"/>
      <c r="X47" s="2">
        <f>G47-($O47/4)</f>
        <v>31006.730860377484</v>
      </c>
      <c r="Y47" s="2">
        <f t="shared" si="23"/>
        <v>51671.184787634847</v>
      </c>
      <c r="Z47" s="2">
        <f t="shared" si="24"/>
        <v>184377.8540698835</v>
      </c>
      <c r="AA47" s="2">
        <f t="shared" si="25"/>
        <v>23339.403888638451</v>
      </c>
      <c r="AB47" s="6">
        <f t="shared" si="26"/>
        <v>0.14493062906635337</v>
      </c>
      <c r="AC47" s="7">
        <f t="shared" si="27"/>
        <v>1.1449306290663535</v>
      </c>
      <c r="AD47" s="2">
        <f t="shared" si="28"/>
        <v>0</v>
      </c>
      <c r="AE47" s="2"/>
      <c r="AG47">
        <f t="shared" si="29"/>
        <v>1997</v>
      </c>
      <c r="AH47" s="6">
        <f t="shared" si="5"/>
        <v>0.22614680810638249</v>
      </c>
      <c r="AI47" s="6">
        <f t="shared" si="5"/>
        <v>0.32543753988871099</v>
      </c>
      <c r="AJ47" s="7"/>
      <c r="AK47" s="7"/>
      <c r="AL47" s="6">
        <f t="shared" si="30"/>
        <v>0</v>
      </c>
      <c r="AM47" s="7"/>
      <c r="AN47" s="6">
        <f t="shared" si="31"/>
        <v>0.28024615563672994</v>
      </c>
      <c r="AO47" s="6">
        <f t="shared" si="32"/>
        <v>0.83183050363182343</v>
      </c>
      <c r="AP47" s="7">
        <f t="shared" si="33"/>
        <v>0.55158434799509348</v>
      </c>
      <c r="AQ47" s="7">
        <f t="shared" si="34"/>
        <v>0</v>
      </c>
      <c r="AR47" s="24"/>
      <c r="AS47">
        <f t="shared" si="35"/>
        <v>1997</v>
      </c>
      <c r="AT47" s="1" t="b">
        <f t="shared" si="36"/>
        <v>1</v>
      </c>
      <c r="AU47" s="1" t="b">
        <f t="shared" si="37"/>
        <v>1</v>
      </c>
      <c r="AV47" s="1"/>
      <c r="AW47" s="1"/>
      <c r="AX47" s="1" t="b">
        <f t="shared" si="8"/>
        <v>0</v>
      </c>
      <c r="AY47" s="1"/>
      <c r="AZ47" s="1" t="b">
        <f t="shared" si="38"/>
        <v>1</v>
      </c>
      <c r="BA47" s="1" t="b">
        <f t="shared" si="39"/>
        <v>1</v>
      </c>
      <c r="BC47">
        <f t="shared" si="40"/>
        <v>1997</v>
      </c>
      <c r="BD47" s="2">
        <f t="shared" si="9"/>
        <v>36875.570813976701</v>
      </c>
      <c r="BE47" s="2">
        <f t="shared" si="9"/>
        <v>55313.356220965048</v>
      </c>
      <c r="BF47" s="2"/>
      <c r="BG47" s="2"/>
      <c r="BH47" s="2"/>
      <c r="BI47" s="2">
        <f t="shared" ref="BI47:BI52" si="44">$BK47*BI$39</f>
        <v>36875.570813976701</v>
      </c>
      <c r="BJ47" s="2">
        <f t="shared" si="11"/>
        <v>55313.356220965048</v>
      </c>
      <c r="BK47" s="2">
        <f t="shared" si="41"/>
        <v>184377.8540698835</v>
      </c>
      <c r="BL47" s="2">
        <f t="shared" si="42"/>
        <v>0</v>
      </c>
      <c r="BM47" s="2"/>
    </row>
    <row r="48" spans="1:65" x14ac:dyDescent="0.2">
      <c r="A48">
        <f t="shared" si="6"/>
        <v>1998</v>
      </c>
      <c r="B48" s="2">
        <f t="shared" si="12"/>
        <v>47444.109409262419</v>
      </c>
      <c r="C48" s="2">
        <f t="shared" si="13"/>
        <v>59933.680866102266</v>
      </c>
      <c r="D48" s="2"/>
      <c r="E48" s="2"/>
      <c r="F48" s="2"/>
      <c r="G48" s="2">
        <f t="shared" ref="G48:G64" si="45">BI47*(1+(G12/100))</f>
        <v>42629.266128081479</v>
      </c>
      <c r="H48" s="2">
        <f t="shared" si="15"/>
        <v>60059.242184723851</v>
      </c>
      <c r="I48" s="2">
        <f t="shared" si="43"/>
        <v>210066.29858817</v>
      </c>
      <c r="J48" s="2">
        <f t="shared" si="16"/>
        <v>20884.607814800373</v>
      </c>
      <c r="K48" s="6">
        <f t="shared" si="17"/>
        <v>0.11039444530506447</v>
      </c>
      <c r="L48" s="7">
        <f t="shared" si="18"/>
        <v>1.1103944453050645</v>
      </c>
      <c r="N48">
        <f t="shared" si="19"/>
        <v>1998</v>
      </c>
      <c r="O48" s="2">
        <f t="shared" si="20"/>
        <v>4885.5019274453753</v>
      </c>
      <c r="P48" s="2"/>
      <c r="Q48" s="2"/>
      <c r="R48">
        <f t="shared" si="21"/>
        <v>1998</v>
      </c>
      <c r="S48" s="2">
        <f t="shared" si="22"/>
        <v>46222.733927401074</v>
      </c>
      <c r="T48" s="2">
        <f t="shared" si="22"/>
        <v>58712.305384240921</v>
      </c>
      <c r="U48" s="2"/>
      <c r="V48" s="2"/>
      <c r="W48" s="2"/>
      <c r="X48" s="2">
        <f>G48-($O48/4)</f>
        <v>41407.890646220134</v>
      </c>
      <c r="Y48" s="2">
        <f t="shared" si="23"/>
        <v>58837.866702862506</v>
      </c>
      <c r="Z48" s="2">
        <f t="shared" si="24"/>
        <v>205180.79666072462</v>
      </c>
      <c r="AA48" s="2">
        <f t="shared" si="25"/>
        <v>20802.942590841121</v>
      </c>
      <c r="AB48" s="6">
        <f t="shared" si="26"/>
        <v>0.11282777259657401</v>
      </c>
      <c r="AC48" s="7">
        <f t="shared" si="27"/>
        <v>1.1128277725965741</v>
      </c>
      <c r="AD48" s="2">
        <f t="shared" si="28"/>
        <v>0</v>
      </c>
      <c r="AE48" s="2"/>
      <c r="AG48">
        <f t="shared" si="29"/>
        <v>1998</v>
      </c>
      <c r="AH48" s="6">
        <f t="shared" si="5"/>
        <v>0.22527807026615837</v>
      </c>
      <c r="AI48" s="6">
        <f t="shared" si="5"/>
        <v>0.28614912477079557</v>
      </c>
      <c r="AJ48" s="7"/>
      <c r="AK48" s="7"/>
      <c r="AL48" s="6">
        <f t="shared" si="30"/>
        <v>0</v>
      </c>
      <c r="AM48" s="6"/>
      <c r="AN48" s="38">
        <f t="shared" si="31"/>
        <v>0.28676107930389549</v>
      </c>
      <c r="AO48" s="6">
        <f t="shared" si="32"/>
        <v>0.79818827434084949</v>
      </c>
      <c r="AP48" s="7">
        <f t="shared" si="33"/>
        <v>0.511427195036954</v>
      </c>
      <c r="AQ48" s="7">
        <f t="shared" si="34"/>
        <v>0</v>
      </c>
      <c r="AR48" s="24"/>
      <c r="AS48">
        <f t="shared" si="35"/>
        <v>1998</v>
      </c>
      <c r="AT48" s="1" t="b">
        <f t="shared" si="36"/>
        <v>1</v>
      </c>
      <c r="AU48" s="1" t="b">
        <f t="shared" si="37"/>
        <v>1</v>
      </c>
      <c r="AV48" s="1"/>
      <c r="AW48" s="1"/>
      <c r="AX48" s="1" t="b">
        <f t="shared" si="8"/>
        <v>0</v>
      </c>
      <c r="AY48" s="1"/>
      <c r="AZ48" s="1" t="b">
        <f t="shared" si="38"/>
        <v>1</v>
      </c>
      <c r="BA48" s="1" t="b">
        <f t="shared" si="39"/>
        <v>1</v>
      </c>
      <c r="BC48">
        <f t="shared" si="40"/>
        <v>1998</v>
      </c>
      <c r="BD48" s="2">
        <f t="shared" si="9"/>
        <v>41036.159332144925</v>
      </c>
      <c r="BE48" s="2">
        <f t="shared" si="9"/>
        <v>61554.238998217385</v>
      </c>
      <c r="BF48" s="2"/>
      <c r="BG48" s="2"/>
      <c r="BH48" s="2"/>
      <c r="BI48" s="2">
        <f t="shared" si="44"/>
        <v>41036.159332144925</v>
      </c>
      <c r="BJ48" s="2">
        <f t="shared" si="11"/>
        <v>61554.238998217385</v>
      </c>
      <c r="BK48" s="2">
        <f t="shared" si="41"/>
        <v>205180.79666072462</v>
      </c>
      <c r="BL48" s="2">
        <f t="shared" si="42"/>
        <v>0</v>
      </c>
      <c r="BM48" s="2"/>
    </row>
    <row r="49" spans="1:65" x14ac:dyDescent="0.2">
      <c r="A49">
        <f t="shared" si="6"/>
        <v>1999</v>
      </c>
      <c r="B49" s="2">
        <f t="shared" si="12"/>
        <v>49682.478103427864</v>
      </c>
      <c r="C49" s="2"/>
      <c r="D49" s="2">
        <f>($BE48*0.67)*(1+(D13/100))</f>
        <v>41241.340128805648</v>
      </c>
      <c r="E49" s="2">
        <f>($BE48*0.33)*(1+(E13/100))</f>
        <v>20312.898869411736</v>
      </c>
      <c r="F49" s="2"/>
      <c r="G49" s="2">
        <f t="shared" si="45"/>
        <v>53313.767842729365</v>
      </c>
      <c r="H49" s="2">
        <f t="shared" si="15"/>
        <v>61086.426781830931</v>
      </c>
      <c r="I49" s="2">
        <f t="shared" si="43"/>
        <v>225636.91172620555</v>
      </c>
      <c r="J49" s="2">
        <f t="shared" si="16"/>
        <v>15570.613138035551</v>
      </c>
      <c r="K49" s="6">
        <f t="shared" si="17"/>
        <v>7.412237585316514E-2</v>
      </c>
      <c r="L49" s="7">
        <f t="shared" si="18"/>
        <v>1.0741223758531651</v>
      </c>
      <c r="N49">
        <f t="shared" si="19"/>
        <v>1999</v>
      </c>
      <c r="O49" s="2">
        <f t="shared" si="20"/>
        <v>4963.6699582845013</v>
      </c>
      <c r="P49" s="2"/>
      <c r="Q49" s="2"/>
      <c r="R49">
        <f t="shared" si="21"/>
        <v>1999</v>
      </c>
      <c r="S49" s="2">
        <f t="shared" ref="S49:S50" si="46">B49-($O49/5)</f>
        <v>48689.74411177096</v>
      </c>
      <c r="T49" s="2"/>
      <c r="U49" s="2">
        <f>D49-($O49/5)</f>
        <v>40248.606137148745</v>
      </c>
      <c r="V49" s="2">
        <f>E49-($O49/5)</f>
        <v>19320.164877754836</v>
      </c>
      <c r="W49" s="2"/>
      <c r="X49" s="2">
        <f t="shared" ref="X49:X50" si="47">G49-($O49/5)</f>
        <v>52321.033851072461</v>
      </c>
      <c r="Y49" s="2">
        <f t="shared" ref="Y49:Y50" si="48">H49-($O49/5)</f>
        <v>60093.692790174027</v>
      </c>
      <c r="Z49" s="2">
        <f t="shared" si="24"/>
        <v>220673.24176792102</v>
      </c>
      <c r="AA49" s="2">
        <f t="shared" si="25"/>
        <v>15492.445107196399</v>
      </c>
      <c r="AB49" s="6">
        <f t="shared" si="26"/>
        <v>7.5506311308527724E-2</v>
      </c>
      <c r="AC49" s="7">
        <f t="shared" si="27"/>
        <v>1.0755063113085277</v>
      </c>
      <c r="AD49" s="2">
        <f t="shared" si="28"/>
        <v>0</v>
      </c>
      <c r="AE49" s="2"/>
      <c r="AG49">
        <f t="shared" si="29"/>
        <v>1999</v>
      </c>
      <c r="AH49" s="6">
        <f t="shared" si="5"/>
        <v>0.22064181285276666</v>
      </c>
      <c r="AI49" s="6">
        <f t="shared" si="5"/>
        <v>0</v>
      </c>
      <c r="AJ49" s="7"/>
      <c r="AK49" s="7"/>
      <c r="AL49" s="6"/>
      <c r="AM49" s="6">
        <f t="shared" si="30"/>
        <v>0.23709731833322031</v>
      </c>
      <c r="AN49" s="6">
        <f t="shared" si="31"/>
        <v>0.27231979876098311</v>
      </c>
      <c r="AO49" s="6">
        <f t="shared" si="32"/>
        <v>0.73005892994697008</v>
      </c>
      <c r="AP49" s="7">
        <f t="shared" si="33"/>
        <v>0.45773913118598697</v>
      </c>
      <c r="AQ49" s="7">
        <f t="shared" si="34"/>
        <v>0</v>
      </c>
      <c r="AR49" s="24"/>
      <c r="AS49">
        <f t="shared" si="35"/>
        <v>1999</v>
      </c>
      <c r="AT49" s="1" t="b">
        <f t="shared" si="36"/>
        <v>1</v>
      </c>
      <c r="AU49" s="1" t="b">
        <f t="shared" si="37"/>
        <v>0</v>
      </c>
      <c r="AV49" s="1"/>
      <c r="AW49" s="1"/>
      <c r="AX49" s="1"/>
      <c r="AY49" s="1" t="b">
        <f t="shared" ref="AY49:AY64" si="49">AND((X49/$Z49)&gt;0.15,(X49/$Z49)&lt;0.25)</f>
        <v>1</v>
      </c>
      <c r="AZ49" s="1" t="b">
        <f t="shared" si="38"/>
        <v>1</v>
      </c>
      <c r="BA49" s="1" t="b">
        <f t="shared" si="39"/>
        <v>1</v>
      </c>
      <c r="BC49">
        <f t="shared" si="40"/>
        <v>1999</v>
      </c>
      <c r="BD49" s="2">
        <f t="shared" si="9"/>
        <v>44134.648353584205</v>
      </c>
      <c r="BE49" s="2"/>
      <c r="BF49" s="2">
        <f t="shared" ref="BF49:BG64" si="50">$BK49*BF$39</f>
        <v>44134.648353584205</v>
      </c>
      <c r="BG49" s="2">
        <f t="shared" si="50"/>
        <v>22067.324176792103</v>
      </c>
      <c r="BH49" s="2"/>
      <c r="BI49" s="2">
        <f t="shared" si="44"/>
        <v>44134.648353584205</v>
      </c>
      <c r="BJ49" s="2">
        <f t="shared" si="11"/>
        <v>66201.972530376297</v>
      </c>
      <c r="BK49" s="2">
        <f t="shared" si="41"/>
        <v>220673.24176792102</v>
      </c>
      <c r="BL49" s="2">
        <f t="shared" si="42"/>
        <v>0</v>
      </c>
      <c r="BM49" s="2"/>
    </row>
    <row r="50" spans="1:65" x14ac:dyDescent="0.2">
      <c r="A50">
        <f t="shared" si="6"/>
        <v>2000</v>
      </c>
      <c r="B50" s="2">
        <f t="shared" si="12"/>
        <v>40136.049212749473</v>
      </c>
      <c r="C50" s="2"/>
      <c r="D50" s="2">
        <f t="shared" ref="D50:D51" si="51">BF49*(1+(D14/100))</f>
        <v>52122.137012615873</v>
      </c>
      <c r="E50" s="2">
        <f t="shared" ref="E50:E51" si="52">BG49*(1+(E14/100))</f>
        <v>21479.229987480594</v>
      </c>
      <c r="F50" s="2"/>
      <c r="G50" s="2">
        <f t="shared" si="45"/>
        <v>37243.464359655569</v>
      </c>
      <c r="H50" s="2">
        <f t="shared" si="15"/>
        <v>73742.377201586161</v>
      </c>
      <c r="I50" s="2">
        <f t="shared" si="43"/>
        <v>224723.25777408766</v>
      </c>
      <c r="J50" s="2">
        <f t="shared" si="16"/>
        <v>-913.65395211789291</v>
      </c>
      <c r="K50" s="6">
        <f t="shared" si="17"/>
        <v>-4.0492220227980585E-3</v>
      </c>
      <c r="L50" s="7">
        <f t="shared" si="18"/>
        <v>0.995950777977202</v>
      </c>
      <c r="N50">
        <f t="shared" si="19"/>
        <v>2000</v>
      </c>
      <c r="O50" s="2">
        <f t="shared" si="20"/>
        <v>5097.6890471581828</v>
      </c>
      <c r="P50" s="2"/>
      <c r="Q50" s="2"/>
      <c r="R50">
        <f t="shared" si="21"/>
        <v>2000</v>
      </c>
      <c r="S50" s="2">
        <f t="shared" si="46"/>
        <v>39116.51140331784</v>
      </c>
      <c r="T50" s="2"/>
      <c r="U50" s="2">
        <f t="shared" ref="U50:U51" si="53">D50-($O50/5)</f>
        <v>51102.599203184232</v>
      </c>
      <c r="V50" s="2">
        <f t="shared" ref="V50:V51" si="54">E50-($O50/5)</f>
        <v>20459.692178048957</v>
      </c>
      <c r="W50" s="2"/>
      <c r="X50" s="2">
        <f t="shared" si="47"/>
        <v>36223.926550223929</v>
      </c>
      <c r="Y50" s="2">
        <f t="shared" si="48"/>
        <v>72722.839392154521</v>
      </c>
      <c r="Z50" s="2">
        <f t="shared" si="24"/>
        <v>219625.56872692949</v>
      </c>
      <c r="AA50" s="2">
        <f t="shared" si="25"/>
        <v>-1047.6730409915326</v>
      </c>
      <c r="AB50" s="6">
        <f t="shared" si="26"/>
        <v>-4.7476215629865797E-3</v>
      </c>
      <c r="AC50" s="7">
        <f t="shared" si="27"/>
        <v>0.99525237843701342</v>
      </c>
      <c r="AD50" s="2">
        <f t="shared" si="28"/>
        <v>0</v>
      </c>
      <c r="AE50" s="2"/>
      <c r="AG50">
        <f t="shared" si="29"/>
        <v>2000</v>
      </c>
      <c r="AH50" s="38">
        <f t="shared" si="5"/>
        <v>0.17810545297643912</v>
      </c>
      <c r="AI50" s="6">
        <f t="shared" si="5"/>
        <v>0</v>
      </c>
      <c r="AJ50" s="7"/>
      <c r="AK50" s="7"/>
      <c r="AL50" s="7"/>
      <c r="AM50" s="6">
        <f t="shared" si="30"/>
        <v>0.16493492429045359</v>
      </c>
      <c r="AN50" s="6">
        <f t="shared" si="31"/>
        <v>0.33112191724167667</v>
      </c>
      <c r="AO50" s="6">
        <f t="shared" si="32"/>
        <v>0.67416229450856946</v>
      </c>
      <c r="AP50" s="7">
        <f t="shared" si="33"/>
        <v>0.34304037726689274</v>
      </c>
      <c r="AQ50" s="7">
        <f t="shared" si="34"/>
        <v>0</v>
      </c>
      <c r="AR50" s="24"/>
      <c r="AS50">
        <f t="shared" si="35"/>
        <v>2000</v>
      </c>
      <c r="AT50" s="1" t="b">
        <f t="shared" si="36"/>
        <v>1</v>
      </c>
      <c r="AU50" s="1" t="b">
        <f t="shared" si="37"/>
        <v>0</v>
      </c>
      <c r="AV50" s="1"/>
      <c r="AW50" s="1"/>
      <c r="AX50" s="1"/>
      <c r="AY50" s="1" t="b">
        <f t="shared" si="49"/>
        <v>1</v>
      </c>
      <c r="AZ50" s="1" t="b">
        <f t="shared" si="38"/>
        <v>1</v>
      </c>
      <c r="BA50" s="1" t="b">
        <f t="shared" si="39"/>
        <v>1</v>
      </c>
      <c r="BC50">
        <f t="shared" si="40"/>
        <v>2000</v>
      </c>
      <c r="BD50" s="2">
        <f t="shared" si="9"/>
        <v>43925.113745385897</v>
      </c>
      <c r="BE50" s="2"/>
      <c r="BF50" s="2">
        <f t="shared" si="50"/>
        <v>43925.113745385897</v>
      </c>
      <c r="BG50" s="2">
        <f t="shared" si="50"/>
        <v>21962.556872692949</v>
      </c>
      <c r="BH50" s="2"/>
      <c r="BI50" s="2">
        <f t="shared" si="44"/>
        <v>43925.113745385897</v>
      </c>
      <c r="BJ50" s="2">
        <f t="shared" si="11"/>
        <v>65887.670618078846</v>
      </c>
      <c r="BK50" s="2">
        <f t="shared" si="41"/>
        <v>219625.56872692949</v>
      </c>
      <c r="BL50" s="2">
        <f t="shared" si="42"/>
        <v>0</v>
      </c>
      <c r="BM50" s="2"/>
    </row>
    <row r="51" spans="1:65" x14ac:dyDescent="0.2">
      <c r="A51">
        <f t="shared" si="6"/>
        <v>2001</v>
      </c>
      <c r="B51" s="2">
        <f t="shared" ref="B51:B64" si="55">BD50*(1+(B15/100))</f>
        <v>38645.315073190512</v>
      </c>
      <c r="C51" s="2"/>
      <c r="D51" s="2">
        <f t="shared" si="51"/>
        <v>43705.927427796421</v>
      </c>
      <c r="E51" s="2">
        <f t="shared" si="52"/>
        <v>22643.396135746429</v>
      </c>
      <c r="F51" s="2"/>
      <c r="G51" s="2">
        <f t="shared" si="45"/>
        <v>35072.885572278276</v>
      </c>
      <c r="H51" s="2">
        <f t="shared" si="15"/>
        <v>71442.001251182897</v>
      </c>
      <c r="I51" s="2">
        <f t="shared" si="43"/>
        <v>211509.52546019453</v>
      </c>
      <c r="J51" s="2">
        <f t="shared" si="16"/>
        <v>-13213.732313893124</v>
      </c>
      <c r="K51" s="6">
        <f t="shared" si="17"/>
        <v>-5.8800021167265092E-2</v>
      </c>
      <c r="L51" s="7">
        <f t="shared" si="18"/>
        <v>0.94119997883273487</v>
      </c>
      <c r="N51">
        <f t="shared" si="19"/>
        <v>2001</v>
      </c>
      <c r="O51" s="2">
        <f t="shared" si="20"/>
        <v>5271.0104747615615</v>
      </c>
      <c r="P51" s="2"/>
      <c r="Q51" s="2"/>
      <c r="R51">
        <f t="shared" si="21"/>
        <v>2001</v>
      </c>
      <c r="S51" s="2">
        <f>B51-($O51/5)</f>
        <v>37591.112978238198</v>
      </c>
      <c r="T51" s="2"/>
      <c r="U51" s="2">
        <f t="shared" si="53"/>
        <v>42651.725332844107</v>
      </c>
      <c r="V51" s="2">
        <f t="shared" si="54"/>
        <v>21589.194040794115</v>
      </c>
      <c r="W51" s="2"/>
      <c r="X51" s="2">
        <f>G51-($O51/5)</f>
        <v>34018.683477325962</v>
      </c>
      <c r="Y51" s="2">
        <f>H51-($O51/5)</f>
        <v>70387.799156230583</v>
      </c>
      <c r="Z51" s="2">
        <f t="shared" si="24"/>
        <v>206238.51498543296</v>
      </c>
      <c r="AA51" s="2">
        <f t="shared" si="25"/>
        <v>-13387.053741496522</v>
      </c>
      <c r="AB51" s="6">
        <f t="shared" si="26"/>
        <v>-6.0953985545013016E-2</v>
      </c>
      <c r="AC51" s="7">
        <f t="shared" si="27"/>
        <v>0.93904601445498703</v>
      </c>
      <c r="AD51" s="2">
        <f t="shared" si="28"/>
        <v>0</v>
      </c>
      <c r="AE51" s="2"/>
      <c r="AG51">
        <f t="shared" si="29"/>
        <v>2001</v>
      </c>
      <c r="AH51" s="6">
        <f t="shared" si="5"/>
        <v>0.18227009140796679</v>
      </c>
      <c r="AI51" s="7"/>
      <c r="AJ51" s="6">
        <f t="shared" ref="AJ51:AK64" si="56">U51/$Z51</f>
        <v>0.20680776011142576</v>
      </c>
      <c r="AK51" s="6">
        <f t="shared" si="56"/>
        <v>0.10468070933462163</v>
      </c>
      <c r="AL51" s="7"/>
      <c r="AM51" s="6">
        <f t="shared" si="30"/>
        <v>0.16494825653553977</v>
      </c>
      <c r="AN51" s="6">
        <f t="shared" si="31"/>
        <v>0.34129318261044606</v>
      </c>
      <c r="AO51" s="6">
        <f t="shared" si="32"/>
        <v>1</v>
      </c>
      <c r="AP51" s="7">
        <f t="shared" si="33"/>
        <v>0.65870681738955394</v>
      </c>
      <c r="AQ51" s="7">
        <f t="shared" si="34"/>
        <v>0</v>
      </c>
      <c r="AR51" s="24"/>
      <c r="AS51">
        <f t="shared" si="35"/>
        <v>2001</v>
      </c>
      <c r="AT51" s="1" t="b">
        <f t="shared" si="36"/>
        <v>1</v>
      </c>
      <c r="AU51" s="1"/>
      <c r="AV51" s="1" t="b">
        <f>AND((U51/$Z51)&gt;0.15,(U51/$Z51)&lt;0.25)</f>
        <v>1</v>
      </c>
      <c r="AW51" s="1" t="b">
        <f>AND((V51/$Z51)&gt;0.05,(V51/$Z51)&lt;0.15)</f>
        <v>1</v>
      </c>
      <c r="AX51" s="1"/>
      <c r="AY51" s="1" t="b">
        <f t="shared" si="49"/>
        <v>1</v>
      </c>
      <c r="AZ51" s="1" t="b">
        <f t="shared" si="38"/>
        <v>1</v>
      </c>
      <c r="BA51" s="1" t="b">
        <f t="shared" si="39"/>
        <v>1</v>
      </c>
      <c r="BC51">
        <f t="shared" si="40"/>
        <v>2001</v>
      </c>
      <c r="BD51" s="2">
        <f>$BK51*BD$39</f>
        <v>41247.702997086599</v>
      </c>
      <c r="BE51" s="2"/>
      <c r="BF51" s="2">
        <f t="shared" si="50"/>
        <v>41247.702997086599</v>
      </c>
      <c r="BG51" s="2">
        <f t="shared" si="50"/>
        <v>20623.851498543299</v>
      </c>
      <c r="BH51" s="2"/>
      <c r="BI51" s="2">
        <f t="shared" si="44"/>
        <v>41247.702997086599</v>
      </c>
      <c r="BJ51" s="2">
        <f t="shared" si="11"/>
        <v>61871.554495629884</v>
      </c>
      <c r="BK51" s="2">
        <f t="shared" si="41"/>
        <v>206238.51498543296</v>
      </c>
      <c r="BL51" s="2">
        <f t="shared" si="42"/>
        <v>0</v>
      </c>
      <c r="BM51" s="2"/>
    </row>
    <row r="52" spans="1:65" x14ac:dyDescent="0.2">
      <c r="A52">
        <f t="shared" si="6"/>
        <v>2002</v>
      </c>
      <c r="B52" s="2">
        <f t="shared" si="55"/>
        <v>32111.336783231916</v>
      </c>
      <c r="C52" s="2"/>
      <c r="D52" s="2">
        <f t="shared" ref="D52:D64" si="57">BF51*(1+(D16/100))</f>
        <v>35222.238543272186</v>
      </c>
      <c r="E52" s="2">
        <f t="shared" ref="E52:E64" si="58">BG51*(1+(E16/100))</f>
        <v>16494.543951504962</v>
      </c>
      <c r="F52" s="2"/>
      <c r="G52" s="2">
        <f t="shared" si="45"/>
        <v>35026.311954036028</v>
      </c>
      <c r="H52" s="2">
        <f t="shared" si="15"/>
        <v>66982.144896968908</v>
      </c>
      <c r="I52" s="2">
        <f t="shared" si="43"/>
        <v>185836.57612901399</v>
      </c>
      <c r="J52" s="2">
        <f t="shared" si="16"/>
        <v>-25672.949331180542</v>
      </c>
      <c r="K52" s="6">
        <f t="shared" si="17"/>
        <v>-0.12137963656871859</v>
      </c>
      <c r="L52" s="7">
        <f t="shared" si="18"/>
        <v>0.87862036343128147</v>
      </c>
      <c r="N52">
        <f t="shared" si="19"/>
        <v>2002</v>
      </c>
      <c r="O52" s="2">
        <f t="shared" si="20"/>
        <v>5355.3466423577465</v>
      </c>
      <c r="P52" s="2"/>
      <c r="Q52" s="2"/>
      <c r="R52">
        <f t="shared" si="21"/>
        <v>2002</v>
      </c>
      <c r="S52" s="2">
        <f t="shared" ref="S52:S64" si="59">B52-($O52/5)</f>
        <v>31040.267454760367</v>
      </c>
      <c r="T52" s="2"/>
      <c r="U52" s="2">
        <f t="shared" ref="U52:V64" si="60">D52-($O52/5)</f>
        <v>34151.169214800633</v>
      </c>
      <c r="V52" s="2">
        <f t="shared" si="60"/>
        <v>15423.474623033413</v>
      </c>
      <c r="W52" s="2"/>
      <c r="X52" s="2">
        <f t="shared" ref="X52:Y64" si="61">G52-($O52/5)</f>
        <v>33955.242625564475</v>
      </c>
      <c r="Y52" s="2">
        <f t="shared" si="61"/>
        <v>65911.075568497356</v>
      </c>
      <c r="Z52" s="2">
        <f t="shared" si="24"/>
        <v>180481.22948665626</v>
      </c>
      <c r="AA52" s="2">
        <f t="shared" si="25"/>
        <v>-25757.285498776706</v>
      </c>
      <c r="AB52" s="6">
        <f t="shared" si="26"/>
        <v>-0.12489076301095357</v>
      </c>
      <c r="AC52" s="7">
        <f t="shared" si="27"/>
        <v>0.87510923698904641</v>
      </c>
      <c r="AD52" s="2">
        <f t="shared" si="28"/>
        <v>0</v>
      </c>
      <c r="AE52" s="2"/>
      <c r="AG52">
        <f t="shared" si="29"/>
        <v>2002</v>
      </c>
      <c r="AH52" s="6">
        <f t="shared" si="5"/>
        <v>0.17198612588715384</v>
      </c>
      <c r="AI52" s="7"/>
      <c r="AJ52" s="6">
        <f t="shared" si="56"/>
        <v>0.18922283116054223</v>
      </c>
      <c r="AK52" s="6">
        <f t="shared" si="56"/>
        <v>8.545749974610925E-2</v>
      </c>
      <c r="AL52" s="7"/>
      <c r="AM52" s="6">
        <f t="shared" si="30"/>
        <v>0.18813725240094803</v>
      </c>
      <c r="AN52" s="6">
        <f t="shared" si="31"/>
        <v>0.36519629080524652</v>
      </c>
      <c r="AO52" s="6">
        <f t="shared" si="32"/>
        <v>0.99999999999999989</v>
      </c>
      <c r="AP52" s="7">
        <f t="shared" si="33"/>
        <v>0.63480370919475337</v>
      </c>
      <c r="AQ52" s="7">
        <f t="shared" si="34"/>
        <v>0</v>
      </c>
      <c r="AR52" s="24"/>
      <c r="AS52">
        <f t="shared" si="35"/>
        <v>2002</v>
      </c>
      <c r="AT52" s="1" t="b">
        <f t="shared" si="36"/>
        <v>1</v>
      </c>
      <c r="AU52" s="1"/>
      <c r="AV52" s="1" t="b">
        <f t="shared" ref="AV52:AV64" si="62">AND((U52/$Z52)&gt;0.15,(U52/$Z52)&lt;0.25)</f>
        <v>1</v>
      </c>
      <c r="AW52" s="1" t="b">
        <f t="shared" ref="AW52:AW64" si="63">AND((V52/$Z52)&gt;0.05,(V52/$Z52)&lt;0.15)</f>
        <v>1</v>
      </c>
      <c r="AX52" s="1"/>
      <c r="AY52" s="1" t="b">
        <f t="shared" si="49"/>
        <v>1</v>
      </c>
      <c r="AZ52" s="1" t="b">
        <f t="shared" si="38"/>
        <v>0</v>
      </c>
      <c r="BA52" s="1" t="b">
        <f t="shared" si="39"/>
        <v>1</v>
      </c>
      <c r="BC52">
        <f t="shared" si="40"/>
        <v>2002</v>
      </c>
      <c r="BD52" s="2">
        <f>$BK52*BD$39</f>
        <v>36096.245897331253</v>
      </c>
      <c r="BE52" s="2"/>
      <c r="BF52" s="2">
        <f t="shared" si="50"/>
        <v>36096.245897331253</v>
      </c>
      <c r="BG52" s="2">
        <f t="shared" si="50"/>
        <v>18048.122948665627</v>
      </c>
      <c r="BH52" s="2"/>
      <c r="BI52" s="2">
        <f t="shared" si="44"/>
        <v>36096.245897331253</v>
      </c>
      <c r="BJ52" s="2">
        <f t="shared" si="11"/>
        <v>54144.368845996876</v>
      </c>
      <c r="BK52" s="2">
        <f t="shared" si="41"/>
        <v>180481.22948665626</v>
      </c>
      <c r="BL52" s="2">
        <f t="shared" si="42"/>
        <v>0</v>
      </c>
      <c r="BM52" s="2"/>
    </row>
    <row r="53" spans="1:65" x14ac:dyDescent="0.2">
      <c r="A53">
        <f t="shared" si="6"/>
        <v>2003</v>
      </c>
      <c r="B53" s="2">
        <f t="shared" si="55"/>
        <v>46383.675978070656</v>
      </c>
      <c r="C53" s="2"/>
      <c r="D53" s="2">
        <f t="shared" si="57"/>
        <v>48420.226171598093</v>
      </c>
      <c r="E53" s="2">
        <f t="shared" si="58"/>
        <v>26283.12048768278</v>
      </c>
      <c r="F53" s="2"/>
      <c r="G53" s="2">
        <f t="shared" si="45"/>
        <v>50657.471492314682</v>
      </c>
      <c r="H53" s="2">
        <f t="shared" si="15"/>
        <v>56293.900289182959</v>
      </c>
      <c r="I53" s="2">
        <f t="shared" si="43"/>
        <v>228038.39441884917</v>
      </c>
      <c r="J53" s="2">
        <f t="shared" si="16"/>
        <v>42201.818289835181</v>
      </c>
      <c r="K53" s="6">
        <f t="shared" si="17"/>
        <v>0.22709102356974797</v>
      </c>
      <c r="L53" s="7">
        <f t="shared" si="18"/>
        <v>1.2270910235697481</v>
      </c>
      <c r="N53">
        <f t="shared" si="19"/>
        <v>2003</v>
      </c>
      <c r="O53" s="2">
        <f t="shared" si="20"/>
        <v>5489.2303084166897</v>
      </c>
      <c r="P53" s="2"/>
      <c r="Q53" s="2"/>
      <c r="R53">
        <f t="shared" si="21"/>
        <v>2003</v>
      </c>
      <c r="S53" s="2">
        <f t="shared" si="59"/>
        <v>45285.829916387316</v>
      </c>
      <c r="T53" s="2"/>
      <c r="U53" s="2">
        <f t="shared" si="60"/>
        <v>47322.380109914753</v>
      </c>
      <c r="V53" s="2">
        <f t="shared" si="60"/>
        <v>25185.274425999443</v>
      </c>
      <c r="W53" s="2"/>
      <c r="X53" s="2">
        <f t="shared" si="61"/>
        <v>49559.625430631342</v>
      </c>
      <c r="Y53" s="2">
        <f t="shared" si="61"/>
        <v>55196.054227499619</v>
      </c>
      <c r="Z53" s="2">
        <f t="shared" si="24"/>
        <v>222549.16411043247</v>
      </c>
      <c r="AA53" s="2">
        <f t="shared" si="25"/>
        <v>42067.934623776207</v>
      </c>
      <c r="AB53" s="6">
        <f t="shared" si="26"/>
        <v>0.23308758890567324</v>
      </c>
      <c r="AC53" s="7">
        <f t="shared" si="27"/>
        <v>1.2330875889056732</v>
      </c>
      <c r="AD53" s="2">
        <f t="shared" si="28"/>
        <v>0</v>
      </c>
      <c r="AE53" s="2"/>
      <c r="AG53">
        <f t="shared" si="29"/>
        <v>2003</v>
      </c>
      <c r="AH53" s="6">
        <f t="shared" si="5"/>
        <v>0.20348685692621052</v>
      </c>
      <c r="AI53" s="7"/>
      <c r="AJ53" s="6">
        <f t="shared" si="56"/>
        <v>0.21263786947513597</v>
      </c>
      <c r="AK53" s="6">
        <f t="shared" si="56"/>
        <v>0.1131672389185075</v>
      </c>
      <c r="AL53" s="7"/>
      <c r="AM53" s="6">
        <f t="shared" si="30"/>
        <v>0.22269068333161235</v>
      </c>
      <c r="AN53" s="59">
        <f t="shared" si="31"/>
        <v>0.24801735134853373</v>
      </c>
      <c r="AO53" s="6">
        <f t="shared" si="32"/>
        <v>1</v>
      </c>
      <c r="AP53" s="7">
        <f t="shared" si="33"/>
        <v>0.75198264865146636</v>
      </c>
      <c r="AQ53" s="7">
        <f t="shared" si="34"/>
        <v>0</v>
      </c>
      <c r="AR53" s="24"/>
      <c r="AS53">
        <f t="shared" si="35"/>
        <v>2003</v>
      </c>
      <c r="AT53" s="1" t="b">
        <f t="shared" si="36"/>
        <v>1</v>
      </c>
      <c r="AU53" s="1"/>
      <c r="AV53" s="1" t="b">
        <f t="shared" si="62"/>
        <v>1</v>
      </c>
      <c r="AW53" s="1" t="b">
        <f t="shared" si="63"/>
        <v>1</v>
      </c>
      <c r="AX53" s="1"/>
      <c r="AY53" s="1" t="b">
        <f t="shared" si="49"/>
        <v>1</v>
      </c>
      <c r="AZ53" s="1" t="b">
        <f t="shared" si="38"/>
        <v>0</v>
      </c>
      <c r="BA53" s="1" t="b">
        <f t="shared" si="39"/>
        <v>1</v>
      </c>
      <c r="BC53">
        <f t="shared" si="40"/>
        <v>2003</v>
      </c>
      <c r="BD53" s="2">
        <f t="shared" ref="BD53:BD64" si="64">$BK53*BD$39</f>
        <v>44509.832822086493</v>
      </c>
      <c r="BE53" s="2"/>
      <c r="BF53" s="2">
        <f t="shared" si="50"/>
        <v>44509.832822086493</v>
      </c>
      <c r="BG53" s="2">
        <f t="shared" si="50"/>
        <v>22254.916411043247</v>
      </c>
      <c r="BH53" s="2"/>
      <c r="BI53" s="2">
        <f t="shared" ref="BI53:BI64" si="65">$BK53*BI$39</f>
        <v>44509.832822086493</v>
      </c>
      <c r="BJ53" s="2">
        <f t="shared" si="11"/>
        <v>66764.74923312974</v>
      </c>
      <c r="BK53" s="2">
        <f t="shared" si="41"/>
        <v>222549.16411043247</v>
      </c>
      <c r="BL53" s="2">
        <f t="shared" si="42"/>
        <v>0</v>
      </c>
      <c r="BM53" s="2"/>
    </row>
    <row r="54" spans="1:65" x14ac:dyDescent="0.2">
      <c r="A54">
        <f t="shared" si="6"/>
        <v>2004</v>
      </c>
      <c r="B54" s="2">
        <f t="shared" si="55"/>
        <v>49290.188867178578</v>
      </c>
      <c r="C54" s="2"/>
      <c r="D54" s="2">
        <f t="shared" si="57"/>
        <v>53568.91909636576</v>
      </c>
      <c r="E54" s="2">
        <f t="shared" si="58"/>
        <v>26682.977129348525</v>
      </c>
      <c r="F54" s="2"/>
      <c r="G54" s="2">
        <f t="shared" si="45"/>
        <v>53784.34668722465</v>
      </c>
      <c r="H54" s="2">
        <f t="shared" si="15"/>
        <v>69595.574600614447</v>
      </c>
      <c r="I54" s="2">
        <f t="shared" si="43"/>
        <v>252922.00638073194</v>
      </c>
      <c r="J54" s="2">
        <f t="shared" si="16"/>
        <v>24883.611961882765</v>
      </c>
      <c r="K54" s="6">
        <f t="shared" si="17"/>
        <v>0.10912027347542988</v>
      </c>
      <c r="L54" s="7">
        <f t="shared" si="18"/>
        <v>1.10912027347543</v>
      </c>
      <c r="N54">
        <f t="shared" si="19"/>
        <v>2004</v>
      </c>
      <c r="O54" s="2">
        <f t="shared" si="20"/>
        <v>5599.0149145850237</v>
      </c>
      <c r="P54" s="2"/>
      <c r="Q54" s="2"/>
      <c r="R54">
        <f t="shared" si="21"/>
        <v>2004</v>
      </c>
      <c r="S54" s="2">
        <f t="shared" si="59"/>
        <v>48170.385884261574</v>
      </c>
      <c r="T54" s="2"/>
      <c r="U54" s="2">
        <f t="shared" si="60"/>
        <v>52449.116113448756</v>
      </c>
      <c r="V54" s="2">
        <f t="shared" si="60"/>
        <v>25563.17414643152</v>
      </c>
      <c r="W54" s="2"/>
      <c r="X54" s="2">
        <f t="shared" si="61"/>
        <v>52664.543704307645</v>
      </c>
      <c r="Y54" s="2">
        <f t="shared" si="61"/>
        <v>68475.771617697435</v>
      </c>
      <c r="Z54" s="2">
        <f t="shared" si="24"/>
        <v>247322.99146614692</v>
      </c>
      <c r="AA54" s="2">
        <f t="shared" si="25"/>
        <v>24773.827355714457</v>
      </c>
      <c r="AB54" s="6">
        <f t="shared" si="26"/>
        <v>0.11131844711589789</v>
      </c>
      <c r="AC54" s="7">
        <f t="shared" si="27"/>
        <v>1.1113184471158979</v>
      </c>
      <c r="AD54" s="2">
        <f t="shared" si="28"/>
        <v>0</v>
      </c>
      <c r="AE54" s="2"/>
      <c r="AG54">
        <f t="shared" si="29"/>
        <v>2004</v>
      </c>
      <c r="AH54" s="6">
        <f t="shared" si="5"/>
        <v>0.19476711646864842</v>
      </c>
      <c r="AI54" s="7"/>
      <c r="AJ54" s="6">
        <f t="shared" si="56"/>
        <v>0.21206728821500562</v>
      </c>
      <c r="AK54" s="6">
        <f t="shared" si="56"/>
        <v>0.10335947335462566</v>
      </c>
      <c r="AL54" s="7"/>
      <c r="AM54" s="38">
        <f t="shared" si="30"/>
        <v>0.21293832567732088</v>
      </c>
      <c r="AN54" s="38">
        <f t="shared" si="31"/>
        <v>0.27686779628439945</v>
      </c>
      <c r="AO54" s="6">
        <f t="shared" si="32"/>
        <v>1</v>
      </c>
      <c r="AP54" s="7">
        <f t="shared" si="33"/>
        <v>0.72313220371560061</v>
      </c>
      <c r="AQ54" s="7">
        <f t="shared" si="34"/>
        <v>0</v>
      </c>
      <c r="AR54" s="24"/>
      <c r="AS54">
        <f t="shared" si="35"/>
        <v>2004</v>
      </c>
      <c r="AT54" s="1" t="b">
        <f t="shared" si="36"/>
        <v>1</v>
      </c>
      <c r="AU54" s="1"/>
      <c r="AV54" s="1" t="b">
        <f t="shared" si="62"/>
        <v>1</v>
      </c>
      <c r="AW54" s="1" t="b">
        <f t="shared" si="63"/>
        <v>1</v>
      </c>
      <c r="AX54" s="1"/>
      <c r="AY54" s="1" t="b">
        <f t="shared" si="49"/>
        <v>1</v>
      </c>
      <c r="AZ54" s="39" t="b">
        <f t="shared" si="38"/>
        <v>1</v>
      </c>
      <c r="BA54" s="1" t="b">
        <f t="shared" si="39"/>
        <v>1</v>
      </c>
      <c r="BC54">
        <f t="shared" si="40"/>
        <v>2004</v>
      </c>
      <c r="BD54" s="2">
        <f t="shared" si="64"/>
        <v>49464.598293229385</v>
      </c>
      <c r="BE54" s="2"/>
      <c r="BF54" s="2">
        <f t="shared" si="50"/>
        <v>49464.598293229385</v>
      </c>
      <c r="BG54" s="2">
        <f t="shared" si="50"/>
        <v>24732.299146614692</v>
      </c>
      <c r="BH54" s="2"/>
      <c r="BI54" s="2">
        <f t="shared" si="65"/>
        <v>49464.598293229385</v>
      </c>
      <c r="BJ54" s="2">
        <f t="shared" si="11"/>
        <v>74196.897439844077</v>
      </c>
      <c r="BK54" s="2">
        <f t="shared" si="41"/>
        <v>247322.99146614692</v>
      </c>
      <c r="BL54" s="2">
        <f t="shared" si="42"/>
        <v>0</v>
      </c>
      <c r="BM54" s="2"/>
    </row>
    <row r="55" spans="1:65" x14ac:dyDescent="0.2">
      <c r="A55">
        <f t="shared" si="6"/>
        <v>2005</v>
      </c>
      <c r="B55" s="2">
        <f t="shared" si="55"/>
        <v>51824.059631816432</v>
      </c>
      <c r="C55" s="2"/>
      <c r="D55" s="2">
        <f t="shared" si="57"/>
        <v>56355.511481459173</v>
      </c>
      <c r="E55" s="2">
        <f t="shared" si="58"/>
        <v>26553.338332779935</v>
      </c>
      <c r="F55" s="2"/>
      <c r="G55" s="2">
        <f t="shared" si="45"/>
        <v>57166.730893468135</v>
      </c>
      <c r="H55" s="2">
        <f t="shared" si="15"/>
        <v>75977.622978400337</v>
      </c>
      <c r="I55" s="2">
        <f t="shared" si="43"/>
        <v>267877.26331792399</v>
      </c>
      <c r="J55" s="2">
        <f t="shared" si="16"/>
        <v>14955.256937192054</v>
      </c>
      <c r="K55" s="6">
        <f t="shared" si="17"/>
        <v>5.9129915783917228E-2</v>
      </c>
      <c r="L55" s="7">
        <f t="shared" si="18"/>
        <v>1.0591299157839171</v>
      </c>
      <c r="N55">
        <f t="shared" si="19"/>
        <v>2005</v>
      </c>
      <c r="O55" s="2">
        <f t="shared" si="20"/>
        <v>5783.7824067663287</v>
      </c>
      <c r="P55" s="2"/>
      <c r="Q55" s="2"/>
      <c r="R55">
        <f t="shared" si="21"/>
        <v>2005</v>
      </c>
      <c r="S55" s="2">
        <f t="shared" si="59"/>
        <v>50667.303150463165</v>
      </c>
      <c r="T55" s="2"/>
      <c r="U55" s="2">
        <f t="shared" si="60"/>
        <v>55198.755000105906</v>
      </c>
      <c r="V55" s="2">
        <f t="shared" si="60"/>
        <v>25396.581851426668</v>
      </c>
      <c r="W55" s="2"/>
      <c r="X55" s="2">
        <f t="shared" si="61"/>
        <v>56009.974412114869</v>
      </c>
      <c r="Y55" s="2">
        <f t="shared" si="61"/>
        <v>74820.866497047071</v>
      </c>
      <c r="Z55" s="2">
        <f t="shared" si="24"/>
        <v>262093.48091115768</v>
      </c>
      <c r="AA55" s="2">
        <f t="shared" si="25"/>
        <v>14770.489445010753</v>
      </c>
      <c r="AB55" s="6">
        <f t="shared" si="26"/>
        <v>5.9721457182166211E-2</v>
      </c>
      <c r="AC55" s="7">
        <f t="shared" si="27"/>
        <v>1.0597214571821663</v>
      </c>
      <c r="AD55" s="2">
        <f t="shared" si="28"/>
        <v>0</v>
      </c>
      <c r="AE55" s="2"/>
      <c r="AG55">
        <f t="shared" si="29"/>
        <v>2005</v>
      </c>
      <c r="AH55" s="6">
        <f t="shared" ref="AH55:AH64" si="66">S55/$Z55</f>
        <v>0.19331767800679467</v>
      </c>
      <c r="AI55" s="7"/>
      <c r="AJ55" s="6">
        <f t="shared" si="56"/>
        <v>0.21060712692360606</v>
      </c>
      <c r="AK55" s="6">
        <f t="shared" si="56"/>
        <v>9.6898945228002048E-2</v>
      </c>
      <c r="AL55" s="7"/>
      <c r="AM55" s="6">
        <f t="shared" si="30"/>
        <v>0.21370227987891341</v>
      </c>
      <c r="AN55" s="38">
        <f t="shared" si="31"/>
        <v>0.28547396996268382</v>
      </c>
      <c r="AO55" s="6">
        <f t="shared" si="32"/>
        <v>1</v>
      </c>
      <c r="AP55" s="7">
        <f t="shared" si="33"/>
        <v>0.71452603003731618</v>
      </c>
      <c r="AQ55" s="7">
        <f t="shared" si="34"/>
        <v>0</v>
      </c>
      <c r="AR55" s="24"/>
      <c r="AS55">
        <f t="shared" si="35"/>
        <v>2005</v>
      </c>
      <c r="AT55" s="1" t="b">
        <f t="shared" si="36"/>
        <v>1</v>
      </c>
      <c r="AV55" s="1" t="b">
        <f t="shared" si="62"/>
        <v>1</v>
      </c>
      <c r="AW55" s="1" t="b">
        <f t="shared" si="63"/>
        <v>1</v>
      </c>
      <c r="AY55" s="1" t="b">
        <f t="shared" si="49"/>
        <v>1</v>
      </c>
      <c r="AZ55" s="39" t="b">
        <f t="shared" si="38"/>
        <v>1</v>
      </c>
      <c r="BA55" s="1" t="b">
        <f t="shared" si="39"/>
        <v>1</v>
      </c>
      <c r="BC55">
        <f t="shared" si="40"/>
        <v>2005</v>
      </c>
      <c r="BD55" s="2">
        <f t="shared" si="64"/>
        <v>52418.696182231535</v>
      </c>
      <c r="BE55" s="2"/>
      <c r="BF55" s="2">
        <f t="shared" si="50"/>
        <v>52418.696182231535</v>
      </c>
      <c r="BG55" s="2">
        <f t="shared" si="50"/>
        <v>26209.348091115768</v>
      </c>
      <c r="BH55" s="2"/>
      <c r="BI55" s="2">
        <f t="shared" si="65"/>
        <v>52418.696182231535</v>
      </c>
      <c r="BJ55" s="2">
        <f t="shared" si="11"/>
        <v>78628.044273347303</v>
      </c>
      <c r="BK55" s="2">
        <f t="shared" si="41"/>
        <v>262093.48091115768</v>
      </c>
      <c r="BL55" s="2">
        <f t="shared" si="42"/>
        <v>0</v>
      </c>
      <c r="BM55" s="2"/>
    </row>
    <row r="56" spans="1:65" x14ac:dyDescent="0.2">
      <c r="A56">
        <f t="shared" si="6"/>
        <v>2006</v>
      </c>
      <c r="B56" s="2">
        <f t="shared" si="55"/>
        <v>60616.980265132552</v>
      </c>
      <c r="C56" s="2"/>
      <c r="D56" s="2">
        <f t="shared" si="57"/>
        <v>59546.066302129555</v>
      </c>
      <c r="E56" s="2">
        <f t="shared" si="58"/>
        <v>30312.683628260853</v>
      </c>
      <c r="F56" s="2"/>
      <c r="G56" s="2">
        <f t="shared" si="45"/>
        <v>66381.464284292553</v>
      </c>
      <c r="H56" s="2">
        <f t="shared" si="15"/>
        <v>81985.461763819229</v>
      </c>
      <c r="I56" s="2">
        <f t="shared" si="43"/>
        <v>298842.6562436347</v>
      </c>
      <c r="J56" s="2">
        <f>I56-I55</f>
        <v>30965.392925710708</v>
      </c>
      <c r="K56" s="6">
        <f>(J56/I55)</f>
        <v>0.11559545047673621</v>
      </c>
      <c r="L56" s="7">
        <f t="shared" si="18"/>
        <v>1.1155954504767363</v>
      </c>
      <c r="N56">
        <f t="shared" si="19"/>
        <v>2006</v>
      </c>
      <c r="O56" s="2">
        <f t="shared" si="20"/>
        <v>5974.647226189617</v>
      </c>
      <c r="P56" s="2"/>
      <c r="Q56" s="2"/>
      <c r="R56">
        <f t="shared" si="21"/>
        <v>2006</v>
      </c>
      <c r="S56" s="2">
        <f t="shared" si="59"/>
        <v>59422.050819894626</v>
      </c>
      <c r="T56" s="2"/>
      <c r="U56" s="2">
        <f t="shared" si="60"/>
        <v>58351.13685689163</v>
      </c>
      <c r="V56" s="2">
        <f t="shared" si="60"/>
        <v>29117.754183022931</v>
      </c>
      <c r="W56" s="2"/>
      <c r="X56" s="2">
        <f t="shared" si="61"/>
        <v>65186.534839054628</v>
      </c>
      <c r="Y56" s="2">
        <f t="shared" si="61"/>
        <v>80790.532318581303</v>
      </c>
      <c r="Z56" s="2">
        <f t="shared" si="24"/>
        <v>292868.00901744515</v>
      </c>
      <c r="AA56" s="2">
        <f>Z56-Z55</f>
        <v>30774.528106287471</v>
      </c>
      <c r="AB56" s="6">
        <f>(AA56/Z55)</f>
        <v>0.11741813645765257</v>
      </c>
      <c r="AC56" s="7">
        <f t="shared" si="27"/>
        <v>1.1174181364576525</v>
      </c>
      <c r="AD56" s="2">
        <f t="shared" si="28"/>
        <v>0</v>
      </c>
      <c r="AE56" s="2"/>
      <c r="AG56">
        <f t="shared" si="29"/>
        <v>2006</v>
      </c>
      <c r="AH56" s="6">
        <f t="shared" si="66"/>
        <v>0.20289703549135357</v>
      </c>
      <c r="AI56" s="7"/>
      <c r="AJ56" s="6">
        <f t="shared" si="56"/>
        <v>0.19924039178145897</v>
      </c>
      <c r="AK56" s="6">
        <f t="shared" si="56"/>
        <v>9.9422788718751751E-2</v>
      </c>
      <c r="AL56" s="7"/>
      <c r="AM56" s="6">
        <f t="shared" si="30"/>
        <v>0.22257990914662068</v>
      </c>
      <c r="AN56" s="6">
        <f t="shared" si="31"/>
        <v>0.2758598748618149</v>
      </c>
      <c r="AO56" s="6">
        <f t="shared" si="32"/>
        <v>0.99999999999999978</v>
      </c>
      <c r="AP56" s="7">
        <f t="shared" si="33"/>
        <v>0.72414012513818493</v>
      </c>
      <c r="AQ56" s="7">
        <f t="shared" si="34"/>
        <v>0</v>
      </c>
      <c r="AR56" s="24"/>
      <c r="AS56">
        <f t="shared" si="35"/>
        <v>2006</v>
      </c>
      <c r="AT56" s="1" t="b">
        <f t="shared" si="36"/>
        <v>1</v>
      </c>
      <c r="AV56" s="1" t="b">
        <f t="shared" si="62"/>
        <v>1</v>
      </c>
      <c r="AW56" s="1" t="b">
        <f t="shared" si="63"/>
        <v>1</v>
      </c>
      <c r="AY56" s="1" t="b">
        <f t="shared" si="49"/>
        <v>1</v>
      </c>
      <c r="AZ56" s="1" t="b">
        <f t="shared" si="38"/>
        <v>1</v>
      </c>
      <c r="BA56" s="1" t="b">
        <f t="shared" si="39"/>
        <v>1</v>
      </c>
      <c r="BC56">
        <f t="shared" si="40"/>
        <v>2006</v>
      </c>
      <c r="BD56" s="2">
        <f t="shared" si="64"/>
        <v>58573.601803489029</v>
      </c>
      <c r="BE56" s="2"/>
      <c r="BF56" s="2">
        <f t="shared" si="50"/>
        <v>58573.601803489029</v>
      </c>
      <c r="BG56" s="2">
        <f t="shared" si="50"/>
        <v>29286.800901744515</v>
      </c>
      <c r="BH56" s="2"/>
      <c r="BI56" s="2">
        <f t="shared" si="65"/>
        <v>58573.601803489029</v>
      </c>
      <c r="BJ56" s="2">
        <f t="shared" si="11"/>
        <v>87860.402705233544</v>
      </c>
      <c r="BK56" s="2">
        <f t="shared" si="41"/>
        <v>292868.00901744515</v>
      </c>
      <c r="BL56" s="2">
        <f t="shared" si="42"/>
        <v>0</v>
      </c>
      <c r="BM56" s="2"/>
    </row>
    <row r="57" spans="1:65" x14ac:dyDescent="0.2">
      <c r="A57">
        <f t="shared" si="6"/>
        <v>2007</v>
      </c>
      <c r="B57" s="2">
        <f t="shared" si="55"/>
        <v>61730.718940697094</v>
      </c>
      <c r="C57" s="2"/>
      <c r="D57" s="2">
        <f t="shared" si="57"/>
        <v>62100.318368077111</v>
      </c>
      <c r="E57" s="2">
        <f t="shared" si="58"/>
        <v>29625.356320168681</v>
      </c>
      <c r="F57" s="2"/>
      <c r="G57" s="2">
        <f t="shared" si="45"/>
        <v>67665.396275426596</v>
      </c>
      <c r="H57" s="2">
        <f t="shared" si="15"/>
        <v>93940.342572435693</v>
      </c>
      <c r="I57" s="2">
        <f t="shared" si="43"/>
        <v>315062.13247680519</v>
      </c>
      <c r="J57" s="2">
        <f t="shared" si="16"/>
        <v>16219.476233170484</v>
      </c>
      <c r="K57" s="6">
        <f t="shared" si="17"/>
        <v>5.427430085465236E-2</v>
      </c>
      <c r="L57" s="7">
        <f t="shared" si="18"/>
        <v>1.0542743008546525</v>
      </c>
      <c r="N57">
        <f t="shared" si="19"/>
        <v>2007</v>
      </c>
      <c r="O57" s="2">
        <f t="shared" si="20"/>
        <v>6124.0134068443567</v>
      </c>
      <c r="P57" s="2"/>
      <c r="Q57" s="2"/>
      <c r="R57">
        <f t="shared" si="21"/>
        <v>2007</v>
      </c>
      <c r="S57" s="2">
        <f t="shared" si="59"/>
        <v>60505.916259328224</v>
      </c>
      <c r="T57" s="2"/>
      <c r="U57" s="2">
        <f t="shared" si="60"/>
        <v>60875.515686708241</v>
      </c>
      <c r="V57" s="2">
        <f t="shared" si="60"/>
        <v>28400.553638799811</v>
      </c>
      <c r="W57" s="2"/>
      <c r="X57" s="2">
        <f t="shared" si="61"/>
        <v>66440.593594057718</v>
      </c>
      <c r="Y57" s="2">
        <f t="shared" si="61"/>
        <v>92715.539891066815</v>
      </c>
      <c r="Z57" s="2">
        <f t="shared" si="24"/>
        <v>308938.11906996078</v>
      </c>
      <c r="AA57" s="2">
        <f t="shared" ref="AA57:AA64" si="67">Z57-Z56</f>
        <v>16070.110052515636</v>
      </c>
      <c r="AB57" s="6">
        <f t="shared" ref="AB57:AB64" si="68">(AA57/Z56)</f>
        <v>5.4871510570341585E-2</v>
      </c>
      <c r="AC57" s="7">
        <f t="shared" si="27"/>
        <v>1.0548715105703417</v>
      </c>
      <c r="AD57" s="2">
        <f t="shared" si="28"/>
        <v>0</v>
      </c>
      <c r="AE57" s="2"/>
      <c r="AG57">
        <f t="shared" si="29"/>
        <v>2007</v>
      </c>
      <c r="AH57" s="6">
        <f t="shared" si="66"/>
        <v>0.19585124827417724</v>
      </c>
      <c r="AI57" s="7"/>
      <c r="AJ57" s="6">
        <f t="shared" si="56"/>
        <v>0.19704760251007625</v>
      </c>
      <c r="AK57" s="6">
        <f t="shared" si="56"/>
        <v>9.1929586819191916E-2</v>
      </c>
      <c r="AL57" s="7"/>
      <c r="AM57" s="6">
        <f t="shared" ref="AM57:AM64" si="69">X57/$Z57</f>
        <v>0.21506117080686915</v>
      </c>
      <c r="AN57" s="6">
        <f t="shared" si="31"/>
        <v>0.3001103915896855</v>
      </c>
      <c r="AO57" s="6">
        <f t="shared" si="32"/>
        <v>1</v>
      </c>
      <c r="AP57" s="7">
        <f t="shared" si="33"/>
        <v>0.69988960841031456</v>
      </c>
      <c r="AQ57" s="7">
        <f t="shared" si="34"/>
        <v>0</v>
      </c>
      <c r="AR57" s="24"/>
      <c r="AS57">
        <f t="shared" si="35"/>
        <v>2007</v>
      </c>
      <c r="AT57" s="1" t="b">
        <f t="shared" si="36"/>
        <v>1</v>
      </c>
      <c r="AV57" s="1" t="b">
        <f t="shared" si="62"/>
        <v>1</v>
      </c>
      <c r="AW57" s="1" t="b">
        <f t="shared" si="63"/>
        <v>1</v>
      </c>
      <c r="AY57" s="1" t="b">
        <f t="shared" si="49"/>
        <v>1</v>
      </c>
      <c r="AZ57" s="1" t="b">
        <f t="shared" si="38"/>
        <v>1</v>
      </c>
      <c r="BA57" s="1" t="b">
        <f t="shared" si="39"/>
        <v>1</v>
      </c>
      <c r="BC57">
        <f t="shared" si="40"/>
        <v>2007</v>
      </c>
      <c r="BD57" s="2">
        <f t="shared" si="64"/>
        <v>61787.623813992162</v>
      </c>
      <c r="BE57" s="2"/>
      <c r="BF57" s="2">
        <f t="shared" si="50"/>
        <v>61787.623813992162</v>
      </c>
      <c r="BG57" s="2">
        <f t="shared" si="50"/>
        <v>30893.811906996081</v>
      </c>
      <c r="BH57" s="2"/>
      <c r="BI57" s="2">
        <f t="shared" si="65"/>
        <v>61787.623813992162</v>
      </c>
      <c r="BJ57" s="2">
        <f t="shared" si="11"/>
        <v>92681.435720988229</v>
      </c>
      <c r="BK57" s="2">
        <f t="shared" si="41"/>
        <v>308938.11906996078</v>
      </c>
      <c r="BL57" s="2">
        <f t="shared" si="42"/>
        <v>0</v>
      </c>
      <c r="BM57" s="2"/>
    </row>
    <row r="58" spans="1:65" x14ac:dyDescent="0.2">
      <c r="A58">
        <f t="shared" si="6"/>
        <v>2008</v>
      </c>
      <c r="B58" s="2">
        <f t="shared" si="55"/>
        <v>38913.845478052259</v>
      </c>
      <c r="C58" s="2"/>
      <c r="D58" s="2">
        <f t="shared" si="57"/>
        <v>35945.568030028087</v>
      </c>
      <c r="E58" s="2">
        <f t="shared" si="58"/>
        <v>19750.413952142593</v>
      </c>
      <c r="F58" s="2"/>
      <c r="G58" s="2">
        <f t="shared" si="45"/>
        <v>34538.663835783474</v>
      </c>
      <c r="H58" s="2">
        <f t="shared" si="15"/>
        <v>97361.848224898131</v>
      </c>
      <c r="I58" s="2">
        <f t="shared" si="43"/>
        <v>226510.33952090456</v>
      </c>
      <c r="J58" s="2">
        <f t="shared" si="16"/>
        <v>-88551.79295590063</v>
      </c>
      <c r="K58" s="6">
        <f t="shared" si="17"/>
        <v>-0.28106136481641381</v>
      </c>
      <c r="L58" s="7">
        <f t="shared" si="18"/>
        <v>0.71893863518358625</v>
      </c>
      <c r="N58">
        <f t="shared" si="19"/>
        <v>2008</v>
      </c>
      <c r="O58" s="2">
        <f t="shared" si="20"/>
        <v>6375.0979565249745</v>
      </c>
      <c r="P58" s="2"/>
      <c r="Q58" s="2"/>
      <c r="R58">
        <f t="shared" si="21"/>
        <v>2008</v>
      </c>
      <c r="S58" s="2">
        <f t="shared" si="59"/>
        <v>37638.825886747261</v>
      </c>
      <c r="T58" s="2"/>
      <c r="U58" s="2">
        <f t="shared" si="60"/>
        <v>34670.54843872309</v>
      </c>
      <c r="V58" s="2">
        <f t="shared" si="60"/>
        <v>18475.394360837599</v>
      </c>
      <c r="W58" s="2"/>
      <c r="X58" s="2">
        <f t="shared" si="61"/>
        <v>33263.644244478477</v>
      </c>
      <c r="Y58" s="2">
        <f t="shared" si="61"/>
        <v>96086.828633593133</v>
      </c>
      <c r="Z58" s="2">
        <f t="shared" si="24"/>
        <v>220135.24156437957</v>
      </c>
      <c r="AA58" s="2">
        <f t="shared" si="67"/>
        <v>-88802.877505581215</v>
      </c>
      <c r="AB58" s="6">
        <f t="shared" si="68"/>
        <v>-0.28744551748070718</v>
      </c>
      <c r="AC58" s="7">
        <f t="shared" si="27"/>
        <v>0.71255448251929288</v>
      </c>
      <c r="AD58" s="2">
        <f t="shared" si="28"/>
        <v>0</v>
      </c>
      <c r="AE58" s="2"/>
      <c r="AG58">
        <f t="shared" si="29"/>
        <v>2008</v>
      </c>
      <c r="AH58" s="6">
        <f t="shared" si="66"/>
        <v>0.1709804646419579</v>
      </c>
      <c r="AI58" s="7"/>
      <c r="AJ58" s="6">
        <f t="shared" si="56"/>
        <v>0.15749658342907139</v>
      </c>
      <c r="AK58" s="6">
        <f t="shared" si="56"/>
        <v>8.3927472173665502E-2</v>
      </c>
      <c r="AL58" s="7"/>
      <c r="AM58" s="38">
        <f t="shared" si="69"/>
        <v>0.15110549318724312</v>
      </c>
      <c r="AN58" s="38">
        <f t="shared" si="31"/>
        <v>0.43648998656806204</v>
      </c>
      <c r="AO58" s="6">
        <f t="shared" si="32"/>
        <v>0.99999999999999989</v>
      </c>
      <c r="AP58" s="7">
        <f t="shared" si="33"/>
        <v>0.56351001343193785</v>
      </c>
      <c r="AQ58" s="7">
        <f t="shared" si="34"/>
        <v>0</v>
      </c>
      <c r="AR58" s="24"/>
      <c r="AS58">
        <f t="shared" si="35"/>
        <v>2008</v>
      </c>
      <c r="AT58" s="1" t="b">
        <f t="shared" si="36"/>
        <v>1</v>
      </c>
      <c r="AV58" s="1" t="b">
        <f t="shared" si="62"/>
        <v>1</v>
      </c>
      <c r="AW58" s="1" t="b">
        <f t="shared" si="63"/>
        <v>1</v>
      </c>
      <c r="AY58" s="1" t="b">
        <f t="shared" si="49"/>
        <v>1</v>
      </c>
      <c r="AZ58" s="1" t="b">
        <f t="shared" si="38"/>
        <v>0</v>
      </c>
      <c r="BA58" s="1" t="b">
        <f t="shared" si="39"/>
        <v>1</v>
      </c>
      <c r="BC58">
        <f t="shared" si="40"/>
        <v>2008</v>
      </c>
      <c r="BD58" s="2">
        <f t="shared" si="64"/>
        <v>44027.048312875915</v>
      </c>
      <c r="BE58" s="2"/>
      <c r="BF58" s="2">
        <f t="shared" si="50"/>
        <v>44027.048312875915</v>
      </c>
      <c r="BG58" s="2">
        <f t="shared" si="50"/>
        <v>22013.524156437958</v>
      </c>
      <c r="BH58" s="2"/>
      <c r="BI58" s="2">
        <f t="shared" si="65"/>
        <v>44027.048312875915</v>
      </c>
      <c r="BJ58" s="2">
        <f t="shared" si="11"/>
        <v>66040.572469313862</v>
      </c>
      <c r="BK58" s="2">
        <f t="shared" si="41"/>
        <v>220135.24156437957</v>
      </c>
      <c r="BL58" s="2">
        <f t="shared" si="42"/>
        <v>0</v>
      </c>
      <c r="BM58" s="2"/>
    </row>
    <row r="59" spans="1:65" x14ac:dyDescent="0.2">
      <c r="A59">
        <f t="shared" si="6"/>
        <v>2009</v>
      </c>
      <c r="B59" s="2">
        <f t="shared" si="55"/>
        <v>55689.81341095674</v>
      </c>
      <c r="C59" s="2"/>
      <c r="D59" s="2">
        <f t="shared" si="57"/>
        <v>61733.846603348349</v>
      </c>
      <c r="E59" s="2">
        <f t="shared" si="58"/>
        <v>29964.368811260221</v>
      </c>
      <c r="F59" s="2"/>
      <c r="G59" s="2">
        <f t="shared" si="45"/>
        <v>60196.862346745853</v>
      </c>
      <c r="H59" s="2">
        <f t="shared" si="15"/>
        <v>69956.778416744171</v>
      </c>
      <c r="I59" s="2">
        <f t="shared" si="43"/>
        <v>277541.66958905535</v>
      </c>
      <c r="J59" s="2">
        <f t="shared" si="16"/>
        <v>51031.330068150797</v>
      </c>
      <c r="K59" s="6">
        <f t="shared" si="17"/>
        <v>0.22529360106071949</v>
      </c>
      <c r="L59" s="7">
        <f t="shared" si="18"/>
        <v>1.2252936010607196</v>
      </c>
      <c r="N59">
        <f t="shared" si="19"/>
        <v>2009</v>
      </c>
      <c r="O59" s="2">
        <f t="shared" si="20"/>
        <v>6375.0979565249745</v>
      </c>
      <c r="P59" s="2"/>
      <c r="Q59" s="2"/>
      <c r="R59">
        <f t="shared" si="21"/>
        <v>2009</v>
      </c>
      <c r="S59" s="2">
        <f t="shared" si="59"/>
        <v>54414.793819651743</v>
      </c>
      <c r="T59" s="2"/>
      <c r="U59" s="2">
        <f t="shared" si="60"/>
        <v>60458.827012043352</v>
      </c>
      <c r="V59" s="2">
        <f t="shared" si="60"/>
        <v>28689.349219955227</v>
      </c>
      <c r="W59" s="2"/>
      <c r="X59" s="2">
        <f t="shared" si="61"/>
        <v>58921.842755440855</v>
      </c>
      <c r="Y59" s="2">
        <f t="shared" si="61"/>
        <v>68681.758825439174</v>
      </c>
      <c r="Z59" s="2">
        <f t="shared" si="24"/>
        <v>271166.57163253031</v>
      </c>
      <c r="AA59" s="2">
        <f t="shared" si="67"/>
        <v>51031.330068150739</v>
      </c>
      <c r="AB59" s="6">
        <f t="shared" si="68"/>
        <v>0.23181808467149223</v>
      </c>
      <c r="AC59" s="7">
        <f t="shared" si="27"/>
        <v>1.2318180846714921</v>
      </c>
      <c r="AD59" s="2">
        <f t="shared" si="28"/>
        <v>0</v>
      </c>
      <c r="AE59" s="2"/>
      <c r="AG59">
        <f t="shared" si="29"/>
        <v>2009</v>
      </c>
      <c r="AH59" s="6">
        <f t="shared" si="66"/>
        <v>0.20066925466532656</v>
      </c>
      <c r="AI59" s="7"/>
      <c r="AJ59" s="6">
        <f t="shared" si="56"/>
        <v>0.2229582601131741</v>
      </c>
      <c r="AK59" s="6">
        <f t="shared" si="56"/>
        <v>0.10579972688828851</v>
      </c>
      <c r="AL59" s="7"/>
      <c r="AM59" s="6">
        <f t="shared" si="69"/>
        <v>0.21729021538572396</v>
      </c>
      <c r="AN59" s="6">
        <f t="shared" si="31"/>
        <v>0.25328254294748703</v>
      </c>
      <c r="AO59" s="6">
        <f t="shared" si="32"/>
        <v>1.0000000000000002</v>
      </c>
      <c r="AP59" s="7">
        <f t="shared" si="33"/>
        <v>0.74671745705251324</v>
      </c>
      <c r="AQ59" s="7">
        <f t="shared" si="34"/>
        <v>0</v>
      </c>
      <c r="AR59" s="24"/>
      <c r="AS59">
        <f t="shared" si="35"/>
        <v>2009</v>
      </c>
      <c r="AT59" s="1" t="b">
        <f t="shared" si="36"/>
        <v>1</v>
      </c>
      <c r="AV59" s="1" t="b">
        <f t="shared" si="62"/>
        <v>1</v>
      </c>
      <c r="AW59" s="1" t="b">
        <f t="shared" si="63"/>
        <v>1</v>
      </c>
      <c r="AY59" s="1" t="b">
        <f t="shared" si="49"/>
        <v>1</v>
      </c>
      <c r="AZ59" s="1" t="b">
        <f t="shared" si="38"/>
        <v>1</v>
      </c>
      <c r="BA59" s="1" t="b">
        <f t="shared" si="39"/>
        <v>1</v>
      </c>
      <c r="BC59">
        <f t="shared" si="40"/>
        <v>2009</v>
      </c>
      <c r="BD59" s="2">
        <f t="shared" si="64"/>
        <v>54233.314326506064</v>
      </c>
      <c r="BE59" s="2"/>
      <c r="BF59" s="2">
        <f t="shared" si="50"/>
        <v>54233.314326506064</v>
      </c>
      <c r="BG59" s="2">
        <f t="shared" si="50"/>
        <v>27116.657163253032</v>
      </c>
      <c r="BH59" s="2"/>
      <c r="BI59" s="2">
        <f t="shared" si="65"/>
        <v>54233.314326506064</v>
      </c>
      <c r="BJ59" s="2">
        <f t="shared" si="11"/>
        <v>81349.971489759089</v>
      </c>
      <c r="BK59" s="2">
        <f t="shared" si="41"/>
        <v>271166.57163253031</v>
      </c>
      <c r="BL59" s="2">
        <f t="shared" si="42"/>
        <v>0</v>
      </c>
      <c r="BM59" s="2"/>
    </row>
    <row r="60" spans="1:65" x14ac:dyDescent="0.2">
      <c r="A60">
        <f t="shared" si="6"/>
        <v>2010</v>
      </c>
      <c r="B60" s="2">
        <f t="shared" si="55"/>
        <v>62319.501492588119</v>
      </c>
      <c r="C60" s="2"/>
      <c r="D60" s="2">
        <f t="shared" si="57"/>
        <v>68041.116154034506</v>
      </c>
      <c r="E60" s="2">
        <f t="shared" si="58"/>
        <v>34633.394528906778</v>
      </c>
      <c r="F60" s="2"/>
      <c r="G60" s="2">
        <f t="shared" si="45"/>
        <v>60264.058879613534</v>
      </c>
      <c r="H60" s="2">
        <f t="shared" si="15"/>
        <v>86572.639659401626</v>
      </c>
      <c r="I60" s="2">
        <f t="shared" si="43"/>
        <v>311830.71071454452</v>
      </c>
      <c r="J60" s="2">
        <f t="shared" si="16"/>
        <v>34289.041125489166</v>
      </c>
      <c r="K60" s="6">
        <f t="shared" si="17"/>
        <v>0.1235455604783943</v>
      </c>
      <c r="L60" s="7">
        <f t="shared" si="18"/>
        <v>1.1235455604783944</v>
      </c>
      <c r="N60">
        <f t="shared" si="19"/>
        <v>2010</v>
      </c>
      <c r="O60" s="2">
        <f t="shared" si="20"/>
        <v>6553.6006993076744</v>
      </c>
      <c r="P60" s="2"/>
      <c r="Q60" s="2"/>
      <c r="R60">
        <f t="shared" si="21"/>
        <v>2010</v>
      </c>
      <c r="S60" s="2">
        <f t="shared" si="59"/>
        <v>61008.781352726583</v>
      </c>
      <c r="T60" s="2"/>
      <c r="U60" s="2">
        <f t="shared" si="60"/>
        <v>66730.396014172977</v>
      </c>
      <c r="V60" s="2">
        <f t="shared" si="60"/>
        <v>33322.674389045242</v>
      </c>
      <c r="W60" s="2"/>
      <c r="X60" s="2">
        <f t="shared" si="61"/>
        <v>58953.338739751998</v>
      </c>
      <c r="Y60" s="2">
        <f t="shared" si="61"/>
        <v>85261.919519540097</v>
      </c>
      <c r="Z60" s="2">
        <f t="shared" si="24"/>
        <v>305277.11001523689</v>
      </c>
      <c r="AA60" s="2">
        <f t="shared" si="67"/>
        <v>34110.538382706582</v>
      </c>
      <c r="AB60" s="6">
        <f t="shared" si="68"/>
        <v>0.1257918266892103</v>
      </c>
      <c r="AC60" s="7">
        <f t="shared" si="27"/>
        <v>1.1257918266892104</v>
      </c>
      <c r="AD60" s="2">
        <f t="shared" si="28"/>
        <v>0</v>
      </c>
      <c r="AE60" s="2"/>
      <c r="AG60">
        <f t="shared" si="29"/>
        <v>2010</v>
      </c>
      <c r="AH60" s="6">
        <f t="shared" si="66"/>
        <v>0.199847218645648</v>
      </c>
      <c r="AI60" s="7"/>
      <c r="AJ60" s="6">
        <f t="shared" si="56"/>
        <v>0.21858958246441193</v>
      </c>
      <c r="AK60" s="6">
        <f t="shared" si="56"/>
        <v>0.10915549609134485</v>
      </c>
      <c r="AL60" s="7"/>
      <c r="AM60" s="6">
        <f t="shared" si="69"/>
        <v>0.19311417988990245</v>
      </c>
      <c r="AN60" s="38">
        <f t="shared" si="31"/>
        <v>0.2792935229086928</v>
      </c>
      <c r="AO60" s="6">
        <f t="shared" si="32"/>
        <v>1</v>
      </c>
      <c r="AP60" s="7">
        <f t="shared" si="33"/>
        <v>0.7207064770913072</v>
      </c>
      <c r="AQ60" s="7">
        <f t="shared" si="34"/>
        <v>0</v>
      </c>
      <c r="AR60" s="24"/>
      <c r="AS60">
        <f t="shared" si="35"/>
        <v>2010</v>
      </c>
      <c r="AT60" s="1" t="b">
        <f t="shared" si="36"/>
        <v>1</v>
      </c>
      <c r="AV60" s="1" t="b">
        <f t="shared" si="62"/>
        <v>1</v>
      </c>
      <c r="AW60" s="1" t="b">
        <f t="shared" si="63"/>
        <v>1</v>
      </c>
      <c r="AY60" s="1" t="b">
        <f t="shared" si="49"/>
        <v>1</v>
      </c>
      <c r="AZ60" s="39" t="b">
        <f t="shared" si="38"/>
        <v>1</v>
      </c>
      <c r="BA60" s="1" t="b">
        <f t="shared" si="39"/>
        <v>1</v>
      </c>
      <c r="BC60">
        <f t="shared" si="40"/>
        <v>2010</v>
      </c>
      <c r="BD60" s="2">
        <f t="shared" si="64"/>
        <v>61055.422003047381</v>
      </c>
      <c r="BE60" s="2"/>
      <c r="BF60" s="2">
        <f t="shared" si="50"/>
        <v>61055.422003047381</v>
      </c>
      <c r="BG60" s="2">
        <f t="shared" si="50"/>
        <v>30527.71100152369</v>
      </c>
      <c r="BH60" s="2"/>
      <c r="BI60" s="2">
        <f t="shared" si="65"/>
        <v>61055.422003047381</v>
      </c>
      <c r="BJ60" s="2">
        <f t="shared" si="11"/>
        <v>91583.133004571064</v>
      </c>
      <c r="BK60" s="2">
        <f t="shared" si="41"/>
        <v>305277.11001523689</v>
      </c>
      <c r="BL60" s="2">
        <f t="shared" si="42"/>
        <v>0</v>
      </c>
      <c r="BM60" s="2"/>
    </row>
    <row r="61" spans="1:65" x14ac:dyDescent="0.2">
      <c r="A61">
        <f t="shared" si="6"/>
        <v>2011</v>
      </c>
      <c r="B61" s="2">
        <f t="shared" si="55"/>
        <v>62258.213816507414</v>
      </c>
      <c r="C61" s="2"/>
      <c r="D61" s="2">
        <f t="shared" si="57"/>
        <v>59767.152598783083</v>
      </c>
      <c r="E61" s="2">
        <f t="shared" si="58"/>
        <v>29672.935093481025</v>
      </c>
      <c r="F61" s="2"/>
      <c r="G61" s="2">
        <f t="shared" si="45"/>
        <v>52165.752559403685</v>
      </c>
      <c r="H61" s="2">
        <f t="shared" si="15"/>
        <v>98506.817859716641</v>
      </c>
      <c r="I61" s="2">
        <f t="shared" si="43"/>
        <v>302370.87192789186</v>
      </c>
      <c r="J61" s="2">
        <f t="shared" si="16"/>
        <v>-9459.8387866526609</v>
      </c>
      <c r="K61" s="6">
        <f t="shared" si="17"/>
        <v>-3.0336456486200196E-2</v>
      </c>
      <c r="L61" s="7">
        <f t="shared" si="18"/>
        <v>0.9696635435137998</v>
      </c>
      <c r="N61">
        <f t="shared" si="19"/>
        <v>2011</v>
      </c>
      <c r="O61" s="2">
        <f t="shared" si="20"/>
        <v>6645.3511090979819</v>
      </c>
      <c r="P61" s="2"/>
      <c r="Q61" s="2"/>
      <c r="R61">
        <f t="shared" si="21"/>
        <v>2011</v>
      </c>
      <c r="S61" s="2">
        <f t="shared" si="59"/>
        <v>60929.143594687819</v>
      </c>
      <c r="T61" s="2"/>
      <c r="U61" s="2">
        <f t="shared" si="60"/>
        <v>58438.082376963488</v>
      </c>
      <c r="V61" s="2">
        <f t="shared" si="60"/>
        <v>28343.86487166143</v>
      </c>
      <c r="W61" s="2"/>
      <c r="X61" s="2">
        <f t="shared" si="61"/>
        <v>50836.68233758409</v>
      </c>
      <c r="Y61" s="2">
        <f t="shared" si="61"/>
        <v>97177.747637897046</v>
      </c>
      <c r="Z61" s="2">
        <f t="shared" si="24"/>
        <v>295725.52081879386</v>
      </c>
      <c r="AA61" s="2">
        <f t="shared" si="67"/>
        <v>-9551.5891964430339</v>
      </c>
      <c r="AB61" s="6">
        <f t="shared" si="68"/>
        <v>-3.1288258710147961E-2</v>
      </c>
      <c r="AC61" s="7">
        <f t="shared" si="27"/>
        <v>0.96871174128985205</v>
      </c>
      <c r="AD61" s="2">
        <f t="shared" si="28"/>
        <v>0</v>
      </c>
      <c r="AE61" s="2"/>
      <c r="AG61">
        <f t="shared" si="29"/>
        <v>2011</v>
      </c>
      <c r="AH61" s="6">
        <f t="shared" si="66"/>
        <v>0.20603275437976901</v>
      </c>
      <c r="AI61" s="7"/>
      <c r="AJ61" s="6">
        <f t="shared" si="56"/>
        <v>0.19760919590288417</v>
      </c>
      <c r="AK61" s="6">
        <f t="shared" si="56"/>
        <v>9.5845176950518127E-2</v>
      </c>
      <c r="AL61" s="7"/>
      <c r="AM61" s="6">
        <f t="shared" si="69"/>
        <v>0.17190495496239003</v>
      </c>
      <c r="AN61" s="6">
        <f t="shared" si="31"/>
        <v>0.32860791780443871</v>
      </c>
      <c r="AO61" s="6">
        <f t="shared" si="32"/>
        <v>1</v>
      </c>
      <c r="AP61" s="7">
        <f t="shared" si="33"/>
        <v>0.67139208219556135</v>
      </c>
      <c r="AQ61" s="7">
        <f t="shared" si="34"/>
        <v>0</v>
      </c>
      <c r="AR61" s="24"/>
      <c r="AS61">
        <f t="shared" si="35"/>
        <v>2011</v>
      </c>
      <c r="AT61" s="1" t="b">
        <f t="shared" si="36"/>
        <v>1</v>
      </c>
      <c r="AV61" s="1" t="b">
        <f t="shared" si="62"/>
        <v>1</v>
      </c>
      <c r="AW61" s="1" t="b">
        <f t="shared" si="63"/>
        <v>1</v>
      </c>
      <c r="AY61" s="1" t="b">
        <f t="shared" si="49"/>
        <v>1</v>
      </c>
      <c r="AZ61" s="1" t="b">
        <f t="shared" si="38"/>
        <v>1</v>
      </c>
      <c r="BA61" s="1" t="b">
        <f t="shared" si="39"/>
        <v>1</v>
      </c>
      <c r="BC61">
        <f t="shared" si="40"/>
        <v>2011</v>
      </c>
      <c r="BD61" s="2">
        <f t="shared" si="64"/>
        <v>59145.104163758777</v>
      </c>
      <c r="BE61" s="2"/>
      <c r="BF61" s="2">
        <f t="shared" si="50"/>
        <v>59145.104163758777</v>
      </c>
      <c r="BG61" s="2">
        <f t="shared" si="50"/>
        <v>29572.552081879388</v>
      </c>
      <c r="BH61" s="2"/>
      <c r="BI61" s="2">
        <f t="shared" si="65"/>
        <v>59145.104163758777</v>
      </c>
      <c r="BJ61" s="2">
        <f t="shared" si="11"/>
        <v>88717.656245638151</v>
      </c>
      <c r="BK61" s="2">
        <f t="shared" si="41"/>
        <v>295725.52081879386</v>
      </c>
      <c r="BL61" s="2">
        <f t="shared" si="42"/>
        <v>0</v>
      </c>
      <c r="BM61" s="2"/>
    </row>
    <row r="62" spans="1:65" x14ac:dyDescent="0.2">
      <c r="A62">
        <f t="shared" si="6"/>
        <v>2012</v>
      </c>
      <c r="B62" s="2">
        <f t="shared" si="55"/>
        <v>68501.85964246541</v>
      </c>
      <c r="C62" s="2"/>
      <c r="D62" s="2">
        <f t="shared" si="57"/>
        <v>68490.030621632657</v>
      </c>
      <c r="E62" s="2">
        <f t="shared" si="58"/>
        <v>34907.440477450436</v>
      </c>
      <c r="F62" s="2"/>
      <c r="G62" s="2">
        <f t="shared" si="45"/>
        <v>69874.026059064621</v>
      </c>
      <c r="H62" s="2">
        <f t="shared" si="15"/>
        <v>92310.721323586491</v>
      </c>
      <c r="I62" s="2">
        <f t="shared" si="43"/>
        <v>334084.07812419959</v>
      </c>
      <c r="J62" s="2">
        <f t="shared" si="16"/>
        <v>31713.206196307729</v>
      </c>
      <c r="K62" s="6">
        <f t="shared" si="17"/>
        <v>0.10488181614223265</v>
      </c>
      <c r="L62" s="7">
        <f t="shared" si="18"/>
        <v>1.1048818161422327</v>
      </c>
      <c r="N62">
        <f t="shared" si="19"/>
        <v>2012</v>
      </c>
      <c r="O62" s="2">
        <f t="shared" si="20"/>
        <v>6844.7116423709213</v>
      </c>
      <c r="P62" s="2"/>
      <c r="Q62" s="2"/>
      <c r="R62">
        <f t="shared" si="21"/>
        <v>2012</v>
      </c>
      <c r="S62" s="2">
        <f t="shared" si="59"/>
        <v>67132.917313991231</v>
      </c>
      <c r="T62" s="2"/>
      <c r="U62" s="2">
        <f t="shared" si="60"/>
        <v>67121.088293158478</v>
      </c>
      <c r="V62" s="2">
        <f t="shared" si="60"/>
        <v>33538.49814897625</v>
      </c>
      <c r="W62" s="2"/>
      <c r="X62" s="2">
        <f t="shared" si="61"/>
        <v>68505.083730590442</v>
      </c>
      <c r="Y62" s="2">
        <f t="shared" si="61"/>
        <v>90941.778995112312</v>
      </c>
      <c r="Z62" s="2">
        <f t="shared" si="24"/>
        <v>327239.36648182874</v>
      </c>
      <c r="AA62" s="2">
        <f t="shared" si="67"/>
        <v>31513.845663034881</v>
      </c>
      <c r="AB62" s="6">
        <f t="shared" si="68"/>
        <v>0.1065645114962703</v>
      </c>
      <c r="AC62" s="7">
        <f t="shared" si="27"/>
        <v>1.1065645114962703</v>
      </c>
      <c r="AD62" s="2">
        <f t="shared" si="28"/>
        <v>0</v>
      </c>
      <c r="AE62" s="2"/>
      <c r="AG62">
        <f t="shared" si="29"/>
        <v>2012</v>
      </c>
      <c r="AH62" s="6">
        <f t="shared" si="66"/>
        <v>0.20514927050416182</v>
      </c>
      <c r="AI62" s="7"/>
      <c r="AJ62" s="6">
        <f t="shared" si="56"/>
        <v>0.20511312258907469</v>
      </c>
      <c r="AK62" s="6">
        <f t="shared" si="56"/>
        <v>0.10248919165670921</v>
      </c>
      <c r="AL62" s="7"/>
      <c r="AM62" s="6">
        <f t="shared" si="69"/>
        <v>0.20934242865426908</v>
      </c>
      <c r="AN62" s="38">
        <f t="shared" si="31"/>
        <v>0.27790598659578514</v>
      </c>
      <c r="AO62" s="6">
        <f t="shared" si="32"/>
        <v>1</v>
      </c>
      <c r="AP62" s="7">
        <f t="shared" si="33"/>
        <v>0.72209401340421486</v>
      </c>
      <c r="AQ62" s="7">
        <f t="shared" si="34"/>
        <v>0</v>
      </c>
      <c r="AR62" s="24"/>
      <c r="AS62">
        <f t="shared" si="35"/>
        <v>2012</v>
      </c>
      <c r="AT62" s="1" t="b">
        <f t="shared" si="36"/>
        <v>1</v>
      </c>
      <c r="AV62" s="1" t="b">
        <f t="shared" si="62"/>
        <v>1</v>
      </c>
      <c r="AW62" s="1" t="b">
        <f t="shared" si="63"/>
        <v>1</v>
      </c>
      <c r="AY62" s="1" t="b">
        <f t="shared" si="49"/>
        <v>1</v>
      </c>
      <c r="AZ62" s="1" t="b">
        <f t="shared" si="38"/>
        <v>1</v>
      </c>
      <c r="BA62" s="1" t="b">
        <f t="shared" si="39"/>
        <v>1</v>
      </c>
      <c r="BC62">
        <f t="shared" si="40"/>
        <v>2012</v>
      </c>
      <c r="BD62" s="2">
        <f t="shared" si="64"/>
        <v>65447.873296365753</v>
      </c>
      <c r="BE62" s="2"/>
      <c r="BF62" s="2">
        <f t="shared" si="50"/>
        <v>65447.873296365753</v>
      </c>
      <c r="BG62" s="2">
        <f t="shared" si="50"/>
        <v>32723.936648182877</v>
      </c>
      <c r="BH62" s="2"/>
      <c r="BI62" s="2">
        <f t="shared" si="65"/>
        <v>65447.873296365753</v>
      </c>
      <c r="BJ62" s="2">
        <f t="shared" si="11"/>
        <v>98171.809944548615</v>
      </c>
      <c r="BK62" s="2">
        <f t="shared" si="41"/>
        <v>327239.36648182874</v>
      </c>
      <c r="BL62" s="2">
        <f t="shared" si="42"/>
        <v>0</v>
      </c>
      <c r="BM62" s="2"/>
    </row>
    <row r="63" spans="1:65" x14ac:dyDescent="0.2">
      <c r="A63">
        <f t="shared" si="6"/>
        <v>2013</v>
      </c>
      <c r="B63" s="2">
        <f t="shared" si="55"/>
        <v>86508.998923136256</v>
      </c>
      <c r="C63" s="2"/>
      <c r="D63" s="2">
        <f t="shared" si="57"/>
        <v>88354.628950093771</v>
      </c>
      <c r="E63" s="2">
        <f t="shared" si="58"/>
        <v>45034.681615229267</v>
      </c>
      <c r="F63" s="2"/>
      <c r="G63" s="2">
        <f t="shared" si="45"/>
        <v>75291.233440139156</v>
      </c>
      <c r="H63" s="2">
        <f t="shared" si="15"/>
        <v>95953.127039801824</v>
      </c>
      <c r="I63" s="2">
        <f t="shared" si="43"/>
        <v>391142.66996840027</v>
      </c>
      <c r="J63" s="2">
        <f t="shared" si="16"/>
        <v>57058.59184420068</v>
      </c>
      <c r="K63" s="6">
        <f t="shared" si="17"/>
        <v>0.17079111391530755</v>
      </c>
      <c r="L63" s="7">
        <f t="shared" si="18"/>
        <v>1.1707911139153075</v>
      </c>
      <c r="N63">
        <f t="shared" si="19"/>
        <v>2013</v>
      </c>
      <c r="O63" s="2">
        <f t="shared" si="20"/>
        <v>6967.9164519335982</v>
      </c>
      <c r="P63" s="2"/>
      <c r="Q63" s="2"/>
      <c r="R63">
        <f t="shared" si="21"/>
        <v>2013</v>
      </c>
      <c r="S63" s="2">
        <f t="shared" si="59"/>
        <v>85115.415632749529</v>
      </c>
      <c r="T63" s="2"/>
      <c r="U63" s="2">
        <f t="shared" si="60"/>
        <v>86961.045659707044</v>
      </c>
      <c r="V63" s="2">
        <f t="shared" si="60"/>
        <v>43641.098324842547</v>
      </c>
      <c r="W63" s="2"/>
      <c r="X63" s="2">
        <f t="shared" si="61"/>
        <v>73897.65014975243</v>
      </c>
      <c r="Y63" s="2">
        <f t="shared" si="61"/>
        <v>94559.543749415097</v>
      </c>
      <c r="Z63" s="2">
        <f t="shared" si="24"/>
        <v>384174.75351646665</v>
      </c>
      <c r="AA63" s="2">
        <f t="shared" si="67"/>
        <v>56935.387034637912</v>
      </c>
      <c r="AB63" s="6">
        <f t="shared" si="68"/>
        <v>0.17398697365403767</v>
      </c>
      <c r="AC63" s="7">
        <f t="shared" si="27"/>
        <v>1.1739869736540376</v>
      </c>
      <c r="AD63" s="2">
        <f t="shared" si="28"/>
        <v>0</v>
      </c>
      <c r="AE63" s="2"/>
      <c r="AG63">
        <f t="shared" si="29"/>
        <v>2013</v>
      </c>
      <c r="AH63" s="6">
        <f t="shared" si="66"/>
        <v>0.22155390184717402</v>
      </c>
      <c r="AI63" s="7"/>
      <c r="AJ63" s="6">
        <f t="shared" si="56"/>
        <v>0.22635804373849799</v>
      </c>
      <c r="AK63" s="6">
        <f t="shared" si="56"/>
        <v>0.11359699700561397</v>
      </c>
      <c r="AL63" s="7"/>
      <c r="AM63" s="6">
        <f t="shared" si="69"/>
        <v>0.19235425928785035</v>
      </c>
      <c r="AN63" s="6">
        <f t="shared" si="31"/>
        <v>0.24613679812086364</v>
      </c>
      <c r="AO63" s="6">
        <f t="shared" si="32"/>
        <v>1</v>
      </c>
      <c r="AP63" s="7">
        <f t="shared" si="33"/>
        <v>0.75386320187913636</v>
      </c>
      <c r="AQ63" s="7">
        <f t="shared" si="34"/>
        <v>0</v>
      </c>
      <c r="AR63" s="24"/>
      <c r="AS63">
        <f t="shared" si="35"/>
        <v>2013</v>
      </c>
      <c r="AT63" s="1" t="b">
        <f t="shared" si="36"/>
        <v>1</v>
      </c>
      <c r="AV63" s="1" t="b">
        <f t="shared" si="62"/>
        <v>1</v>
      </c>
      <c r="AW63" s="1" t="b">
        <f t="shared" si="63"/>
        <v>1</v>
      </c>
      <c r="AY63" s="1" t="b">
        <f t="shared" si="49"/>
        <v>1</v>
      </c>
      <c r="AZ63" s="1" t="b">
        <f t="shared" si="38"/>
        <v>0</v>
      </c>
      <c r="BA63" s="1" t="b">
        <f t="shared" si="39"/>
        <v>1</v>
      </c>
      <c r="BC63">
        <f t="shared" si="40"/>
        <v>2013</v>
      </c>
      <c r="BD63" s="2">
        <f t="shared" si="64"/>
        <v>76834.950703293332</v>
      </c>
      <c r="BE63" s="2"/>
      <c r="BF63" s="2">
        <f t="shared" si="50"/>
        <v>76834.950703293332</v>
      </c>
      <c r="BG63" s="2">
        <f t="shared" si="50"/>
        <v>38417.475351646666</v>
      </c>
      <c r="BH63" s="2"/>
      <c r="BI63" s="2">
        <f t="shared" si="65"/>
        <v>76834.950703293332</v>
      </c>
      <c r="BJ63" s="2">
        <f t="shared" si="11"/>
        <v>115252.42605493999</v>
      </c>
      <c r="BK63" s="2">
        <f t="shared" si="41"/>
        <v>384174.75351646665</v>
      </c>
      <c r="BL63" s="2">
        <f t="shared" si="42"/>
        <v>0</v>
      </c>
      <c r="BM63" s="2"/>
    </row>
    <row r="64" spans="1:65" x14ac:dyDescent="0.2">
      <c r="A64">
        <f t="shared" si="6"/>
        <v>2014</v>
      </c>
      <c r="B64" s="2">
        <f t="shared" si="55"/>
        <v>87215.352543308269</v>
      </c>
      <c r="C64" s="2"/>
      <c r="D64" s="2">
        <f t="shared" si="57"/>
        <v>87284.503998941233</v>
      </c>
      <c r="E64" s="2">
        <f t="shared" si="58"/>
        <v>41248.843285063027</v>
      </c>
      <c r="F64" s="2"/>
      <c r="G64" s="2">
        <f t="shared" si="45"/>
        <v>73577.148793473694</v>
      </c>
      <c r="H64" s="2">
        <f t="shared" si="15"/>
        <v>121890.96579570454</v>
      </c>
      <c r="I64" s="2">
        <f t="shared" si="43"/>
        <v>411216.81441649073</v>
      </c>
      <c r="J64" s="2">
        <f t="shared" si="16"/>
        <v>20074.144448090461</v>
      </c>
      <c r="K64" s="6">
        <f t="shared" si="17"/>
        <v>5.1321796340225975E-2</v>
      </c>
      <c r="L64" s="7">
        <f t="shared" si="18"/>
        <v>1.0513217963402259</v>
      </c>
      <c r="N64">
        <f t="shared" si="19"/>
        <v>2014</v>
      </c>
      <c r="O64" s="2">
        <f t="shared" si="20"/>
        <v>7048.4371164880158</v>
      </c>
      <c r="P64" s="2"/>
      <c r="Q64" s="2"/>
      <c r="R64">
        <f t="shared" si="21"/>
        <v>2014</v>
      </c>
      <c r="S64" s="2">
        <f t="shared" si="59"/>
        <v>85805.665120010672</v>
      </c>
      <c r="T64" s="2"/>
      <c r="U64" s="2">
        <f t="shared" si="60"/>
        <v>85874.816575643636</v>
      </c>
      <c r="V64" s="2">
        <f t="shared" si="60"/>
        <v>39839.155861765423</v>
      </c>
      <c r="W64" s="2"/>
      <c r="X64" s="2">
        <f t="shared" si="61"/>
        <v>72167.461370176097</v>
      </c>
      <c r="Y64" s="2">
        <f t="shared" si="61"/>
        <v>120481.27837240694</v>
      </c>
      <c r="Z64" s="2">
        <f t="shared" si="24"/>
        <v>404168.37730000279</v>
      </c>
      <c r="AA64" s="2">
        <f t="shared" si="67"/>
        <v>19993.623783536139</v>
      </c>
      <c r="AB64" s="6">
        <f t="shared" si="68"/>
        <v>5.2043044475277224E-2</v>
      </c>
      <c r="AC64" s="7">
        <f t="shared" si="27"/>
        <v>1.0520430444752773</v>
      </c>
      <c r="AD64" s="2">
        <f t="shared" si="28"/>
        <v>0</v>
      </c>
      <c r="AE64" s="2"/>
      <c r="AG64">
        <f t="shared" si="29"/>
        <v>2014</v>
      </c>
      <c r="AH64" s="6">
        <f t="shared" si="66"/>
        <v>0.21230177801941083</v>
      </c>
      <c r="AI64" s="7"/>
      <c r="AJ64" s="6">
        <f t="shared" si="56"/>
        <v>0.21247287368032056</v>
      </c>
      <c r="AK64" s="6">
        <f t="shared" si="56"/>
        <v>9.8570690086903903E-2</v>
      </c>
      <c r="AL64" s="7"/>
      <c r="AM64" s="6">
        <f t="shared" si="69"/>
        <v>0.17855791156221068</v>
      </c>
      <c r="AN64" s="6">
        <f t="shared" si="31"/>
        <v>0.29809674665115399</v>
      </c>
      <c r="AO64" s="6">
        <f t="shared" si="32"/>
        <v>1</v>
      </c>
      <c r="AP64" s="7">
        <f t="shared" si="33"/>
        <v>0.70190325334884596</v>
      </c>
      <c r="AQ64" s="7">
        <f t="shared" si="34"/>
        <v>0</v>
      </c>
      <c r="AR64" s="24"/>
      <c r="AS64">
        <f t="shared" si="35"/>
        <v>2014</v>
      </c>
      <c r="AT64" s="1" t="b">
        <f t="shared" si="36"/>
        <v>1</v>
      </c>
      <c r="AV64" s="1" t="b">
        <f t="shared" si="62"/>
        <v>1</v>
      </c>
      <c r="AW64" s="1" t="b">
        <f t="shared" si="63"/>
        <v>1</v>
      </c>
      <c r="AY64" s="1" t="b">
        <f t="shared" si="49"/>
        <v>1</v>
      </c>
      <c r="AZ64" s="1" t="b">
        <f t="shared" si="38"/>
        <v>1</v>
      </c>
      <c r="BA64" s="1" t="b">
        <f t="shared" si="39"/>
        <v>1</v>
      </c>
      <c r="BC64">
        <f t="shared" si="40"/>
        <v>2014</v>
      </c>
      <c r="BD64" s="2">
        <f t="shared" si="64"/>
        <v>80833.675460000566</v>
      </c>
      <c r="BE64" s="2"/>
      <c r="BF64" s="2">
        <f t="shared" si="50"/>
        <v>80833.675460000566</v>
      </c>
      <c r="BG64" s="2">
        <f t="shared" si="50"/>
        <v>40416.837730000283</v>
      </c>
      <c r="BH64" s="2"/>
      <c r="BI64" s="2">
        <f t="shared" si="65"/>
        <v>80833.675460000566</v>
      </c>
      <c r="BJ64" s="2">
        <f t="shared" si="11"/>
        <v>121250.51319000083</v>
      </c>
      <c r="BK64" s="2">
        <f t="shared" si="41"/>
        <v>404168.37730000279</v>
      </c>
      <c r="BL64" s="2">
        <f t="shared" si="42"/>
        <v>0</v>
      </c>
      <c r="BM64" s="2"/>
    </row>
    <row r="65" spans="1:62" x14ac:dyDescent="0.2">
      <c r="A65" s="9" t="s">
        <v>78</v>
      </c>
      <c r="B65" s="10">
        <f>BD64</f>
        <v>80833.675460000566</v>
      </c>
      <c r="C65" s="10"/>
      <c r="D65" s="10">
        <f>BF64</f>
        <v>80833.675460000566</v>
      </c>
      <c r="E65" s="10">
        <f>BG64</f>
        <v>40416.837730000283</v>
      </c>
      <c r="F65" s="10"/>
      <c r="G65" s="10">
        <f>BI64</f>
        <v>80833.675460000566</v>
      </c>
      <c r="H65" s="10">
        <f>BJ64</f>
        <v>121250.51319000083</v>
      </c>
      <c r="I65" s="10">
        <f>SUM(B65:H65)</f>
        <v>404168.37730000285</v>
      </c>
      <c r="J65" s="10"/>
      <c r="K65" s="10"/>
      <c r="L65" s="74"/>
      <c r="N65" t="s">
        <v>40</v>
      </c>
      <c r="O65" s="2">
        <f>O64</f>
        <v>7048.4371164880158</v>
      </c>
      <c r="P65" s="2"/>
      <c r="R65" s="9" t="s">
        <v>78</v>
      </c>
      <c r="S65" s="10">
        <f>S64</f>
        <v>85805.665120010672</v>
      </c>
      <c r="T65" s="10"/>
      <c r="U65" s="10">
        <f>U64</f>
        <v>85874.816575643636</v>
      </c>
      <c r="V65" s="10">
        <f>V64</f>
        <v>39839.155861765423</v>
      </c>
      <c r="W65" s="10"/>
      <c r="X65" s="10">
        <f>X64</f>
        <v>72167.461370176097</v>
      </c>
      <c r="Y65" s="10">
        <f>Y64</f>
        <v>120481.27837240694</v>
      </c>
      <c r="Z65" s="10">
        <f>SUM(S65:Y65)</f>
        <v>404168.37730000279</v>
      </c>
      <c r="AA65" s="10"/>
      <c r="AB65" s="10"/>
      <c r="AC65" s="74"/>
      <c r="AD65" s="10"/>
      <c r="AE65" s="43"/>
      <c r="AK65" s="7"/>
      <c r="BC65" s="21"/>
      <c r="BD65" s="22"/>
      <c r="BF65" s="22"/>
      <c r="BG65" s="22"/>
      <c r="BI65" s="22"/>
      <c r="BJ65" s="22"/>
    </row>
    <row r="66" spans="1:62" x14ac:dyDescent="0.2">
      <c r="A66" s="11" t="s">
        <v>11</v>
      </c>
      <c r="I66" s="6">
        <f>(Z65-Z39)/Z39</f>
        <v>3.0416837730000279</v>
      </c>
      <c r="K66" s="6"/>
      <c r="N66" t="s">
        <v>70</v>
      </c>
      <c r="O66" s="2">
        <f>SUM(O40:O64)</f>
        <v>136084.99302455035</v>
      </c>
      <c r="P66" s="2"/>
      <c r="AB66" s="6"/>
      <c r="BF66" s="22"/>
    </row>
    <row r="67" spans="1:62" x14ac:dyDescent="0.2">
      <c r="A67" s="1" t="s">
        <v>12</v>
      </c>
      <c r="I67" s="12">
        <f>STDEV(AC40:AC64)</f>
        <v>0.12217498251618647</v>
      </c>
    </row>
    <row r="68" spans="1:62" x14ac:dyDescent="0.2">
      <c r="A68" s="1" t="s">
        <v>13</v>
      </c>
      <c r="I68" s="13">
        <f>((1+I66)^(1/I75))-1</f>
        <v>5.7456456522875232E-2</v>
      </c>
    </row>
    <row r="69" spans="1:62" x14ac:dyDescent="0.2">
      <c r="A69" s="1" t="s">
        <v>82</v>
      </c>
      <c r="I69" s="31">
        <f>J60</f>
        <v>34289.041125489166</v>
      </c>
      <c r="O69" s="2"/>
      <c r="P69" s="2"/>
    </row>
    <row r="70" spans="1:62" x14ac:dyDescent="0.2">
      <c r="A70" s="1" t="s">
        <v>83</v>
      </c>
      <c r="I70" s="32">
        <f>K60</f>
        <v>0.1235455604783943</v>
      </c>
    </row>
    <row r="71" spans="1:62" x14ac:dyDescent="0.2">
      <c r="A71" s="1" t="s">
        <v>42</v>
      </c>
      <c r="I71" s="2">
        <f>O66</f>
        <v>136084.99302455035</v>
      </c>
    </row>
    <row r="72" spans="1:62" x14ac:dyDescent="0.2">
      <c r="A72" s="3" t="s">
        <v>5</v>
      </c>
      <c r="B72" s="3"/>
      <c r="C72" s="3"/>
      <c r="D72" s="3"/>
      <c r="E72" s="3"/>
      <c r="F72" s="3"/>
      <c r="G72" s="3"/>
      <c r="H72" s="3"/>
      <c r="I72" s="33">
        <f>I65-Z65</f>
        <v>0</v>
      </c>
      <c r="Z72" s="2"/>
    </row>
    <row r="73" spans="1:62" x14ac:dyDescent="0.2">
      <c r="A73" s="3" t="s">
        <v>148</v>
      </c>
      <c r="B73" s="3"/>
      <c r="C73" s="3"/>
      <c r="D73" s="3"/>
      <c r="E73" s="3"/>
      <c r="F73" s="3"/>
      <c r="G73" s="3"/>
      <c r="H73" s="3"/>
      <c r="I73" s="33">
        <f>((SUM(AA40:AA64)))-(I65-I39)</f>
        <v>0</v>
      </c>
    </row>
    <row r="74" spans="1:62" x14ac:dyDescent="0.2">
      <c r="A74" s="3" t="s">
        <v>147</v>
      </c>
      <c r="B74" s="3"/>
      <c r="C74" s="3"/>
      <c r="D74" s="3"/>
      <c r="E74" s="3"/>
      <c r="F74" s="3"/>
      <c r="G74" s="3"/>
      <c r="H74" s="3"/>
      <c r="I74" s="33">
        <f>(SUM(O40:O64))-I71</f>
        <v>0</v>
      </c>
      <c r="Z74" s="73"/>
    </row>
    <row r="75" spans="1:62" x14ac:dyDescent="0.2">
      <c r="A75" s="3" t="s">
        <v>159</v>
      </c>
      <c r="B75" s="3"/>
      <c r="C75" s="3"/>
      <c r="D75" s="3"/>
      <c r="E75" s="3"/>
      <c r="F75" s="3"/>
      <c r="G75" s="3"/>
      <c r="H75" s="3"/>
      <c r="I75" s="75">
        <f>COUNTA(I40:I64)</f>
        <v>25</v>
      </c>
    </row>
    <row r="76" spans="1:62" x14ac:dyDescent="0.2">
      <c r="A76" s="1" t="s">
        <v>105</v>
      </c>
      <c r="B76" s="63"/>
      <c r="C76" s="63"/>
      <c r="D76" s="63"/>
      <c r="E76" s="63"/>
      <c r="G76" s="63"/>
      <c r="H76" s="63"/>
      <c r="I76" s="85">
        <f>(SUM(B65:G65)/I65)</f>
        <v>0.70000000000000007</v>
      </c>
    </row>
    <row r="77" spans="1:62" x14ac:dyDescent="0.2">
      <c r="A77" s="1" t="s">
        <v>106</v>
      </c>
      <c r="B77" s="63"/>
      <c r="C77" s="63"/>
      <c r="D77" s="63"/>
      <c r="E77" s="63"/>
      <c r="G77" s="63"/>
      <c r="H77" s="63"/>
      <c r="I77" s="85">
        <f>(H65/I65)</f>
        <v>0.29999999999999993</v>
      </c>
    </row>
    <row r="78" spans="1:62" x14ac:dyDescent="0.2">
      <c r="A78" s="3" t="s">
        <v>107</v>
      </c>
      <c r="I78" s="3">
        <f>100%-(I76+I77)</f>
        <v>0</v>
      </c>
    </row>
  </sheetData>
  <pageMargins left="0.7" right="0.7" top="0.75" bottom="0.75" header="0.3" footer="0.3"/>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97357-54AB-46FA-BF62-D6B2E383BB20}">
  <dimension ref="A1:CH78"/>
  <sheetViews>
    <sheetView topLeftCell="A24" zoomScaleNormal="100" workbookViewId="0">
      <selection activeCell="A76" sqref="A76:I78"/>
    </sheetView>
  </sheetViews>
  <sheetFormatPr baseColWidth="10" defaultColWidth="8.83203125" defaultRowHeight="15" x14ac:dyDescent="0.2"/>
  <cols>
    <col min="1" max="1" width="25.5" customWidth="1"/>
    <col min="2" max="4" width="9.33203125" bestFit="1" customWidth="1"/>
    <col min="7" max="7" width="9.83203125" bestFit="1" customWidth="1"/>
    <col min="8" max="8" width="9.33203125" bestFit="1" customWidth="1"/>
    <col min="9" max="9" width="11.6640625" customWidth="1"/>
    <col min="10" max="10" width="10" bestFit="1" customWidth="1"/>
    <col min="15" max="15" width="9.83203125" bestFit="1" customWidth="1"/>
    <col min="16" max="16" width="9.83203125" customWidth="1"/>
    <col min="19" max="19" width="10.83203125" bestFit="1" customWidth="1"/>
    <col min="20" max="20" width="9.33203125" bestFit="1" customWidth="1"/>
    <col min="21" max="21" width="11.83203125" bestFit="1" customWidth="1"/>
    <col min="25" max="25" width="9.33203125" bestFit="1" customWidth="1"/>
    <col min="26" max="26" width="10.83203125" bestFit="1" customWidth="1"/>
    <col min="27" max="31" width="10.83203125" customWidth="1"/>
    <col min="46" max="46" width="10.83203125" bestFit="1" customWidth="1"/>
    <col min="47" max="48" width="9.33203125" bestFit="1" customWidth="1"/>
    <col min="51" max="51" width="9.83203125" bestFit="1" customWidth="1"/>
    <col min="52" max="53" width="9.33203125" bestFit="1" customWidth="1"/>
  </cols>
  <sheetData>
    <row r="1" spans="1:16" x14ac:dyDescent="0.2">
      <c r="A1" s="20" t="s">
        <v>49</v>
      </c>
      <c r="N1" s="20" t="s">
        <v>144</v>
      </c>
    </row>
    <row r="2" spans="1:16"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'4.5% Withdrawals-No Rebalancing'!N3</f>
        <v>Year</v>
      </c>
      <c r="O3" s="50" t="str">
        <f>'4.5% Withdrawals-No Rebalancing'!O3</f>
        <v>CPI</v>
      </c>
      <c r="P3" s="44"/>
    </row>
    <row r="4" spans="1:16" x14ac:dyDescent="0.2">
      <c r="A4" s="17">
        <f>'Non-Rebalanced Portfolio'!A4</f>
        <v>1990</v>
      </c>
      <c r="B4" s="17">
        <f>'Non-Rebalanced Portfolio'!B4</f>
        <v>-3.32</v>
      </c>
      <c r="C4" s="17">
        <f>'Non-Rebalanced Portfolio'!C4</f>
        <v>-14.045</v>
      </c>
      <c r="D4" s="17"/>
      <c r="E4" s="17"/>
      <c r="F4" s="17">
        <f>'Non-Rebalanced Portfolio'!F4</f>
        <v>-12.26</v>
      </c>
      <c r="G4" s="17"/>
      <c r="H4" s="17">
        <f>'Non-Rebalanced Portfolio'!H4</f>
        <v>8.65</v>
      </c>
      <c r="N4" s="49">
        <f>'4.5% Withdrawals-No Rebalancing'!N4</f>
        <v>1989</v>
      </c>
      <c r="O4" s="50">
        <f>'4.5% Withdrawals-No Rebalancing'!O4</f>
        <v>4.5999999999999999E-2</v>
      </c>
      <c r="P4" s="44"/>
    </row>
    <row r="5" spans="1:16" x14ac:dyDescent="0.2">
      <c r="A5" s="17">
        <f>'Non-Rebalanced Portfolio'!A5</f>
        <v>1991</v>
      </c>
      <c r="B5" s="17">
        <f>'Non-Rebalanced Portfolio'!B5</f>
        <v>30.22</v>
      </c>
      <c r="C5" s="17">
        <f>'Non-Rebalanced Portfolio'!C5</f>
        <v>41.85</v>
      </c>
      <c r="D5" s="17"/>
      <c r="E5" s="17"/>
      <c r="F5" s="17">
        <f>'Non-Rebalanced Portfolio'!F5</f>
        <v>9.9559999999999995</v>
      </c>
      <c r="G5" s="17"/>
      <c r="H5" s="17">
        <f>'Non-Rebalanced Portfolio'!H5</f>
        <v>15.25</v>
      </c>
      <c r="N5" s="49">
        <f>'4.5% Withdrawals-No Rebalancing'!N5</f>
        <v>1990</v>
      </c>
      <c r="O5" s="50">
        <f>'4.5% Withdrawals-No Rebalancing'!O5</f>
        <v>6.3E-2</v>
      </c>
      <c r="P5" s="44"/>
    </row>
    <row r="6" spans="1:16" x14ac:dyDescent="0.2">
      <c r="A6" s="17">
        <f>'Non-Rebalanced Portfolio'!A6</f>
        <v>1992</v>
      </c>
      <c r="B6" s="17">
        <f>'Non-Rebalanced Portfolio'!B6</f>
        <v>7.42</v>
      </c>
      <c r="C6" s="17">
        <f>'Non-Rebalanced Portfolio'!C6</f>
        <v>12.465999999999999</v>
      </c>
      <c r="D6" s="17"/>
      <c r="E6" s="17"/>
      <c r="F6" s="17">
        <f>'Non-Rebalanced Portfolio'!F6</f>
        <v>-8.7210000000000001</v>
      </c>
      <c r="G6" s="17"/>
      <c r="H6" s="17">
        <f>'Non-Rebalanced Portfolio'!H6</f>
        <v>7.14</v>
      </c>
      <c r="N6" s="49">
        <f>'4.5% Withdrawals-No Rebalancing'!N6</f>
        <v>1991</v>
      </c>
      <c r="O6" s="50">
        <f>'4.5% Withdrawals-No Rebalancing'!O6</f>
        <v>0.03</v>
      </c>
      <c r="P6" s="44"/>
    </row>
    <row r="7" spans="1:16" x14ac:dyDescent="0.2">
      <c r="A7" s="17">
        <f>'Non-Rebalanced Portfolio'!A7</f>
        <v>1993</v>
      </c>
      <c r="B7" s="17">
        <f>'Non-Rebalanced Portfolio'!B7</f>
        <v>9.89</v>
      </c>
      <c r="C7" s="17">
        <f>'Non-Rebalanced Portfolio'!C7</f>
        <v>14.49</v>
      </c>
      <c r="D7" s="17"/>
      <c r="E7" s="17"/>
      <c r="F7" s="17">
        <f>'Non-Rebalanced Portfolio'!F7</f>
        <v>30.494</v>
      </c>
      <c r="G7" s="17"/>
      <c r="H7" s="17">
        <f>'Non-Rebalanced Portfolio'!H7</f>
        <v>9.68</v>
      </c>
      <c r="N7" s="49">
        <f>'4.5% Withdrawals-No Rebalancing'!N7</f>
        <v>1992</v>
      </c>
      <c r="O7" s="50">
        <f>'4.5% Withdrawals-No Rebalancing'!O7</f>
        <v>0.03</v>
      </c>
      <c r="P7" s="44"/>
    </row>
    <row r="8" spans="1:16" x14ac:dyDescent="0.2">
      <c r="A8" s="17">
        <f>'Non-Rebalanced Portfolio'!A8</f>
        <v>1994</v>
      </c>
      <c r="B8" s="17">
        <f>'Non-Rebalanced Portfolio'!B8</f>
        <v>1.18</v>
      </c>
      <c r="C8" s="17">
        <f>'Non-Rebalanced Portfolio'!C8</f>
        <v>-1.764</v>
      </c>
      <c r="D8" s="17"/>
      <c r="E8" s="17"/>
      <c r="F8" s="17">
        <f>'Non-Rebalanced Portfolio'!F8</f>
        <v>5.2549999999999999</v>
      </c>
      <c r="G8" s="17"/>
      <c r="H8" s="17">
        <f>'Non-Rebalanced Portfolio'!H8</f>
        <v>-2.66</v>
      </c>
      <c r="N8" s="49">
        <f>'4.5% Withdrawals-No Rebalancing'!N8</f>
        <v>1993</v>
      </c>
      <c r="O8" s="50">
        <f>'4.5% Withdrawals-No Rebalancing'!O8</f>
        <v>2.8000000000000001E-2</v>
      </c>
      <c r="P8" s="44"/>
    </row>
    <row r="9" spans="1:16" x14ac:dyDescent="0.2">
      <c r="A9" s="17">
        <f>'Non-Rebalanced Portfolio'!A9</f>
        <v>1995</v>
      </c>
      <c r="B9" s="17">
        <f>'Non-Rebalanced Portfolio'!B9</f>
        <v>37.450000000000003</v>
      </c>
      <c r="C9" s="17">
        <f>'Non-Rebalanced Portfolio'!C9</f>
        <v>33.796999999999997</v>
      </c>
      <c r="D9" s="17"/>
      <c r="E9" s="17"/>
      <c r="F9" s="17">
        <f>'Non-Rebalanced Portfolio'!F9</f>
        <v>9.6460000000000008</v>
      </c>
      <c r="G9" s="17"/>
      <c r="H9" s="17">
        <f>'Non-Rebalanced Portfolio'!H9</f>
        <v>18.18</v>
      </c>
      <c r="N9" s="49">
        <f>'4.5% Withdrawals-No Rebalancing'!N9</f>
        <v>1994</v>
      </c>
      <c r="O9" s="50">
        <f>'4.5% Withdrawals-No Rebalancing'!O9</f>
        <v>2.5999999999999999E-2</v>
      </c>
      <c r="P9" s="44"/>
    </row>
    <row r="10" spans="1:16" x14ac:dyDescent="0.2">
      <c r="A10" s="17">
        <f>'Non-Rebalanced Portfolio'!A10</f>
        <v>1996</v>
      </c>
      <c r="B10" s="17">
        <f>'Non-Rebalanced Portfolio'!B10</f>
        <v>22.88</v>
      </c>
      <c r="C10" s="17">
        <f>'Non-Rebalanced Portfolio'!C10</f>
        <v>17.646999999999998</v>
      </c>
      <c r="D10" s="17"/>
      <c r="E10" s="17"/>
      <c r="F10" s="17">
        <f>'Non-Rebalanced Portfolio'!F10</f>
        <v>10.218999999999999</v>
      </c>
      <c r="G10" s="17"/>
      <c r="H10" s="17">
        <f>'Non-Rebalanced Portfolio'!H10</f>
        <v>3.58</v>
      </c>
      <c r="N10" s="49">
        <f>'4.5% Withdrawals-No Rebalancing'!N10</f>
        <v>1995</v>
      </c>
      <c r="O10" s="50">
        <f>'4.5% Withdrawals-No Rebalancing'!O10</f>
        <v>2.5000000000000001E-2</v>
      </c>
      <c r="P10" s="44"/>
    </row>
    <row r="11" spans="1:16" x14ac:dyDescent="0.2">
      <c r="A11" s="17">
        <f>'Non-Rebalanced Portfolio'!A11</f>
        <v>1997</v>
      </c>
      <c r="B11" s="17">
        <f>'Non-Rebalanced Portfolio'!B11</f>
        <v>33.19</v>
      </c>
      <c r="C11" s="17">
        <f>'Non-Rebalanced Portfolio'!C11</f>
        <v>26.687000000000001</v>
      </c>
      <c r="D11" s="17"/>
      <c r="E11" s="17"/>
      <c r="F11" s="17">
        <f>'Non-Rebalanced Portfolio'!F11</f>
        <v>0</v>
      </c>
      <c r="G11" s="17"/>
      <c r="H11" s="17">
        <f>'Non-Rebalanced Portfolio'!H11</f>
        <v>9.44</v>
      </c>
      <c r="N11" s="49">
        <f>'4.5% Withdrawals-No Rebalancing'!N11</f>
        <v>1996</v>
      </c>
      <c r="O11" s="50">
        <f>'4.5% Withdrawals-No Rebalancing'!O11</f>
        <v>3.4000000000000002E-2</v>
      </c>
      <c r="P11" s="44"/>
    </row>
    <row r="12" spans="1:16" x14ac:dyDescent="0.2">
      <c r="A12" s="17">
        <f>'Non-Rebalanced Portfolio'!A12</f>
        <v>1998</v>
      </c>
      <c r="B12" s="17">
        <f>'Non-Rebalanced Portfolio'!B12</f>
        <v>28.66</v>
      </c>
      <c r="C12" s="17">
        <f>'Non-Rebalanced Portfolio'!C12</f>
        <v>8.3529999999999998</v>
      </c>
      <c r="D12" s="17"/>
      <c r="E12" s="17"/>
      <c r="F12" s="17">
        <f>'Non-Rebalanced Portfolio'!F12</f>
        <v>0</v>
      </c>
      <c r="G12" s="17">
        <f>'Non-Rebalanced Portfolio'!G12</f>
        <v>15.603</v>
      </c>
      <c r="H12" s="17">
        <f>'Non-Rebalanced Portfolio'!H12</f>
        <v>8.58</v>
      </c>
      <c r="N12" s="49">
        <f>'4.5% Withdrawals-No Rebalancing'!N12</f>
        <v>1997</v>
      </c>
      <c r="O12" s="50">
        <f>'4.5% Withdrawals-No Rebalancing'!O12</f>
        <v>1.7000000000000001E-2</v>
      </c>
      <c r="P12" s="44"/>
    </row>
    <row r="13" spans="1:16" x14ac:dyDescent="0.2">
      <c r="A13" s="17">
        <f>'Non-Rebalanced Portfolio'!A13</f>
        <v>1999</v>
      </c>
      <c r="B13" s="17">
        <f>'Non-Rebalanced Portfolio'!B13</f>
        <v>21.07</v>
      </c>
      <c r="C13" s="17">
        <f>'Non-Rebalanced Portfolio'!C13</f>
        <v>0</v>
      </c>
      <c r="D13" s="17"/>
      <c r="E13" s="17"/>
      <c r="F13" s="17"/>
      <c r="G13" s="17">
        <f>'Non-Rebalanced Portfolio'!G13</f>
        <v>29.919</v>
      </c>
      <c r="H13" s="17">
        <f>'Non-Rebalanced Portfolio'!H13</f>
        <v>-0.76</v>
      </c>
      <c r="N13" s="49">
        <f>'4.5% Withdrawals-No Rebalancing'!N13</f>
        <v>1998</v>
      </c>
      <c r="O13" s="50">
        <f>'4.5% Withdrawals-No Rebalancing'!O13</f>
        <v>1.6E-2</v>
      </c>
      <c r="P13" s="44"/>
    </row>
    <row r="14" spans="1:16" x14ac:dyDescent="0.2">
      <c r="A14" s="17">
        <f>'Non-Rebalanced Portfolio'!A14</f>
        <v>2000</v>
      </c>
      <c r="B14" s="17">
        <f>'Non-Rebalanced Portfolio'!B14</f>
        <v>-9.06</v>
      </c>
      <c r="C14" s="17">
        <f>'Non-Rebalanced Portfolio'!C14</f>
        <v>0</v>
      </c>
      <c r="D14" s="17">
        <f>'Non-Rebalanced Portfolio'!D14</f>
        <v>18.097999999999999</v>
      </c>
      <c r="E14" s="17">
        <f>'Non-Rebalanced Portfolio'!E14</f>
        <v>-2.665</v>
      </c>
      <c r="F14" s="17"/>
      <c r="G14" s="17">
        <f>'Non-Rebalanced Portfolio'!G14</f>
        <v>-15.614000000000001</v>
      </c>
      <c r="H14" s="17">
        <f>'Non-Rebalanced Portfolio'!H14</f>
        <v>11.39</v>
      </c>
      <c r="N14" s="49">
        <f>'4.5% Withdrawals-No Rebalancing'!N14</f>
        <v>1999</v>
      </c>
      <c r="O14" s="50">
        <f>'4.5% Withdrawals-No Rebalancing'!O14</f>
        <v>2.7E-2</v>
      </c>
      <c r="P14" s="44"/>
    </row>
    <row r="15" spans="1:16" x14ac:dyDescent="0.2">
      <c r="A15" s="17">
        <f>'Non-Rebalanced Portfolio'!A15</f>
        <v>2001</v>
      </c>
      <c r="B15" s="17">
        <f>'Non-Rebalanced Portfolio'!B15</f>
        <v>-12.02</v>
      </c>
      <c r="C15" s="17"/>
      <c r="D15" s="17">
        <f>'Non-Rebalanced Portfolio'!D15</f>
        <v>-0.499</v>
      </c>
      <c r="E15" s="17">
        <f>'Non-Rebalanced Portfolio'!E15</f>
        <v>3.1</v>
      </c>
      <c r="F15" s="17"/>
      <c r="G15" s="17">
        <f>'Non-Rebalanced Portfolio'!G15</f>
        <v>-20.152999999999999</v>
      </c>
      <c r="H15" s="17">
        <f>'Non-Rebalanced Portfolio'!H15</f>
        <v>8.43</v>
      </c>
      <c r="N15" s="49">
        <f>'4.5% Withdrawals-No Rebalancing'!N15</f>
        <v>2000</v>
      </c>
      <c r="O15" s="50">
        <f>'4.5% Withdrawals-No Rebalancing'!O15</f>
        <v>3.4000000000000002E-2</v>
      </c>
      <c r="P15" s="44"/>
    </row>
    <row r="16" spans="1:16" x14ac:dyDescent="0.2">
      <c r="A16" s="17">
        <f>'Non-Rebalanced Portfolio'!A16</f>
        <v>2002</v>
      </c>
      <c r="B16" s="17">
        <f>'Non-Rebalanced Portfolio'!B16</f>
        <v>-22.15</v>
      </c>
      <c r="C16" s="17"/>
      <c r="D16" s="17">
        <f>'Non-Rebalanced Portfolio'!D16</f>
        <v>-14.608000000000001</v>
      </c>
      <c r="E16" s="17">
        <f>'Non-Rebalanced Portfolio'!E16</f>
        <v>-20.021999999999998</v>
      </c>
      <c r="F16" s="17"/>
      <c r="G16" s="17">
        <f>'Non-Rebalanced Portfolio'!G16</f>
        <v>-15.083</v>
      </c>
      <c r="H16" s="17">
        <f>'Non-Rebalanced Portfolio'!H16</f>
        <v>8.26</v>
      </c>
      <c r="N16" s="49">
        <f>'4.5% Withdrawals-No Rebalancing'!N16</f>
        <v>2001</v>
      </c>
      <c r="O16" s="50">
        <f>'4.5% Withdrawals-No Rebalancing'!O16</f>
        <v>1.6E-2</v>
      </c>
      <c r="P16" s="44"/>
    </row>
    <row r="17" spans="1:16" x14ac:dyDescent="0.2">
      <c r="A17" s="17">
        <f>'Non-Rebalanced Portfolio'!A17</f>
        <v>2003</v>
      </c>
      <c r="B17" s="17">
        <f>'Non-Rebalanced Portfolio'!B17</f>
        <v>28.5</v>
      </c>
      <c r="C17" s="17"/>
      <c r="D17" s="17">
        <f>'Non-Rebalanced Portfolio'!D17</f>
        <v>34.142000000000003</v>
      </c>
      <c r="E17" s="17">
        <f>'Non-Rebalanced Portfolio'!E17</f>
        <v>45.628</v>
      </c>
      <c r="F17" s="17"/>
      <c r="G17" s="17">
        <f>'Non-Rebalanced Portfolio'!G17</f>
        <v>40.340000000000003</v>
      </c>
      <c r="H17" s="17">
        <f>'Non-Rebalanced Portfolio'!H17</f>
        <v>3.97</v>
      </c>
      <c r="N17" s="49">
        <f>'4.5% Withdrawals-No Rebalancing'!N17</f>
        <v>2002</v>
      </c>
      <c r="O17" s="50">
        <f>'4.5% Withdrawals-No Rebalancing'!O17</f>
        <v>2.5000000000000001E-2</v>
      </c>
      <c r="P17" s="44"/>
    </row>
    <row r="18" spans="1:16" x14ac:dyDescent="0.2">
      <c r="A18" s="17">
        <f>'Non-Rebalanced Portfolio'!A18</f>
        <v>2004</v>
      </c>
      <c r="B18" s="17">
        <f>'Non-Rebalanced Portfolio'!B18</f>
        <v>10.74</v>
      </c>
      <c r="C18" s="17"/>
      <c r="D18" s="17">
        <f>'Non-Rebalanced Portfolio'!D18</f>
        <v>20.353000000000002</v>
      </c>
      <c r="E18" s="17">
        <f>'Non-Rebalanced Portfolio'!E18</f>
        <v>19.896999999999998</v>
      </c>
      <c r="F18" s="17"/>
      <c r="G18" s="17">
        <f>'Non-Rebalanced Portfolio'!G18</f>
        <v>20.837</v>
      </c>
      <c r="H18" s="17">
        <f>'Non-Rebalanced Portfolio'!H18</f>
        <v>4.24</v>
      </c>
      <c r="N18" s="49">
        <f>'4.5% Withdrawals-No Rebalancing'!N18</f>
        <v>2003</v>
      </c>
      <c r="O18" s="50">
        <f>'4.5% Withdrawals-No Rebalancing'!O18</f>
        <v>0.02</v>
      </c>
      <c r="P18" s="44"/>
    </row>
    <row r="19" spans="1:16" x14ac:dyDescent="0.2">
      <c r="A19" s="17">
        <f>'Non-Rebalanced Portfolio'!A19</f>
        <v>2005</v>
      </c>
      <c r="B19" s="17">
        <f>'Non-Rebalanced Portfolio'!B19</f>
        <v>4.7699999999999996</v>
      </c>
      <c r="C19" s="17"/>
      <c r="D19" s="17">
        <f>'Non-Rebalanced Portfolio'!D19</f>
        <v>13.930999999999999</v>
      </c>
      <c r="E19" s="17">
        <f>'Non-Rebalanced Portfolio'!E19</f>
        <v>7.3630000000000004</v>
      </c>
      <c r="F19" s="17"/>
      <c r="G19" s="17">
        <f>'Non-Rebalanced Portfolio'!G19</f>
        <v>15.571</v>
      </c>
      <c r="H19" s="17">
        <f>'Non-Rebalanced Portfolio'!H19</f>
        <v>2.4</v>
      </c>
      <c r="N19" s="49">
        <f>'4.5% Withdrawals-No Rebalancing'!N19</f>
        <v>2004</v>
      </c>
      <c r="O19" s="50">
        <f>'4.5% Withdrawals-No Rebalancing'!O19</f>
        <v>3.3000000000000002E-2</v>
      </c>
      <c r="P19" s="44"/>
    </row>
    <row r="20" spans="1:16" x14ac:dyDescent="0.2">
      <c r="A20" s="17">
        <f>'Non-Rebalanced Portfolio'!A20</f>
        <v>2006</v>
      </c>
      <c r="B20" s="17">
        <f>'Non-Rebalanced Portfolio'!B20</f>
        <v>15.64</v>
      </c>
      <c r="C20" s="17"/>
      <c r="D20" s="17">
        <f>'Non-Rebalanced Portfolio'!D20</f>
        <v>13.597</v>
      </c>
      <c r="E20" s="17">
        <f>'Non-Rebalanced Portfolio'!E20</f>
        <v>15.656000000000001</v>
      </c>
      <c r="F20" s="17"/>
      <c r="G20" s="17">
        <f>'Non-Rebalanced Portfolio'!G20</f>
        <v>26.637</v>
      </c>
      <c r="H20" s="17">
        <f>'Non-Rebalanced Portfolio'!H20</f>
        <v>4.2699999999999996</v>
      </c>
      <c r="N20" s="49">
        <f>'4.5% Withdrawals-No Rebalancing'!N20</f>
        <v>2005</v>
      </c>
      <c r="O20" s="50">
        <f>'4.5% Withdrawals-No Rebalancing'!O20</f>
        <v>3.3000000000000002E-2</v>
      </c>
      <c r="P20" s="44"/>
    </row>
    <row r="21" spans="1:16" x14ac:dyDescent="0.2">
      <c r="A21" s="17">
        <f>'Non-Rebalanced Portfolio'!A21</f>
        <v>2007</v>
      </c>
      <c r="B21" s="17">
        <f>'Non-Rebalanced Portfolio'!B21</f>
        <v>5.39</v>
      </c>
      <c r="C21" s="17"/>
      <c r="D21" s="17">
        <f>'Non-Rebalanced Portfolio'!D21</f>
        <v>6.0209999999999999</v>
      </c>
      <c r="E21" s="17">
        <f>'Non-Rebalanced Portfolio'!E21</f>
        <v>1.1559999999999999</v>
      </c>
      <c r="F21" s="17"/>
      <c r="G21" s="17">
        <f>'Non-Rebalanced Portfolio'!G21</f>
        <v>15.522</v>
      </c>
      <c r="H21" s="17">
        <f>'Non-Rebalanced Portfolio'!H21</f>
        <v>6.92</v>
      </c>
      <c r="N21" s="49">
        <f>'4.5% Withdrawals-No Rebalancing'!N21</f>
        <v>2006</v>
      </c>
      <c r="O21" s="50">
        <f>'4.5% Withdrawals-No Rebalancing'!O21</f>
        <v>2.5000000000000001E-2</v>
      </c>
      <c r="P21" s="44"/>
    </row>
    <row r="22" spans="1:16" x14ac:dyDescent="0.2">
      <c r="A22" s="17">
        <f>'Non-Rebalanced Portfolio'!A22</f>
        <v>2008</v>
      </c>
      <c r="B22" s="17">
        <f>'Non-Rebalanced Portfolio'!B22</f>
        <v>-37.020000000000003</v>
      </c>
      <c r="C22" s="17"/>
      <c r="D22" s="17">
        <f>'Non-Rebalanced Portfolio'!D22</f>
        <v>-41.823999999999998</v>
      </c>
      <c r="E22" s="17">
        <f>'Non-Rebalanced Portfolio'!E22</f>
        <v>-36.07</v>
      </c>
      <c r="F22" s="17"/>
      <c r="G22" s="17">
        <f>'Non-Rebalanced Portfolio'!G22</f>
        <v>-44.100999999999999</v>
      </c>
      <c r="H22" s="17">
        <f>'Non-Rebalanced Portfolio'!H22</f>
        <v>5.05</v>
      </c>
      <c r="N22" s="49">
        <f>'4.5% Withdrawals-No Rebalancing'!N22</f>
        <v>2007</v>
      </c>
      <c r="O22" s="50">
        <f>'4.5% Withdrawals-No Rebalancing'!O22</f>
        <v>4.1000000000000002E-2</v>
      </c>
      <c r="P22" s="44"/>
    </row>
    <row r="23" spans="1:16" x14ac:dyDescent="0.2">
      <c r="A23" s="17">
        <f>'Non-Rebalanced Portfolio'!A23</f>
        <v>2009</v>
      </c>
      <c r="B23" s="17">
        <f>'Non-Rebalanced Portfolio'!B23</f>
        <v>26.49</v>
      </c>
      <c r="C23" s="17"/>
      <c r="D23" s="17">
        <f>'Non-Rebalanced Portfolio'!D23</f>
        <v>40.218000000000004</v>
      </c>
      <c r="E23" s="17">
        <f>'Non-Rebalanced Portfolio'!E23</f>
        <v>36.118000000000002</v>
      </c>
      <c r="F23" s="17"/>
      <c r="G23" s="17">
        <f>'Non-Rebalanced Portfolio'!G23</f>
        <v>36.726999999999997</v>
      </c>
      <c r="H23" s="17">
        <f>'Non-Rebalanced Portfolio'!H23</f>
        <v>5.93</v>
      </c>
      <c r="N23" s="49">
        <f>'4.5% Withdrawals-No Rebalancing'!N23</f>
        <v>2008</v>
      </c>
      <c r="O23" s="50">
        <f>'4.5% Withdrawals-No Rebalancing'!O23</f>
        <v>0</v>
      </c>
      <c r="P23" s="44"/>
    </row>
    <row r="24" spans="1:16" x14ac:dyDescent="0.2">
      <c r="A24" s="17">
        <f>'Non-Rebalanced Portfolio'!A24</f>
        <v>2010</v>
      </c>
      <c r="B24" s="17">
        <f>'Non-Rebalanced Portfolio'!B24</f>
        <v>14.91</v>
      </c>
      <c r="C24" s="17"/>
      <c r="D24" s="17">
        <f>'Non-Rebalanced Portfolio'!D24</f>
        <v>25.46</v>
      </c>
      <c r="E24" s="17">
        <f>'Non-Rebalanced Portfolio'!E24</f>
        <v>27.72</v>
      </c>
      <c r="F24" s="17"/>
      <c r="G24" s="17">
        <f>'Non-Rebalanced Portfolio'!G24</f>
        <v>11.12</v>
      </c>
      <c r="H24" s="17">
        <f>'Non-Rebalanced Portfolio'!H24</f>
        <v>6.42</v>
      </c>
      <c r="N24" s="49">
        <f>'4.5% Withdrawals-No Rebalancing'!N24</f>
        <v>2009</v>
      </c>
      <c r="O24" s="50">
        <f>'4.5% Withdrawals-No Rebalancing'!O24</f>
        <v>2.8000000000000001E-2</v>
      </c>
      <c r="P24" s="44"/>
    </row>
    <row r="25" spans="1:16" x14ac:dyDescent="0.2">
      <c r="A25" s="17">
        <f>'Non-Rebalanced Portfolio'!A25</f>
        <v>2011</v>
      </c>
      <c r="B25" s="17">
        <f>'Non-Rebalanced Portfolio'!B25</f>
        <v>1.97</v>
      </c>
      <c r="C25" s="17"/>
      <c r="D25" s="17">
        <f>'Non-Rebalanced Portfolio'!D25</f>
        <v>-2.11</v>
      </c>
      <c r="E25" s="17">
        <f>'Non-Rebalanced Portfolio'!E25</f>
        <v>-2.8</v>
      </c>
      <c r="F25" s="17"/>
      <c r="G25" s="17">
        <f>'Non-Rebalanced Portfolio'!G25</f>
        <v>-14.56</v>
      </c>
      <c r="H25" s="17">
        <f>'Non-Rebalanced Portfolio'!H25</f>
        <v>7.56</v>
      </c>
      <c r="N25" s="49">
        <f>'4.5% Withdrawals-No Rebalancing'!N25</f>
        <v>2010</v>
      </c>
      <c r="O25" s="50">
        <f>'4.5% Withdrawals-No Rebalancing'!O25</f>
        <v>1.4E-2</v>
      </c>
      <c r="P25" s="44"/>
    </row>
    <row r="26" spans="1:16" x14ac:dyDescent="0.2">
      <c r="A26" s="17">
        <f>'Non-Rebalanced Portfolio'!A26</f>
        <v>2012</v>
      </c>
      <c r="B26" s="17">
        <f>'Non-Rebalanced Portfolio'!B26</f>
        <v>15.82</v>
      </c>
      <c r="C26" s="17"/>
      <c r="D26" s="17">
        <f>'Non-Rebalanced Portfolio'!D26</f>
        <v>15.8</v>
      </c>
      <c r="E26" s="17">
        <f>'Non-Rebalanced Portfolio'!E26</f>
        <v>18.04</v>
      </c>
      <c r="F26" s="17"/>
      <c r="G26" s="17">
        <f>'Non-Rebalanced Portfolio'!G26</f>
        <v>18.14</v>
      </c>
      <c r="H26" s="17">
        <f>'Non-Rebalanced Portfolio'!H26</f>
        <v>4.05</v>
      </c>
      <c r="N26" s="49">
        <f>'4.5% Withdrawals-No Rebalancing'!N26</f>
        <v>2011</v>
      </c>
      <c r="O26" s="50">
        <f>'4.5% Withdrawals-No Rebalancing'!O26</f>
        <v>0.03</v>
      </c>
      <c r="P26" s="44"/>
    </row>
    <row r="27" spans="1:16" x14ac:dyDescent="0.2">
      <c r="A27" s="17">
        <f>'Non-Rebalanced Portfolio'!A27</f>
        <v>2013</v>
      </c>
      <c r="B27" s="17">
        <f>'Non-Rebalanced Portfolio'!B27</f>
        <v>32.18</v>
      </c>
      <c r="C27" s="17"/>
      <c r="D27" s="17">
        <f>'Non-Rebalanced Portfolio'!D27</f>
        <v>35</v>
      </c>
      <c r="E27" s="17">
        <f>'Non-Rebalanced Portfolio'!E27</f>
        <v>37.619999999999997</v>
      </c>
      <c r="F27" s="17"/>
      <c r="G27" s="17">
        <f>'Non-Rebalanced Portfolio'!G27</f>
        <v>15.04</v>
      </c>
      <c r="H27" s="17">
        <f>'Non-Rebalanced Portfolio'!H27</f>
        <v>-2.2599999999999998</v>
      </c>
      <c r="N27" s="49">
        <f>'4.5% Withdrawals-No Rebalancing'!N27</f>
        <v>2012</v>
      </c>
      <c r="O27" s="50">
        <f>'4.5% Withdrawals-No Rebalancing'!O27</f>
        <v>1.7999999999999999E-2</v>
      </c>
    </row>
    <row r="28" spans="1:16" x14ac:dyDescent="0.2">
      <c r="A28" s="17">
        <f>'Non-Rebalanced Portfolio'!A28</f>
        <v>2014</v>
      </c>
      <c r="B28" s="17">
        <f>'Non-Rebalanced Portfolio'!B28</f>
        <v>13.51</v>
      </c>
      <c r="C28" s="19"/>
      <c r="D28" s="17">
        <f>'Non-Rebalanced Portfolio'!D28</f>
        <v>13.6</v>
      </c>
      <c r="E28" s="17">
        <f>'Non-Rebalanced Portfolio'!E28</f>
        <v>7.37</v>
      </c>
      <c r="F28" s="19"/>
      <c r="G28" s="17">
        <f>'Non-Rebalanced Portfolio'!G28</f>
        <v>-4.24</v>
      </c>
      <c r="H28" s="17">
        <f>'Non-Rebalanced Portfolio'!H28</f>
        <v>5.76</v>
      </c>
      <c r="N28" s="49">
        <f>'4.5% Withdrawals-No Rebalancing'!N28</f>
        <v>2013</v>
      </c>
      <c r="O28" s="50">
        <f>'4.5% Withdrawals-No Rebalancing'!O28</f>
        <v>1.15559170535223E-2</v>
      </c>
    </row>
    <row r="29" spans="1:16" x14ac:dyDescent="0.2">
      <c r="A29" s="17">
        <f>'Non-Rebalanced Portfolio'!A29</f>
        <v>2015</v>
      </c>
      <c r="B29" s="17">
        <f>'Non-Rebalanced Portfolio'!B29</f>
        <v>1.25</v>
      </c>
      <c r="C29" s="19"/>
      <c r="D29" s="17">
        <f>'Non-Rebalanced Portfolio'!D29</f>
        <v>-1.46</v>
      </c>
      <c r="E29" s="17">
        <f>'Non-Rebalanced Portfolio'!E29</f>
        <v>-3.78</v>
      </c>
      <c r="F29" s="19"/>
      <c r="G29" s="17">
        <f>'Non-Rebalanced Portfolio'!G29</f>
        <v>-4.37</v>
      </c>
      <c r="H29" s="17">
        <f>'Non-Rebalanced Portfolio'!H29</f>
        <v>0.3</v>
      </c>
      <c r="N29" s="49">
        <f>'4.5% Withdrawals-No Rebalancing'!N29</f>
        <v>2014</v>
      </c>
      <c r="O29" s="50">
        <f>'4.5% Withdrawals-No Rebalancing'!O29</f>
        <v>1.29E-2</v>
      </c>
    </row>
    <row r="30" spans="1:16" x14ac:dyDescent="0.2">
      <c r="A30" s="17">
        <f>'Non-Rebalanced Portfolio'!A30</f>
        <v>2016</v>
      </c>
      <c r="B30" s="17">
        <f>'Non-Rebalanced Portfolio'!B30</f>
        <v>11.82</v>
      </c>
      <c r="C30" s="19"/>
      <c r="D30" s="17">
        <f>'Non-Rebalanced Portfolio'!D30</f>
        <v>11.07</v>
      </c>
      <c r="E30" s="17">
        <f>'Non-Rebalanced Portfolio'!E30</f>
        <v>18.170000000000002</v>
      </c>
      <c r="F30" s="19"/>
      <c r="G30" s="17">
        <f>'Non-Rebalanced Portfolio'!G30</f>
        <v>4.6500000000000004</v>
      </c>
      <c r="H30" s="17">
        <f>'Non-Rebalanced Portfolio'!H30</f>
        <v>2.5</v>
      </c>
      <c r="N30" s="49">
        <f>'4.5% Withdrawals-No Rebalancing'!N30</f>
        <v>2015</v>
      </c>
      <c r="O30" s="50">
        <f>'4.5% Withdrawals-No Rebalancing'!O30</f>
        <v>4.4000000000000003E-3</v>
      </c>
    </row>
    <row r="31" spans="1:16" x14ac:dyDescent="0.2">
      <c r="A31" s="17">
        <f>'Non-Rebalanced Portfolio'!A31</f>
        <v>2017</v>
      </c>
      <c r="B31" s="17">
        <f>'Non-Rebalanced Portfolio'!B31</f>
        <v>21.67</v>
      </c>
      <c r="C31" s="19"/>
      <c r="D31" s="17">
        <f>'Non-Rebalanced Portfolio'!D31</f>
        <v>19.600000000000001</v>
      </c>
      <c r="E31" s="17">
        <f>'Non-Rebalanced Portfolio'!E31</f>
        <v>16.100000000000001</v>
      </c>
      <c r="F31" s="19"/>
      <c r="G31" s="17">
        <f>'Non-Rebalanced Portfolio'!G31</f>
        <v>27.4</v>
      </c>
      <c r="H31" s="17">
        <f>'Non-Rebalanced Portfolio'!H31</f>
        <v>3.46</v>
      </c>
      <c r="N31" s="49">
        <f>'4.5% Withdrawals-No Rebalancing'!N31</f>
        <v>2016</v>
      </c>
      <c r="O31" s="50">
        <f>'4.5% Withdrawals-No Rebalancing'!O31</f>
        <v>1.7000000000000001E-2</v>
      </c>
    </row>
    <row r="32" spans="1:16" x14ac:dyDescent="0.2">
      <c r="A32" s="17">
        <f>'Non-Rebalanced Portfolio'!A32</f>
        <v>2017</v>
      </c>
      <c r="B32" s="17">
        <f>'Non-Rebalanced Portfolio'!B32</f>
        <v>21.67</v>
      </c>
      <c r="C32" s="19"/>
      <c r="D32" s="17">
        <f>'Non-Rebalanced Portfolio'!D32</f>
        <v>19.600000000000001</v>
      </c>
      <c r="E32" s="17">
        <f>'Non-Rebalanced Portfolio'!E32</f>
        <v>16.100000000000001</v>
      </c>
      <c r="F32" s="19"/>
      <c r="G32" s="17">
        <f>'Non-Rebalanced Portfolio'!G32</f>
        <v>27.4</v>
      </c>
      <c r="H32" s="17">
        <f>'Non-Rebalanced Portfolio'!H32</f>
        <v>3.46</v>
      </c>
      <c r="N32" s="49">
        <f>'4.5% Withdrawals-No Rebalancing'!N32</f>
        <v>2017</v>
      </c>
      <c r="O32" s="50">
        <f>'4.5% Withdrawals-No Rebalancing'!O32</f>
        <v>2.23E-2</v>
      </c>
    </row>
    <row r="33" spans="1:86" x14ac:dyDescent="0.2">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9">
        <f>'4.5% Withdrawals-No Rebalancing'!N33</f>
        <v>2017</v>
      </c>
      <c r="O33" s="50">
        <f>'4.5% Withdrawals-No Rebalancing'!O33</f>
        <v>2.23E-2</v>
      </c>
    </row>
    <row r="36" spans="1:86" x14ac:dyDescent="0.2">
      <c r="A36" s="20" t="s">
        <v>120</v>
      </c>
      <c r="N36" s="20" t="s">
        <v>25</v>
      </c>
      <c r="R36" s="20" t="s">
        <v>121</v>
      </c>
      <c r="AG36" s="20" t="s">
        <v>122</v>
      </c>
      <c r="AR36" s="1"/>
      <c r="AS36" s="20" t="s">
        <v>9</v>
      </c>
      <c r="BL36" s="20" t="s">
        <v>7</v>
      </c>
    </row>
    <row r="37" spans="1:86" x14ac:dyDescent="0.2">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76</v>
      </c>
      <c r="K37" s="5" t="s">
        <v>73</v>
      </c>
      <c r="L37" s="5" t="s">
        <v>74</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76</v>
      </c>
      <c r="AB37" s="5" t="s">
        <v>73</v>
      </c>
      <c r="AC37" s="5" t="s">
        <v>74</v>
      </c>
      <c r="AD37" s="5" t="s">
        <v>88</v>
      </c>
      <c r="AE37" s="5"/>
      <c r="AH37" s="4" t="str">
        <f t="shared" ref="AH37:AN38" si="2">B37</f>
        <v>LC Stocks</v>
      </c>
      <c r="AI37" s="4" t="str">
        <f t="shared" si="2"/>
        <v>Ext Mkt</v>
      </c>
      <c r="AJ37" s="4" t="str">
        <f t="shared" si="2"/>
        <v>Mcap Stk</v>
      </c>
      <c r="AK37" s="4" t="str">
        <f t="shared" si="2"/>
        <v>Small Cap</v>
      </c>
      <c r="AL37" s="4" t="str">
        <f t="shared" si="2"/>
        <v>Intl Val</v>
      </c>
      <c r="AM37" s="4" t="str">
        <f t="shared" si="2"/>
        <v>Tot Int Stk</v>
      </c>
      <c r="AN37" s="4" t="str">
        <f t="shared" si="2"/>
        <v>Bonds</v>
      </c>
      <c r="AO37" s="5"/>
      <c r="AP37" s="5" t="s">
        <v>111</v>
      </c>
      <c r="AQ37" s="5" t="s">
        <v>112</v>
      </c>
      <c r="AR37" s="71"/>
      <c r="AT37" s="4" t="str">
        <f t="shared" ref="AT37:AZ39" si="3">BO37</f>
        <v>LC Stocks</v>
      </c>
      <c r="AU37" s="4" t="str">
        <f t="shared" si="3"/>
        <v>Ext Mkt</v>
      </c>
      <c r="AV37" s="4" t="str">
        <f t="shared" si="3"/>
        <v>Mcap Stk</v>
      </c>
      <c r="AW37" s="4" t="str">
        <f t="shared" si="3"/>
        <v>Small Cap</v>
      </c>
      <c r="AX37" s="4" t="str">
        <f t="shared" si="3"/>
        <v>Intl Val</v>
      </c>
      <c r="AY37" s="4" t="str">
        <f t="shared" si="3"/>
        <v>Tot Int Stk</v>
      </c>
      <c r="AZ37" s="4" t="str">
        <f t="shared" si="3"/>
        <v>Bonds</v>
      </c>
      <c r="BA37" s="4"/>
      <c r="BB37" t="s">
        <v>88</v>
      </c>
      <c r="BO37" s="4" t="str">
        <f t="shared" ref="BO37:BU39" si="4">AH37</f>
        <v>LC Stocks</v>
      </c>
      <c r="BP37" s="4" t="str">
        <f t="shared" si="4"/>
        <v>Ext Mkt</v>
      </c>
      <c r="BQ37" s="4" t="str">
        <f t="shared" si="4"/>
        <v>Mcap Stk</v>
      </c>
      <c r="BR37" s="4" t="str">
        <f t="shared" si="4"/>
        <v>Small Cap</v>
      </c>
      <c r="BS37" s="4" t="str">
        <f t="shared" si="4"/>
        <v>Intl Val</v>
      </c>
      <c r="BT37" s="4" t="str">
        <f t="shared" si="4"/>
        <v>Tot Int Stk</v>
      </c>
      <c r="BU37" s="4" t="str">
        <f t="shared" si="4"/>
        <v>Bonds</v>
      </c>
      <c r="BV37" s="5"/>
    </row>
    <row r="38" spans="1:86" x14ac:dyDescent="0.2">
      <c r="A38" t="s">
        <v>72</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70</v>
      </c>
      <c r="J38" s="5" t="s">
        <v>77</v>
      </c>
      <c r="K38" s="5" t="s">
        <v>75</v>
      </c>
      <c r="L38" s="5" t="s">
        <v>75</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77</v>
      </c>
      <c r="AB38" s="5" t="s">
        <v>75</v>
      </c>
      <c r="AC38" s="5" t="s">
        <v>75</v>
      </c>
      <c r="AD38" s="5" t="s">
        <v>87</v>
      </c>
      <c r="AE38" s="5"/>
      <c r="AG38" t="s">
        <v>72</v>
      </c>
      <c r="AH38" s="4" t="str">
        <f t="shared" si="2"/>
        <v>VFINX</v>
      </c>
      <c r="AI38" s="4" t="str">
        <f t="shared" si="2"/>
        <v>VEXMX</v>
      </c>
      <c r="AJ38" s="4" t="str">
        <f t="shared" si="2"/>
        <v>VIMSX</v>
      </c>
      <c r="AK38" s="4" t="str">
        <f t="shared" si="2"/>
        <v>NAESX</v>
      </c>
      <c r="AL38" s="4" t="str">
        <f t="shared" si="2"/>
        <v>VTRIX</v>
      </c>
      <c r="AM38" s="4" t="str">
        <f t="shared" si="2"/>
        <v>VGTSX</v>
      </c>
      <c r="AN38" s="4" t="str">
        <f t="shared" si="2"/>
        <v>VBMFX</v>
      </c>
      <c r="AO38" s="5" t="s">
        <v>70</v>
      </c>
      <c r="AP38" s="5" t="s">
        <v>112</v>
      </c>
      <c r="AQ38" s="5" t="s">
        <v>87</v>
      </c>
      <c r="AR38" s="71"/>
      <c r="AS38" t="s">
        <v>72</v>
      </c>
      <c r="AT38" s="4" t="str">
        <f t="shared" si="3"/>
        <v>VFINX</v>
      </c>
      <c r="AU38" s="4" t="str">
        <f t="shared" si="3"/>
        <v>VEXMX</v>
      </c>
      <c r="AV38" s="4" t="str">
        <f t="shared" si="3"/>
        <v>VIMSX</v>
      </c>
      <c r="AW38" s="4" t="str">
        <f t="shared" si="3"/>
        <v>NAESX</v>
      </c>
      <c r="AX38" s="4" t="str">
        <f t="shared" si="3"/>
        <v>VTRIX</v>
      </c>
      <c r="AY38" s="4" t="str">
        <f t="shared" si="3"/>
        <v>VGTSX</v>
      </c>
      <c r="AZ38" s="4" t="str">
        <f t="shared" si="3"/>
        <v>VBMFX</v>
      </c>
      <c r="BA38" s="4" t="str">
        <f>BV38</f>
        <v>Total</v>
      </c>
      <c r="BB38" t="s">
        <v>87</v>
      </c>
      <c r="BN38" t="str">
        <f t="shared" ref="BN38:BN64" si="5">AG38</f>
        <v>Fund</v>
      </c>
      <c r="BO38" s="4" t="str">
        <f t="shared" si="4"/>
        <v>VFINX</v>
      </c>
      <c r="BP38" s="4" t="str">
        <f t="shared" si="4"/>
        <v>VEXMX</v>
      </c>
      <c r="BQ38" s="4" t="str">
        <f t="shared" si="4"/>
        <v>VIMSX</v>
      </c>
      <c r="BR38" s="4" t="str">
        <f t="shared" si="4"/>
        <v>NAESX</v>
      </c>
      <c r="BS38" s="4" t="str">
        <f t="shared" si="4"/>
        <v>VTRIX</v>
      </c>
      <c r="BT38" s="4" t="str">
        <f t="shared" si="4"/>
        <v>VGTSX</v>
      </c>
      <c r="BU38" s="4" t="str">
        <f t="shared" si="4"/>
        <v>VBMFX</v>
      </c>
      <c r="BV38" s="4" t="str">
        <f>AO38</f>
        <v>Total</v>
      </c>
    </row>
    <row r="39" spans="1:86" x14ac:dyDescent="0.2">
      <c r="A39" t="s">
        <v>71</v>
      </c>
      <c r="B39" s="2">
        <v>20000</v>
      </c>
      <c r="C39" s="2">
        <v>30000</v>
      </c>
      <c r="F39" s="2">
        <v>20000</v>
      </c>
      <c r="H39" s="2">
        <v>30000</v>
      </c>
      <c r="I39" s="2">
        <f>SUM(B39:H39)</f>
        <v>100000</v>
      </c>
      <c r="N39" s="21"/>
      <c r="R39" t="str">
        <f>A39</f>
        <v>Stating Balance</v>
      </c>
      <c r="S39" s="2">
        <f>B39</f>
        <v>20000</v>
      </c>
      <c r="T39" s="2">
        <f t="shared" si="1"/>
        <v>30000</v>
      </c>
      <c r="U39" s="2">
        <f t="shared" si="1"/>
        <v>0</v>
      </c>
      <c r="V39" s="2">
        <f t="shared" si="1"/>
        <v>0</v>
      </c>
      <c r="W39" s="2">
        <f t="shared" si="1"/>
        <v>20000</v>
      </c>
      <c r="X39" s="2">
        <f t="shared" si="1"/>
        <v>0</v>
      </c>
      <c r="Y39" s="2">
        <f t="shared" si="1"/>
        <v>30000</v>
      </c>
      <c r="Z39" s="2">
        <f t="shared" si="1"/>
        <v>100000</v>
      </c>
      <c r="AD39" s="2"/>
      <c r="AE39" s="2"/>
      <c r="AG39" s="21" t="s">
        <v>86</v>
      </c>
      <c r="AH39" s="6">
        <f t="shared" ref="AH39:AI54" si="6">S39/$Z39</f>
        <v>0.2</v>
      </c>
      <c r="AI39" s="6">
        <f t="shared" si="6"/>
        <v>0.3</v>
      </c>
      <c r="AJ39" s="23">
        <v>0.2</v>
      </c>
      <c r="AK39" s="23">
        <v>0.1</v>
      </c>
      <c r="AL39" s="6">
        <f t="shared" ref="AL39:AM54" si="7">W39/$Z39</f>
        <v>0.2</v>
      </c>
      <c r="AM39" s="23">
        <v>0.2</v>
      </c>
      <c r="AN39" s="6">
        <f>Y39/$Z39</f>
        <v>0.3</v>
      </c>
      <c r="AO39" s="6">
        <f>Z39/$Z39</f>
        <v>1</v>
      </c>
      <c r="AP39" s="24"/>
      <c r="AS39" s="21" t="str">
        <f>R39</f>
        <v>Stating Balance</v>
      </c>
      <c r="AT39" s="24">
        <f t="shared" si="3"/>
        <v>0.2</v>
      </c>
      <c r="AU39" s="24">
        <f t="shared" si="3"/>
        <v>0.3</v>
      </c>
      <c r="AV39" s="25">
        <f t="shared" si="3"/>
        <v>0.2</v>
      </c>
      <c r="AW39" s="25">
        <f t="shared" si="3"/>
        <v>0.1</v>
      </c>
      <c r="AX39" s="24">
        <f t="shared" si="3"/>
        <v>0.2</v>
      </c>
      <c r="AY39" s="25">
        <f t="shared" si="3"/>
        <v>0.2</v>
      </c>
      <c r="AZ39" s="24">
        <f t="shared" si="3"/>
        <v>0.3</v>
      </c>
      <c r="BA39" s="24">
        <f>BV39</f>
        <v>1</v>
      </c>
      <c r="BB39" s="2"/>
      <c r="BC39" s="2"/>
      <c r="BM39" s="24"/>
      <c r="BN39" s="21" t="str">
        <f t="shared" si="5"/>
        <v>Target Allocation</v>
      </c>
      <c r="BO39" s="24">
        <f t="shared" si="4"/>
        <v>0.2</v>
      </c>
      <c r="BP39" s="24">
        <f t="shared" si="4"/>
        <v>0.3</v>
      </c>
      <c r="BQ39" s="25">
        <f t="shared" si="4"/>
        <v>0.2</v>
      </c>
      <c r="BR39" s="25">
        <f t="shared" si="4"/>
        <v>0.1</v>
      </c>
      <c r="BS39" s="24">
        <f t="shared" si="4"/>
        <v>0.2</v>
      </c>
      <c r="BT39" s="25">
        <f t="shared" si="4"/>
        <v>0.2</v>
      </c>
      <c r="BU39" s="24">
        <f t="shared" si="4"/>
        <v>0.3</v>
      </c>
      <c r="BV39" s="24">
        <f>AO39</f>
        <v>1</v>
      </c>
    </row>
    <row r="40" spans="1:86" x14ac:dyDescent="0.2">
      <c r="A40">
        <f t="shared" ref="A40:A64" si="8">A4</f>
        <v>1990</v>
      </c>
      <c r="B40" s="2">
        <f t="shared" ref="B40:C40" si="9">B39*(1+(B4/100))</f>
        <v>19336</v>
      </c>
      <c r="C40" s="2">
        <f t="shared" si="9"/>
        <v>25786.5</v>
      </c>
      <c r="D40" s="2"/>
      <c r="E40" s="2"/>
      <c r="F40" s="2">
        <f t="shared" ref="F40" si="10">F39*(1+(F4/100))</f>
        <v>17548</v>
      </c>
      <c r="G40" s="2"/>
      <c r="H40" s="2">
        <f t="shared" ref="H40" si="11">H39*(1+(H4/100))</f>
        <v>32595</v>
      </c>
      <c r="I40" s="2">
        <f>SUM(B40:H40)</f>
        <v>95265.5</v>
      </c>
      <c r="J40" s="2">
        <f>I40-I39</f>
        <v>-4734.5</v>
      </c>
      <c r="K40" s="6">
        <f>(J40/I39)</f>
        <v>-4.7344999999999998E-2</v>
      </c>
      <c r="L40" s="7">
        <f>K40+1</f>
        <v>0.95265500000000003</v>
      </c>
      <c r="N40">
        <f>A40</f>
        <v>1990</v>
      </c>
      <c r="O40" s="2">
        <f>I40*0.045</f>
        <v>4286.9475000000002</v>
      </c>
      <c r="P40" s="2"/>
      <c r="Q40" s="2"/>
      <c r="R40">
        <f>A40</f>
        <v>1990</v>
      </c>
      <c r="S40" s="2">
        <f>B40-($O40/4)</f>
        <v>18264.263125000001</v>
      </c>
      <c r="T40" s="2">
        <f>C40-($O40/4)</f>
        <v>24714.763125000001</v>
      </c>
      <c r="U40" s="2"/>
      <c r="V40" s="2"/>
      <c r="W40" s="2">
        <f t="shared" ref="W40:W46" si="12">F40-($O40/4)</f>
        <v>16476.263125000001</v>
      </c>
      <c r="X40" s="2"/>
      <c r="Y40" s="2">
        <f>H40-($O40/4)</f>
        <v>31523.263125000001</v>
      </c>
      <c r="Z40" s="2">
        <f>SUM(S40:Y40)</f>
        <v>90978.552500000005</v>
      </c>
      <c r="AA40" s="2">
        <f>Z40-Z39</f>
        <v>-9021.4474999999948</v>
      </c>
      <c r="AB40" s="6">
        <f>(AA40/Z39)</f>
        <v>-9.0214474999999947E-2</v>
      </c>
      <c r="AC40" s="7">
        <f>AB40+1</f>
        <v>0.90978552500000009</v>
      </c>
      <c r="AD40" s="2">
        <f>Z40-(I40-O40)</f>
        <v>0</v>
      </c>
      <c r="AE40" s="2"/>
      <c r="AG40">
        <f t="shared" ref="AG40:AG64" si="13">A40</f>
        <v>1990</v>
      </c>
      <c r="AH40" s="6">
        <f t="shared" si="6"/>
        <v>0.2007535031402044</v>
      </c>
      <c r="AI40" s="6">
        <f t="shared" si="6"/>
        <v>0.27165482903237004</v>
      </c>
      <c r="AJ40" s="7"/>
      <c r="AK40" s="7"/>
      <c r="AL40" s="6">
        <f t="shared" si="7"/>
        <v>0.18110051954277906</v>
      </c>
      <c r="AM40" s="7"/>
      <c r="AN40" s="6">
        <f t="shared" ref="AN40:AN64" si="14">Y40/$Z40</f>
        <v>0.34649114828464656</v>
      </c>
      <c r="AO40" s="6">
        <f>SUM(AH40:AN40)</f>
        <v>1</v>
      </c>
      <c r="AP40" s="7">
        <f>SUM(AH40:AM40)</f>
        <v>0.65350885171535356</v>
      </c>
      <c r="AQ40" s="7">
        <f>AO40-(AP40+AN40)</f>
        <v>0</v>
      </c>
      <c r="AR40" s="7"/>
      <c r="AS40">
        <f>A40</f>
        <v>1990</v>
      </c>
      <c r="AT40" s="2">
        <f t="shared" ref="AT40:AU50" si="15">S40</f>
        <v>18264.263125000001</v>
      </c>
      <c r="AU40" s="2">
        <f t="shared" si="15"/>
        <v>24714.763125000001</v>
      </c>
      <c r="AV40" s="2"/>
      <c r="AW40" s="2"/>
      <c r="AX40" s="2">
        <f t="shared" ref="AX40:AX46" si="16">W40</f>
        <v>16476.263125000001</v>
      </c>
      <c r="AY40" s="2"/>
      <c r="AZ40" s="2">
        <f t="shared" ref="AZ40:BA55" si="17">Y40</f>
        <v>31523.263125000001</v>
      </c>
      <c r="BA40" s="2">
        <f t="shared" si="17"/>
        <v>90978.552500000005</v>
      </c>
      <c r="BB40" s="2">
        <f t="shared" ref="BB40:BB62" si="18">SUM(AT40:AZ40)-Z40</f>
        <v>0</v>
      </c>
      <c r="BC40" s="2"/>
      <c r="BM40" s="24"/>
      <c r="BN40">
        <f t="shared" si="5"/>
        <v>1990</v>
      </c>
      <c r="BO40" s="1" t="b">
        <f>AND((S40/$Z40)&gt;0.15,(S40/$Z40)&lt;0.25)</f>
        <v>1</v>
      </c>
      <c r="BP40" s="1" t="b">
        <f>AND((T40/$Z40)&gt;0.25,(T40/$Z40)&lt;0.35)</f>
        <v>1</v>
      </c>
      <c r="BS40" s="1" t="b">
        <f t="shared" ref="BS40:BS48" si="19">AND((W40/$Z40)&gt;0.15,(W40/$Z40)&lt;0.25)</f>
        <v>1</v>
      </c>
      <c r="BU40" s="1" t="b">
        <f>AND((Y40/$Z40)&gt;0.25,(Y40/$Z40)&lt;0.35)</f>
        <v>1</v>
      </c>
      <c r="BV40" s="1" t="b">
        <f>AND((Z40/$Z40)&gt;0.999,(Z40/$Z40)&lt;1.01)</f>
        <v>1</v>
      </c>
      <c r="CH40" s="2"/>
    </row>
    <row r="41" spans="1:86" x14ac:dyDescent="0.2">
      <c r="A41">
        <f t="shared" si="8"/>
        <v>1991</v>
      </c>
      <c r="B41" s="2">
        <f t="shared" ref="B41:B50" si="20">AT40*(1+(B5/100))</f>
        <v>23783.723441375001</v>
      </c>
      <c r="C41" s="2">
        <f t="shared" ref="C41:C48" si="21">AU40*(1+(C5/100))</f>
        <v>35057.891492812501</v>
      </c>
      <c r="D41" s="2"/>
      <c r="E41" s="2"/>
      <c r="F41" s="2">
        <f t="shared" ref="F41:F46" si="22">AX40*(1+(F5/100))</f>
        <v>18116.639881725005</v>
      </c>
      <c r="G41" s="2"/>
      <c r="H41" s="2">
        <f t="shared" ref="H41:H64" si="23">AZ40*(1+(H5/100))</f>
        <v>36330.560751562502</v>
      </c>
      <c r="I41" s="2">
        <f>SUM(B41:H41)</f>
        <v>113288.815567475</v>
      </c>
      <c r="J41" s="2">
        <f t="shared" ref="J41:J64" si="24">I41-I40</f>
        <v>18023.315567475001</v>
      </c>
      <c r="K41" s="6">
        <f t="shared" ref="K41:K64" si="25">(J41/I40)</f>
        <v>0.18919037392838961</v>
      </c>
      <c r="L41" s="7">
        <f t="shared" ref="L41:L64" si="26">K41+1</f>
        <v>1.1891903739283896</v>
      </c>
      <c r="N41">
        <f t="shared" ref="N41:N64" si="27">A41</f>
        <v>1991</v>
      </c>
      <c r="O41" s="2">
        <f t="shared" ref="O41:O64" si="28">O40*(1+O5)</f>
        <v>4557.0251925000002</v>
      </c>
      <c r="P41" s="2"/>
      <c r="Q41" s="2"/>
      <c r="R41">
        <f t="shared" ref="R41:R64" si="29">A41</f>
        <v>1991</v>
      </c>
      <c r="S41" s="2">
        <f>B41-($O41/4)</f>
        <v>22644.46714325</v>
      </c>
      <c r="T41" s="2">
        <f>C41-($O41/4)</f>
        <v>33918.6351946875</v>
      </c>
      <c r="U41" s="2"/>
      <c r="V41" s="2"/>
      <c r="W41" s="2">
        <f t="shared" si="12"/>
        <v>16977.383583600003</v>
      </c>
      <c r="X41" s="2"/>
      <c r="Y41" s="2">
        <f>H41-($O41/4)</f>
        <v>35191.3044534375</v>
      </c>
      <c r="Z41" s="2">
        <f>SUM(S41:Y41)</f>
        <v>108731.79037497501</v>
      </c>
      <c r="AA41" s="2">
        <f t="shared" ref="AA41:AA55" si="30">Z41-Z40</f>
        <v>17753.237874975006</v>
      </c>
      <c r="AB41" s="6">
        <f t="shared" ref="AB41:AB55" si="31">(AA41/Z40)</f>
        <v>0.19513651720250225</v>
      </c>
      <c r="AC41" s="7">
        <f t="shared" ref="AC41:AC64" si="32">AB41+1</f>
        <v>1.1951365172025024</v>
      </c>
      <c r="AD41" s="2">
        <f>Z41-(I41-O41)</f>
        <v>0</v>
      </c>
      <c r="AE41" s="2"/>
      <c r="AG41">
        <f t="shared" si="13"/>
        <v>1991</v>
      </c>
      <c r="AH41" s="6">
        <f t="shared" si="6"/>
        <v>0.20825985726122745</v>
      </c>
      <c r="AI41" s="6">
        <f t="shared" si="6"/>
        <v>0.31194773007705379</v>
      </c>
      <c r="AJ41" s="7"/>
      <c r="AK41" s="7"/>
      <c r="AL41" s="6">
        <f t="shared" si="7"/>
        <v>0.15614001687134368</v>
      </c>
      <c r="AM41" s="7"/>
      <c r="AN41" s="6">
        <f t="shared" si="14"/>
        <v>0.32365239579037502</v>
      </c>
      <c r="AO41" s="6">
        <f t="shared" ref="AO41:AO64" si="33">SUM(AH41:AN41)</f>
        <v>1</v>
      </c>
      <c r="AP41" s="7">
        <f t="shared" ref="AP41:AP64" si="34">SUM(AH41:AM41)</f>
        <v>0.67634760420962492</v>
      </c>
      <c r="AQ41" s="7">
        <f t="shared" ref="AQ41:AQ64" si="35">AO41-(AP41+AN41)</f>
        <v>0</v>
      </c>
      <c r="AR41" s="7"/>
      <c r="AS41">
        <f t="shared" ref="AS41:AS64" si="36">A41</f>
        <v>1991</v>
      </c>
      <c r="AT41" s="2">
        <f t="shared" si="15"/>
        <v>22644.46714325</v>
      </c>
      <c r="AU41" s="2">
        <f t="shared" si="15"/>
        <v>33918.6351946875</v>
      </c>
      <c r="AV41" s="2"/>
      <c r="AW41" s="2"/>
      <c r="AX41" s="2">
        <f t="shared" si="16"/>
        <v>16977.383583600003</v>
      </c>
      <c r="AY41" s="2"/>
      <c r="AZ41" s="2">
        <f t="shared" si="17"/>
        <v>35191.3044534375</v>
      </c>
      <c r="BA41" s="2">
        <f t="shared" si="17"/>
        <v>108731.79037497501</v>
      </c>
      <c r="BB41" s="2">
        <f t="shared" si="18"/>
        <v>0</v>
      </c>
      <c r="BC41" s="2"/>
      <c r="BM41" s="24"/>
      <c r="BN41">
        <f t="shared" si="5"/>
        <v>1991</v>
      </c>
      <c r="BO41" s="1" t="b">
        <f t="shared" ref="BO41:BO64" si="37">AND((S41/$Z41)&gt;0.15,(S41/$Z41)&lt;0.25)</f>
        <v>1</v>
      </c>
      <c r="BP41" s="1" t="b">
        <f t="shared" ref="BP41:BP50" si="38">AND((T41/$Z41)&gt;0.25,(T41/$Z41)&lt;0.35)</f>
        <v>1</v>
      </c>
      <c r="BS41" s="1" t="b">
        <f t="shared" si="19"/>
        <v>1</v>
      </c>
      <c r="BU41" s="1" t="b">
        <f t="shared" ref="BU41:BU64" si="39">AND((Y41/$Z41)&gt;0.25,(Y41/$Z41)&lt;0.35)</f>
        <v>1</v>
      </c>
      <c r="BV41" s="1" t="b">
        <f t="shared" ref="BV41:BV64" si="40">AND((Z41/$Z41)&gt;0.999,(Z41/$Z41)&lt;1.01)</f>
        <v>1</v>
      </c>
      <c r="CH41" s="2"/>
    </row>
    <row r="42" spans="1:86" x14ac:dyDescent="0.2">
      <c r="A42">
        <f t="shared" si="8"/>
        <v>1992</v>
      </c>
      <c r="B42" s="2">
        <f t="shared" si="20"/>
        <v>24324.686605279152</v>
      </c>
      <c r="C42" s="2">
        <f t="shared" si="21"/>
        <v>38146.932258057241</v>
      </c>
      <c r="D42" s="2"/>
      <c r="E42" s="2"/>
      <c r="F42" s="2">
        <f t="shared" si="22"/>
        <v>15496.785961274247</v>
      </c>
      <c r="G42" s="2"/>
      <c r="H42" s="2">
        <f t="shared" si="23"/>
        <v>37703.963591412932</v>
      </c>
      <c r="I42" s="2">
        <f t="shared" ref="I42:I64" si="41">SUM(B42:H42)</f>
        <v>115672.36841602357</v>
      </c>
      <c r="J42" s="2">
        <f t="shared" si="24"/>
        <v>2383.5528485485702</v>
      </c>
      <c r="K42" s="6">
        <f t="shared" si="25"/>
        <v>2.1039613103986617E-2</v>
      </c>
      <c r="L42" s="7">
        <f t="shared" si="26"/>
        <v>1.0210396131039867</v>
      </c>
      <c r="N42">
        <f t="shared" si="27"/>
        <v>1992</v>
      </c>
      <c r="O42" s="2">
        <f t="shared" si="28"/>
        <v>4693.7359482750007</v>
      </c>
      <c r="P42" s="2"/>
      <c r="Q42" s="2"/>
      <c r="R42">
        <f t="shared" si="29"/>
        <v>1992</v>
      </c>
      <c r="S42" s="2">
        <f t="shared" ref="S42:T48" si="42">B42-($O42/4)</f>
        <v>23151.252618210401</v>
      </c>
      <c r="T42" s="2">
        <f t="shared" si="42"/>
        <v>36973.498270988493</v>
      </c>
      <c r="U42" s="2"/>
      <c r="V42" s="2"/>
      <c r="W42" s="2">
        <f t="shared" si="12"/>
        <v>14323.351974205496</v>
      </c>
      <c r="X42" s="2"/>
      <c r="Y42" s="2">
        <f t="shared" ref="Y42:Y48" si="43">H42-($O42/4)</f>
        <v>36530.529604344185</v>
      </c>
      <c r="Z42" s="2">
        <f t="shared" ref="Z42:Z64" si="44">SUM(S42:Y42)</f>
        <v>110978.63246774857</v>
      </c>
      <c r="AA42" s="2">
        <f t="shared" si="30"/>
        <v>2246.8420927735569</v>
      </c>
      <c r="AB42" s="6">
        <f t="shared" si="31"/>
        <v>2.0664077037865783E-2</v>
      </c>
      <c r="AC42" s="7">
        <f t="shared" si="32"/>
        <v>1.0206640770378659</v>
      </c>
      <c r="AD42" s="2">
        <f t="shared" ref="AD42:AD64" si="45">Z42-(I42-O42)</f>
        <v>0</v>
      </c>
      <c r="AE42" s="2"/>
      <c r="AG42">
        <f t="shared" si="13"/>
        <v>1992</v>
      </c>
      <c r="AH42" s="6">
        <f t="shared" si="6"/>
        <v>0.20861000089308518</v>
      </c>
      <c r="AI42" s="6">
        <f t="shared" si="6"/>
        <v>0.33315871216680687</v>
      </c>
      <c r="AJ42" s="7"/>
      <c r="AK42" s="7"/>
      <c r="AL42" s="6">
        <f t="shared" si="7"/>
        <v>0.12906405184230393</v>
      </c>
      <c r="AM42" s="7"/>
      <c r="AN42" s="6">
        <f t="shared" si="14"/>
        <v>0.32916723509780405</v>
      </c>
      <c r="AO42" s="6">
        <f t="shared" si="33"/>
        <v>1</v>
      </c>
      <c r="AP42" s="7">
        <f t="shared" si="34"/>
        <v>0.67083276490219601</v>
      </c>
      <c r="AQ42" s="7">
        <f t="shared" si="35"/>
        <v>0</v>
      </c>
      <c r="AR42" s="7"/>
      <c r="AS42">
        <f t="shared" si="36"/>
        <v>1992</v>
      </c>
      <c r="AT42" s="2">
        <f t="shared" si="15"/>
        <v>23151.252618210401</v>
      </c>
      <c r="AU42" s="2">
        <f t="shared" si="15"/>
        <v>36973.498270988493</v>
      </c>
      <c r="AV42" s="2"/>
      <c r="AW42" s="2"/>
      <c r="AX42" s="2">
        <f t="shared" si="16"/>
        <v>14323.351974205496</v>
      </c>
      <c r="AY42" s="2"/>
      <c r="AZ42" s="2">
        <f t="shared" si="17"/>
        <v>36530.529604344185</v>
      </c>
      <c r="BA42" s="2">
        <f t="shared" si="17"/>
        <v>110978.63246774857</v>
      </c>
      <c r="BB42" s="2">
        <f t="shared" si="18"/>
        <v>0</v>
      </c>
      <c r="BC42" s="2"/>
      <c r="BM42" s="24"/>
      <c r="BN42">
        <f t="shared" si="5"/>
        <v>1992</v>
      </c>
      <c r="BO42" s="1" t="b">
        <f t="shared" si="37"/>
        <v>1</v>
      </c>
      <c r="BP42" s="1" t="b">
        <f t="shared" si="38"/>
        <v>1</v>
      </c>
      <c r="BS42" s="1" t="b">
        <f t="shared" si="19"/>
        <v>0</v>
      </c>
      <c r="BU42" s="1" t="b">
        <f t="shared" si="39"/>
        <v>1</v>
      </c>
      <c r="BV42" s="1" t="b">
        <f t="shared" si="40"/>
        <v>1</v>
      </c>
      <c r="CH42" s="2"/>
    </row>
    <row r="43" spans="1:86" x14ac:dyDescent="0.2">
      <c r="A43">
        <f t="shared" si="8"/>
        <v>1993</v>
      </c>
      <c r="B43" s="2">
        <f t="shared" si="20"/>
        <v>25440.911502151408</v>
      </c>
      <c r="C43" s="2">
        <f t="shared" si="21"/>
        <v>42330.958170454731</v>
      </c>
      <c r="D43" s="2"/>
      <c r="E43" s="2"/>
      <c r="F43" s="2">
        <f t="shared" si="22"/>
        <v>18691.114925219721</v>
      </c>
      <c r="G43" s="2"/>
      <c r="H43" s="2">
        <f t="shared" si="23"/>
        <v>40066.684870044701</v>
      </c>
      <c r="I43" s="2">
        <f t="shared" si="41"/>
        <v>126529.66946787057</v>
      </c>
      <c r="J43" s="2">
        <f t="shared" si="24"/>
        <v>10857.301051846996</v>
      </c>
      <c r="K43" s="6">
        <f t="shared" si="25"/>
        <v>9.386252914609626E-2</v>
      </c>
      <c r="L43" s="7">
        <f t="shared" si="26"/>
        <v>1.0938625291460962</v>
      </c>
      <c r="N43">
        <f t="shared" si="27"/>
        <v>1993</v>
      </c>
      <c r="O43" s="2">
        <f t="shared" si="28"/>
        <v>4834.5480267232506</v>
      </c>
      <c r="P43" s="2"/>
      <c r="Q43" s="2"/>
      <c r="R43">
        <f t="shared" si="29"/>
        <v>1993</v>
      </c>
      <c r="S43" s="2">
        <f t="shared" si="42"/>
        <v>24232.274495470596</v>
      </c>
      <c r="T43" s="2">
        <f t="shared" si="42"/>
        <v>41122.321163773915</v>
      </c>
      <c r="U43" s="2"/>
      <c r="V43" s="2"/>
      <c r="W43" s="2">
        <f t="shared" si="12"/>
        <v>17482.477918538909</v>
      </c>
      <c r="X43" s="2"/>
      <c r="Y43" s="2">
        <f t="shared" si="43"/>
        <v>38858.047863363885</v>
      </c>
      <c r="Z43" s="2">
        <f t="shared" si="44"/>
        <v>121695.1214411473</v>
      </c>
      <c r="AA43" s="2">
        <f t="shared" si="30"/>
        <v>10716.488973398737</v>
      </c>
      <c r="AB43" s="6">
        <f t="shared" si="31"/>
        <v>9.6563534214688121E-2</v>
      </c>
      <c r="AC43" s="7">
        <f t="shared" si="32"/>
        <v>1.0965635342146882</v>
      </c>
      <c r="AD43" s="2">
        <f t="shared" si="45"/>
        <v>0</v>
      </c>
      <c r="AE43" s="2"/>
      <c r="AG43">
        <f t="shared" si="13"/>
        <v>1993</v>
      </c>
      <c r="AH43" s="6">
        <f t="shared" si="6"/>
        <v>0.19912280959585968</v>
      </c>
      <c r="AI43" s="6">
        <f t="shared" si="6"/>
        <v>0.33791265152449834</v>
      </c>
      <c r="AJ43" s="7"/>
      <c r="AK43" s="7"/>
      <c r="AL43" s="6">
        <f t="shared" si="7"/>
        <v>0.14365800133568682</v>
      </c>
      <c r="AM43" s="7"/>
      <c r="AN43" s="6">
        <f t="shared" si="14"/>
        <v>0.31930653754395516</v>
      </c>
      <c r="AO43" s="6">
        <f t="shared" si="33"/>
        <v>1</v>
      </c>
      <c r="AP43" s="7">
        <f t="shared" si="34"/>
        <v>0.6806934624560449</v>
      </c>
      <c r="AQ43" s="7">
        <f t="shared" si="35"/>
        <v>0</v>
      </c>
      <c r="AR43" s="7"/>
      <c r="AS43">
        <f t="shared" si="36"/>
        <v>1993</v>
      </c>
      <c r="AT43" s="2">
        <f t="shared" si="15"/>
        <v>24232.274495470596</v>
      </c>
      <c r="AU43" s="2">
        <f t="shared" si="15"/>
        <v>41122.321163773915</v>
      </c>
      <c r="AV43" s="2"/>
      <c r="AW43" s="2"/>
      <c r="AX43" s="2">
        <f t="shared" si="16"/>
        <v>17482.477918538909</v>
      </c>
      <c r="AY43" s="2"/>
      <c r="AZ43" s="2">
        <f t="shared" si="17"/>
        <v>38858.047863363885</v>
      </c>
      <c r="BA43" s="2">
        <f t="shared" si="17"/>
        <v>121695.1214411473</v>
      </c>
      <c r="BB43" s="2">
        <f t="shared" si="18"/>
        <v>0</v>
      </c>
      <c r="BC43" s="2"/>
      <c r="BM43" s="24"/>
      <c r="BN43">
        <f t="shared" si="5"/>
        <v>1993</v>
      </c>
      <c r="BO43" s="1" t="b">
        <f t="shared" si="37"/>
        <v>1</v>
      </c>
      <c r="BP43" s="1" t="b">
        <f t="shared" si="38"/>
        <v>1</v>
      </c>
      <c r="BS43" s="1" t="b">
        <f t="shared" si="19"/>
        <v>0</v>
      </c>
      <c r="BU43" s="1" t="b">
        <f t="shared" si="39"/>
        <v>1</v>
      </c>
      <c r="BV43" s="1" t="b">
        <f t="shared" si="40"/>
        <v>1</v>
      </c>
      <c r="CH43" s="2"/>
    </row>
    <row r="44" spans="1:86" x14ac:dyDescent="0.2">
      <c r="A44">
        <f t="shared" si="8"/>
        <v>1994</v>
      </c>
      <c r="B44" s="2">
        <f t="shared" si="20"/>
        <v>24518.21533451715</v>
      </c>
      <c r="C44" s="2">
        <f t="shared" si="21"/>
        <v>40396.923418444945</v>
      </c>
      <c r="D44" s="2"/>
      <c r="E44" s="2"/>
      <c r="F44" s="2">
        <f t="shared" si="22"/>
        <v>18401.18213315813</v>
      </c>
      <c r="G44" s="2"/>
      <c r="H44" s="2">
        <f t="shared" si="23"/>
        <v>37824.423790198409</v>
      </c>
      <c r="I44" s="2">
        <f t="shared" si="41"/>
        <v>121140.74467631863</v>
      </c>
      <c r="J44" s="2">
        <f t="shared" si="24"/>
        <v>-5388.9247915519372</v>
      </c>
      <c r="K44" s="6">
        <f t="shared" si="25"/>
        <v>-4.2590206820387978E-2</v>
      </c>
      <c r="L44" s="7">
        <f t="shared" si="26"/>
        <v>0.95740979317961206</v>
      </c>
      <c r="N44">
        <f t="shared" si="27"/>
        <v>1994</v>
      </c>
      <c r="O44" s="2">
        <f t="shared" si="28"/>
        <v>4969.9153714715021</v>
      </c>
      <c r="P44" s="2"/>
      <c r="Q44" s="2"/>
      <c r="R44">
        <f t="shared" si="29"/>
        <v>1994</v>
      </c>
      <c r="S44" s="2">
        <f t="shared" si="42"/>
        <v>23275.736491649273</v>
      </c>
      <c r="T44" s="2">
        <f t="shared" si="42"/>
        <v>39154.444575577072</v>
      </c>
      <c r="U44" s="2"/>
      <c r="V44" s="2"/>
      <c r="W44" s="2">
        <f t="shared" si="12"/>
        <v>17158.703290290254</v>
      </c>
      <c r="X44" s="2"/>
      <c r="Y44" s="2">
        <f t="shared" si="43"/>
        <v>36581.944947330536</v>
      </c>
      <c r="Z44" s="2">
        <f t="shared" si="44"/>
        <v>116170.82930484714</v>
      </c>
      <c r="AA44" s="2">
        <f t="shared" si="30"/>
        <v>-5524.292136300166</v>
      </c>
      <c r="AB44" s="6">
        <f t="shared" si="31"/>
        <v>-4.5394524208365705E-2</v>
      </c>
      <c r="AC44" s="7">
        <f t="shared" si="32"/>
        <v>0.95460547579163424</v>
      </c>
      <c r="AD44" s="2">
        <f t="shared" si="45"/>
        <v>0</v>
      </c>
      <c r="AE44" s="2"/>
      <c r="AG44">
        <f t="shared" si="13"/>
        <v>1994</v>
      </c>
      <c r="AH44" s="59">
        <f t="shared" si="6"/>
        <v>0.20035784052613378</v>
      </c>
      <c r="AI44" s="59">
        <f t="shared" si="6"/>
        <v>0.33704196492245736</v>
      </c>
      <c r="AJ44" s="60"/>
      <c r="AK44" s="60"/>
      <c r="AL44" s="59">
        <f t="shared" si="7"/>
        <v>0.14770233967482163</v>
      </c>
      <c r="AM44" s="60"/>
      <c r="AN44" s="59">
        <f t="shared" si="14"/>
        <v>0.31489785487658717</v>
      </c>
      <c r="AO44" s="6">
        <f t="shared" si="33"/>
        <v>0.99999999999999989</v>
      </c>
      <c r="AP44" s="7">
        <f t="shared" si="34"/>
        <v>0.68510214512341272</v>
      </c>
      <c r="AQ44" s="7">
        <f t="shared" si="35"/>
        <v>0</v>
      </c>
      <c r="AR44" s="7"/>
      <c r="AS44">
        <f t="shared" si="36"/>
        <v>1994</v>
      </c>
      <c r="AT44" s="2">
        <f t="shared" si="15"/>
        <v>23275.736491649273</v>
      </c>
      <c r="AU44" s="2">
        <f t="shared" si="15"/>
        <v>39154.444575577072</v>
      </c>
      <c r="AV44" s="2"/>
      <c r="AW44" s="2"/>
      <c r="AX44" s="2">
        <f t="shared" si="16"/>
        <v>17158.703290290254</v>
      </c>
      <c r="AY44" s="2"/>
      <c r="AZ44" s="2">
        <f t="shared" si="17"/>
        <v>36581.944947330536</v>
      </c>
      <c r="BA44" s="2">
        <f t="shared" si="17"/>
        <v>116170.82930484714</v>
      </c>
      <c r="BB44" s="2">
        <f t="shared" si="18"/>
        <v>0</v>
      </c>
      <c r="BC44" s="2"/>
      <c r="BM44" s="24"/>
      <c r="BN44">
        <f t="shared" si="5"/>
        <v>1994</v>
      </c>
      <c r="BO44" s="1" t="b">
        <f t="shared" si="37"/>
        <v>1</v>
      </c>
      <c r="BP44" s="28" t="b">
        <f t="shared" si="38"/>
        <v>1</v>
      </c>
      <c r="BS44" s="28" t="b">
        <f t="shared" si="19"/>
        <v>0</v>
      </c>
      <c r="BU44" s="1" t="b">
        <f t="shared" si="39"/>
        <v>1</v>
      </c>
      <c r="BV44" s="1" t="b">
        <f t="shared" si="40"/>
        <v>1</v>
      </c>
      <c r="CH44" s="2"/>
    </row>
    <row r="45" spans="1:86" x14ac:dyDescent="0.2">
      <c r="A45">
        <f t="shared" si="8"/>
        <v>1995</v>
      </c>
      <c r="B45" s="2">
        <f t="shared" si="20"/>
        <v>31992.499807771928</v>
      </c>
      <c r="C45" s="2">
        <f t="shared" si="21"/>
        <v>52387.472208784849</v>
      </c>
      <c r="D45" s="2"/>
      <c r="E45" s="2"/>
      <c r="F45" s="2">
        <f t="shared" si="22"/>
        <v>18813.83180967165</v>
      </c>
      <c r="G45" s="2"/>
      <c r="H45" s="2">
        <f t="shared" si="23"/>
        <v>43232.542538755224</v>
      </c>
      <c r="I45" s="2">
        <f t="shared" si="41"/>
        <v>146426.34636498365</v>
      </c>
      <c r="J45" s="2">
        <f t="shared" si="24"/>
        <v>25285.601688665018</v>
      </c>
      <c r="K45" s="6">
        <f t="shared" si="25"/>
        <v>0.20872912541710675</v>
      </c>
      <c r="L45" s="7">
        <f t="shared" si="26"/>
        <v>1.2087291254171069</v>
      </c>
      <c r="N45">
        <f t="shared" si="27"/>
        <v>1995</v>
      </c>
      <c r="O45" s="2">
        <f t="shared" si="28"/>
        <v>5099.1331711297616</v>
      </c>
      <c r="P45" s="2"/>
      <c r="Q45" s="2"/>
      <c r="R45">
        <f t="shared" si="29"/>
        <v>1995</v>
      </c>
      <c r="S45" s="2">
        <f t="shared" si="42"/>
        <v>30717.716514989486</v>
      </c>
      <c r="T45" s="2">
        <f t="shared" si="42"/>
        <v>51112.688916002407</v>
      </c>
      <c r="U45" s="2"/>
      <c r="V45" s="2"/>
      <c r="W45" s="2">
        <f t="shared" si="12"/>
        <v>17539.048516889208</v>
      </c>
      <c r="X45" s="2"/>
      <c r="Y45" s="2">
        <f t="shared" si="43"/>
        <v>41957.759245972782</v>
      </c>
      <c r="Z45" s="2">
        <f t="shared" si="44"/>
        <v>141327.21319385388</v>
      </c>
      <c r="AA45" s="2">
        <f t="shared" si="30"/>
        <v>25156.383889006742</v>
      </c>
      <c r="AB45" s="6">
        <f t="shared" si="31"/>
        <v>0.21654647762729806</v>
      </c>
      <c r="AC45" s="7">
        <f t="shared" si="32"/>
        <v>1.2165464776272981</v>
      </c>
      <c r="AD45" s="2">
        <f t="shared" si="45"/>
        <v>0</v>
      </c>
      <c r="AE45" s="2"/>
      <c r="AG45">
        <f t="shared" si="13"/>
        <v>1995</v>
      </c>
      <c r="AH45" s="59">
        <f t="shared" si="6"/>
        <v>0.21735174578766375</v>
      </c>
      <c r="AI45" s="59">
        <f t="shared" si="6"/>
        <v>0.36166204484548081</v>
      </c>
      <c r="AJ45" s="60"/>
      <c r="AK45" s="60"/>
      <c r="AL45" s="59">
        <f t="shared" si="7"/>
        <v>0.12410241538430021</v>
      </c>
      <c r="AM45" s="60"/>
      <c r="AN45" s="59">
        <f t="shared" si="14"/>
        <v>0.29688379398255527</v>
      </c>
      <c r="AO45" s="6">
        <f t="shared" si="33"/>
        <v>1</v>
      </c>
      <c r="AP45" s="7">
        <f t="shared" si="34"/>
        <v>0.70311620601744473</v>
      </c>
      <c r="AQ45" s="7">
        <f t="shared" si="35"/>
        <v>0</v>
      </c>
      <c r="AR45" s="7"/>
      <c r="AS45">
        <f t="shared" si="36"/>
        <v>1995</v>
      </c>
      <c r="AT45" s="2">
        <f t="shared" si="15"/>
        <v>30717.716514989486</v>
      </c>
      <c r="AU45" s="2">
        <f t="shared" si="15"/>
        <v>51112.688916002407</v>
      </c>
      <c r="AV45" s="2"/>
      <c r="AW45" s="2"/>
      <c r="AX45" s="2">
        <f t="shared" si="16"/>
        <v>17539.048516889208</v>
      </c>
      <c r="AY45" s="2"/>
      <c r="AZ45" s="2">
        <f t="shared" si="17"/>
        <v>41957.759245972782</v>
      </c>
      <c r="BA45" s="2">
        <f t="shared" si="17"/>
        <v>141327.21319385388</v>
      </c>
      <c r="BB45" s="2">
        <f t="shared" si="18"/>
        <v>0</v>
      </c>
      <c r="BC45" s="2"/>
      <c r="BM45" s="24"/>
      <c r="BN45">
        <f t="shared" si="5"/>
        <v>1995</v>
      </c>
      <c r="BO45" s="1" t="b">
        <f t="shared" si="37"/>
        <v>1</v>
      </c>
      <c r="BP45" s="1" t="b">
        <f t="shared" si="38"/>
        <v>0</v>
      </c>
      <c r="BS45" s="1" t="b">
        <f t="shared" si="19"/>
        <v>0</v>
      </c>
      <c r="BU45" s="1" t="b">
        <f t="shared" si="39"/>
        <v>1</v>
      </c>
      <c r="BV45" s="1" t="b">
        <f t="shared" si="40"/>
        <v>1</v>
      </c>
      <c r="CH45" s="2"/>
    </row>
    <row r="46" spans="1:86" x14ac:dyDescent="0.2">
      <c r="A46">
        <f t="shared" si="8"/>
        <v>1996</v>
      </c>
      <c r="B46" s="2">
        <f t="shared" si="20"/>
        <v>37745.930053619086</v>
      </c>
      <c r="C46" s="2">
        <f t="shared" si="21"/>
        <v>60132.545129009348</v>
      </c>
      <c r="D46" s="2"/>
      <c r="E46" s="2"/>
      <c r="F46" s="2">
        <f t="shared" si="22"/>
        <v>19331.363884830116</v>
      </c>
      <c r="G46" s="2"/>
      <c r="H46" s="2">
        <f t="shared" si="23"/>
        <v>43459.847026978612</v>
      </c>
      <c r="I46" s="2">
        <f t="shared" si="41"/>
        <v>160669.68609443717</v>
      </c>
      <c r="J46" s="2">
        <f t="shared" si="24"/>
        <v>14243.339729453524</v>
      </c>
      <c r="K46" s="6">
        <f t="shared" si="25"/>
        <v>9.727306651461784E-2</v>
      </c>
      <c r="L46" s="7">
        <f t="shared" si="26"/>
        <v>1.0972730665146178</v>
      </c>
      <c r="N46">
        <f t="shared" si="27"/>
        <v>1996</v>
      </c>
      <c r="O46" s="2">
        <f t="shared" si="28"/>
        <v>5226.6115004080057</v>
      </c>
      <c r="P46" s="2"/>
      <c r="Q46" s="2"/>
      <c r="R46">
        <f t="shared" si="29"/>
        <v>1996</v>
      </c>
      <c r="S46" s="2">
        <f t="shared" si="42"/>
        <v>36439.277178517084</v>
      </c>
      <c r="T46" s="2">
        <f t="shared" si="42"/>
        <v>58825.892253907346</v>
      </c>
      <c r="U46" s="2"/>
      <c r="V46" s="2"/>
      <c r="W46" s="2">
        <f t="shared" si="12"/>
        <v>18024.711009728115</v>
      </c>
      <c r="X46" s="2"/>
      <c r="Y46" s="2">
        <f t="shared" si="43"/>
        <v>42153.194151876611</v>
      </c>
      <c r="Z46" s="2">
        <f t="shared" si="44"/>
        <v>155443.07459402917</v>
      </c>
      <c r="AA46" s="2">
        <f t="shared" si="30"/>
        <v>14115.861400175287</v>
      </c>
      <c r="AB46" s="6">
        <f t="shared" si="31"/>
        <v>9.988070295289149E-2</v>
      </c>
      <c r="AC46" s="7">
        <f t="shared" si="32"/>
        <v>1.0998807029528914</v>
      </c>
      <c r="AD46" s="2">
        <f t="shared" si="45"/>
        <v>0</v>
      </c>
      <c r="AE46" s="2"/>
      <c r="AG46">
        <f t="shared" si="13"/>
        <v>1996</v>
      </c>
      <c r="AH46" s="6">
        <f t="shared" si="6"/>
        <v>0.23442200479941341</v>
      </c>
      <c r="AI46" s="6">
        <f t="shared" si="6"/>
        <v>0.37844009717089672</v>
      </c>
      <c r="AJ46" s="7"/>
      <c r="AK46" s="7"/>
      <c r="AL46" s="6">
        <f t="shared" si="7"/>
        <v>0.11595698976492372</v>
      </c>
      <c r="AM46" s="7"/>
      <c r="AN46" s="6">
        <f t="shared" si="14"/>
        <v>0.27118090826476604</v>
      </c>
      <c r="AO46" s="6">
        <f t="shared" si="33"/>
        <v>0.99999999999999989</v>
      </c>
      <c r="AP46" s="7">
        <f t="shared" si="34"/>
        <v>0.72881909173523385</v>
      </c>
      <c r="AQ46" s="7">
        <f t="shared" si="35"/>
        <v>0</v>
      </c>
      <c r="AR46" s="7"/>
      <c r="AS46">
        <f t="shared" si="36"/>
        <v>1996</v>
      </c>
      <c r="AT46" s="2">
        <f t="shared" si="15"/>
        <v>36439.277178517084</v>
      </c>
      <c r="AU46" s="2">
        <f t="shared" si="15"/>
        <v>58825.892253907346</v>
      </c>
      <c r="AV46" s="2"/>
      <c r="AW46" s="2"/>
      <c r="AX46" s="2">
        <f t="shared" si="16"/>
        <v>18024.711009728115</v>
      </c>
      <c r="AY46" s="2"/>
      <c r="AZ46" s="2">
        <f t="shared" si="17"/>
        <v>42153.194151876611</v>
      </c>
      <c r="BA46" s="2">
        <f t="shared" si="17"/>
        <v>155443.07459402917</v>
      </c>
      <c r="BB46" s="2">
        <f t="shared" si="18"/>
        <v>0</v>
      </c>
      <c r="BC46" s="2"/>
      <c r="BM46" s="24"/>
      <c r="BN46">
        <f t="shared" si="5"/>
        <v>1996</v>
      </c>
      <c r="BO46" s="1" t="b">
        <f t="shared" si="37"/>
        <v>1</v>
      </c>
      <c r="BP46" s="1" t="b">
        <f t="shared" si="38"/>
        <v>0</v>
      </c>
      <c r="BS46" s="1" t="b">
        <f t="shared" si="19"/>
        <v>0</v>
      </c>
      <c r="BU46" s="1" t="b">
        <f t="shared" si="39"/>
        <v>1</v>
      </c>
      <c r="BV46" s="1" t="b">
        <f t="shared" si="40"/>
        <v>1</v>
      </c>
      <c r="CH46" s="2"/>
    </row>
    <row r="47" spans="1:86" x14ac:dyDescent="0.2">
      <c r="A47">
        <f t="shared" si="8"/>
        <v>1997</v>
      </c>
      <c r="B47" s="2">
        <f t="shared" si="20"/>
        <v>48533.473274066906</v>
      </c>
      <c r="C47" s="2">
        <f t="shared" si="21"/>
        <v>74524.758119707592</v>
      </c>
      <c r="D47" s="2"/>
      <c r="E47" s="2"/>
      <c r="F47" s="2"/>
      <c r="G47" s="2">
        <f>AX46*(1+(G11/100))</f>
        <v>18024.711009728115</v>
      </c>
      <c r="H47" s="2">
        <f t="shared" si="23"/>
        <v>46132.455679813764</v>
      </c>
      <c r="I47" s="2">
        <f t="shared" si="41"/>
        <v>187215.3980833164</v>
      </c>
      <c r="J47" s="2">
        <f t="shared" si="24"/>
        <v>26545.711988879222</v>
      </c>
      <c r="K47" s="6">
        <f t="shared" si="25"/>
        <v>0.16521916880622017</v>
      </c>
      <c r="L47" s="7">
        <f t="shared" si="26"/>
        <v>1.1652191688062201</v>
      </c>
      <c r="N47">
        <f t="shared" si="27"/>
        <v>1997</v>
      </c>
      <c r="O47" s="2">
        <f t="shared" si="28"/>
        <v>5404.3162914218783</v>
      </c>
      <c r="P47" s="2"/>
      <c r="Q47" s="2"/>
      <c r="R47">
        <f t="shared" si="29"/>
        <v>1997</v>
      </c>
      <c r="S47" s="2">
        <f t="shared" si="42"/>
        <v>47182.394201211435</v>
      </c>
      <c r="T47" s="2">
        <f t="shared" si="42"/>
        <v>73173.679046852121</v>
      </c>
      <c r="U47" s="2"/>
      <c r="V47" s="2"/>
      <c r="W47" s="2"/>
      <c r="X47" s="2">
        <f t="shared" ref="X47:X48" si="46">G47-($O47/4)</f>
        <v>16673.631936872644</v>
      </c>
      <c r="Y47" s="2">
        <f t="shared" si="43"/>
        <v>44781.376606958293</v>
      </c>
      <c r="Z47" s="2">
        <f t="shared" si="44"/>
        <v>181811.08179189451</v>
      </c>
      <c r="AA47" s="2">
        <f t="shared" si="30"/>
        <v>26368.007197865343</v>
      </c>
      <c r="AB47" s="6">
        <f t="shared" si="31"/>
        <v>0.16963127670197398</v>
      </c>
      <c r="AC47" s="7">
        <f t="shared" si="32"/>
        <v>1.1696312767019741</v>
      </c>
      <c r="AD47" s="2">
        <f t="shared" si="45"/>
        <v>0</v>
      </c>
      <c r="AE47" s="2"/>
      <c r="AG47">
        <f t="shared" si="13"/>
        <v>1997</v>
      </c>
      <c r="AH47" s="6">
        <f t="shared" si="6"/>
        <v>0.25951330213863189</v>
      </c>
      <c r="AI47" s="6">
        <f t="shared" si="6"/>
        <v>0.40247095130652449</v>
      </c>
      <c r="AJ47" s="7"/>
      <c r="AK47" s="7"/>
      <c r="AL47" s="6">
        <f t="shared" si="7"/>
        <v>0</v>
      </c>
      <c r="AM47" s="7"/>
      <c r="AN47" s="6">
        <f t="shared" si="14"/>
        <v>0.24630718966963835</v>
      </c>
      <c r="AO47" s="6">
        <f t="shared" si="33"/>
        <v>0.90829144311479471</v>
      </c>
      <c r="AP47" s="7">
        <f t="shared" si="34"/>
        <v>0.66198425344515632</v>
      </c>
      <c r="AQ47" s="7">
        <f t="shared" si="35"/>
        <v>0</v>
      </c>
      <c r="AR47" s="7"/>
      <c r="AS47">
        <f t="shared" si="36"/>
        <v>1997</v>
      </c>
      <c r="AT47" s="2">
        <f t="shared" si="15"/>
        <v>47182.394201211435</v>
      </c>
      <c r="AU47" s="2">
        <f t="shared" si="15"/>
        <v>73173.679046852121</v>
      </c>
      <c r="AV47" s="2"/>
      <c r="AW47" s="2"/>
      <c r="AX47" s="2"/>
      <c r="AY47" s="2">
        <f>X47</f>
        <v>16673.631936872644</v>
      </c>
      <c r="AZ47" s="2">
        <f t="shared" si="17"/>
        <v>44781.376606958293</v>
      </c>
      <c r="BA47" s="2">
        <f t="shared" si="17"/>
        <v>181811.08179189451</v>
      </c>
      <c r="BB47" s="2">
        <f t="shared" si="18"/>
        <v>0</v>
      </c>
      <c r="BC47" s="2"/>
      <c r="BM47" s="24"/>
      <c r="BN47">
        <f t="shared" si="5"/>
        <v>1997</v>
      </c>
      <c r="BO47" s="1" t="b">
        <f t="shared" si="37"/>
        <v>0</v>
      </c>
      <c r="BP47" s="1" t="b">
        <f t="shared" si="38"/>
        <v>0</v>
      </c>
      <c r="BS47" s="1" t="b">
        <f t="shared" si="19"/>
        <v>0</v>
      </c>
      <c r="BU47" s="1" t="b">
        <f t="shared" si="39"/>
        <v>0</v>
      </c>
      <c r="BV47" s="1" t="b">
        <f t="shared" si="40"/>
        <v>1</v>
      </c>
      <c r="CH47" s="2"/>
    </row>
    <row r="48" spans="1:86" x14ac:dyDescent="0.2">
      <c r="A48">
        <f t="shared" si="8"/>
        <v>1998</v>
      </c>
      <c r="B48" s="2">
        <f t="shared" si="20"/>
        <v>60704.868379278632</v>
      </c>
      <c r="C48" s="2">
        <f t="shared" si="21"/>
        <v>79285.876457635692</v>
      </c>
      <c r="D48" s="2"/>
      <c r="E48" s="2"/>
      <c r="F48" s="2"/>
      <c r="G48" s="2">
        <f t="shared" ref="G48:G64" si="47">AY47*(1+(G12/100))</f>
        <v>19275.218727982879</v>
      </c>
      <c r="H48" s="2">
        <f t="shared" si="23"/>
        <v>48623.618719835322</v>
      </c>
      <c r="I48" s="2">
        <f t="shared" si="41"/>
        <v>207889.58228473252</v>
      </c>
      <c r="J48" s="2">
        <f t="shared" si="24"/>
        <v>20674.184201416123</v>
      </c>
      <c r="K48" s="6">
        <f t="shared" si="25"/>
        <v>0.11042993478675028</v>
      </c>
      <c r="L48" s="7">
        <f t="shared" si="26"/>
        <v>1.1104299347867503</v>
      </c>
      <c r="N48">
        <f t="shared" si="27"/>
        <v>1998</v>
      </c>
      <c r="O48" s="2">
        <f t="shared" si="28"/>
        <v>5496.1896683760497</v>
      </c>
      <c r="P48" s="2"/>
      <c r="Q48" s="2"/>
      <c r="R48">
        <f t="shared" si="29"/>
        <v>1998</v>
      </c>
      <c r="S48" s="2">
        <f t="shared" si="42"/>
        <v>59330.820962184618</v>
      </c>
      <c r="T48" s="2">
        <f t="shared" si="42"/>
        <v>77911.829040541677</v>
      </c>
      <c r="U48" s="2"/>
      <c r="V48" s="2"/>
      <c r="W48" s="2"/>
      <c r="X48" s="2">
        <f t="shared" si="46"/>
        <v>17901.171310888865</v>
      </c>
      <c r="Y48" s="2">
        <f t="shared" si="43"/>
        <v>47249.571302741308</v>
      </c>
      <c r="Z48" s="2">
        <f t="shared" si="44"/>
        <v>202393.39261635646</v>
      </c>
      <c r="AA48" s="2">
        <f t="shared" si="30"/>
        <v>20582.310824461951</v>
      </c>
      <c r="AB48" s="6">
        <f t="shared" si="31"/>
        <v>0.11320713028934604</v>
      </c>
      <c r="AC48" s="7">
        <f t="shared" si="32"/>
        <v>1.113207130289346</v>
      </c>
      <c r="AD48" s="2">
        <f t="shared" si="45"/>
        <v>0</v>
      </c>
      <c r="AE48" s="2"/>
      <c r="AG48">
        <f t="shared" si="13"/>
        <v>1998</v>
      </c>
      <c r="AH48" s="6">
        <f t="shared" si="6"/>
        <v>0.29314603700847192</v>
      </c>
      <c r="AI48" s="6">
        <f t="shared" si="6"/>
        <v>0.38495243364108328</v>
      </c>
      <c r="AJ48" s="7"/>
      <c r="AK48" s="7"/>
      <c r="AL48" s="6">
        <f t="shared" si="7"/>
        <v>0</v>
      </c>
      <c r="AM48" s="6"/>
      <c r="AN48" s="6">
        <f t="shared" si="14"/>
        <v>0.23345411968217991</v>
      </c>
      <c r="AO48" s="6">
        <f t="shared" si="33"/>
        <v>0.91155259033173508</v>
      </c>
      <c r="AP48" s="7">
        <f t="shared" si="34"/>
        <v>0.6780984706495552</v>
      </c>
      <c r="AQ48" s="7">
        <f t="shared" si="35"/>
        <v>0</v>
      </c>
      <c r="AR48" s="7"/>
      <c r="AS48">
        <f t="shared" si="36"/>
        <v>1998</v>
      </c>
      <c r="AT48" s="2">
        <f t="shared" si="15"/>
        <v>59330.820962184618</v>
      </c>
      <c r="AU48" s="2">
        <f t="shared" si="15"/>
        <v>77911.829040541677</v>
      </c>
      <c r="AV48" s="2"/>
      <c r="AW48" s="2"/>
      <c r="AX48" s="2"/>
      <c r="AY48" s="2">
        <f>X48</f>
        <v>17901.171310888865</v>
      </c>
      <c r="AZ48" s="2">
        <f t="shared" si="17"/>
        <v>47249.571302741308</v>
      </c>
      <c r="BA48" s="2">
        <f t="shared" si="17"/>
        <v>202393.39261635646</v>
      </c>
      <c r="BB48" s="2">
        <f t="shared" si="18"/>
        <v>0</v>
      </c>
      <c r="BC48" s="2"/>
      <c r="BM48" s="24"/>
      <c r="BN48">
        <f t="shared" si="5"/>
        <v>1998</v>
      </c>
      <c r="BO48" s="1" t="b">
        <f t="shared" si="37"/>
        <v>0</v>
      </c>
      <c r="BP48" s="1" t="b">
        <f t="shared" si="38"/>
        <v>0</v>
      </c>
      <c r="BS48" s="1" t="b">
        <f t="shared" si="19"/>
        <v>0</v>
      </c>
      <c r="BU48" s="28" t="b">
        <f t="shared" si="39"/>
        <v>0</v>
      </c>
      <c r="BV48" s="1" t="b">
        <f t="shared" si="40"/>
        <v>1</v>
      </c>
      <c r="CH48" s="2"/>
    </row>
    <row r="49" spans="1:86" x14ac:dyDescent="0.2">
      <c r="A49">
        <f t="shared" si="8"/>
        <v>1999</v>
      </c>
      <c r="B49" s="2">
        <f t="shared" si="20"/>
        <v>71831.824938916921</v>
      </c>
      <c r="C49" s="2"/>
      <c r="D49" s="2">
        <f>($AU48*0.67)*(1+(D13/100))</f>
        <v>52200.925457162928</v>
      </c>
      <c r="E49" s="2">
        <f>($AU48*0.33)*(1+(E13/100))</f>
        <v>25710.903583378753</v>
      </c>
      <c r="F49" s="2"/>
      <c r="G49" s="2">
        <f t="shared" si="47"/>
        <v>23257.022755393707</v>
      </c>
      <c r="H49" s="2">
        <f t="shared" si="23"/>
        <v>46890.47456084047</v>
      </c>
      <c r="I49" s="2">
        <f t="shared" si="41"/>
        <v>219891.15129569278</v>
      </c>
      <c r="J49" s="2">
        <f t="shared" si="24"/>
        <v>12001.569010960258</v>
      </c>
      <c r="K49" s="6">
        <f t="shared" si="25"/>
        <v>5.7730497502864325E-2</v>
      </c>
      <c r="L49" s="7">
        <f t="shared" si="26"/>
        <v>1.0577304975028643</v>
      </c>
      <c r="N49">
        <f t="shared" si="27"/>
        <v>1999</v>
      </c>
      <c r="O49" s="2">
        <f t="shared" si="28"/>
        <v>5584.1287030700669</v>
      </c>
      <c r="P49" s="2"/>
      <c r="Q49" s="2"/>
      <c r="R49">
        <f t="shared" si="29"/>
        <v>1999</v>
      </c>
      <c r="S49" s="2">
        <f t="shared" ref="S49:S50" si="48">B49-($O49/5)</f>
        <v>70714.999198302903</v>
      </c>
      <c r="T49" s="2"/>
      <c r="U49" s="2">
        <f>D49-($O49/5)</f>
        <v>51084.099716548917</v>
      </c>
      <c r="V49" s="2">
        <f>E49-($O49/5)</f>
        <v>24594.077842764738</v>
      </c>
      <c r="W49" s="2"/>
      <c r="X49" s="2">
        <f t="shared" ref="X49:X50" si="49">G49-($O49/5)</f>
        <v>22140.197014779693</v>
      </c>
      <c r="Y49" s="2">
        <f t="shared" ref="Y49:Y50" si="50">H49-($O49/5)</f>
        <v>45773.648820226459</v>
      </c>
      <c r="Z49" s="2">
        <f t="shared" si="44"/>
        <v>214307.0225926227</v>
      </c>
      <c r="AA49" s="2">
        <f t="shared" si="30"/>
        <v>11913.629976266238</v>
      </c>
      <c r="AB49" s="6">
        <f t="shared" si="31"/>
        <v>5.8863729799959075E-2</v>
      </c>
      <c r="AC49" s="7">
        <f t="shared" si="32"/>
        <v>1.058863729799959</v>
      </c>
      <c r="AD49" s="2">
        <f t="shared" si="45"/>
        <v>0</v>
      </c>
      <c r="AE49" s="2"/>
      <c r="AG49">
        <f t="shared" si="13"/>
        <v>1999</v>
      </c>
      <c r="AH49" s="6">
        <f t="shared" si="6"/>
        <v>0.32997051773112168</v>
      </c>
      <c r="AI49" s="6">
        <f t="shared" si="6"/>
        <v>0</v>
      </c>
      <c r="AJ49" s="7"/>
      <c r="AK49" s="7"/>
      <c r="AL49" s="6"/>
      <c r="AM49" s="6">
        <f t="shared" si="7"/>
        <v>0.10331064631916474</v>
      </c>
      <c r="AN49" s="6">
        <f t="shared" si="14"/>
        <v>0.21358912212241321</v>
      </c>
      <c r="AO49" s="6">
        <f t="shared" si="33"/>
        <v>0.64687028617269959</v>
      </c>
      <c r="AP49" s="7">
        <f t="shared" si="34"/>
        <v>0.43328116405028644</v>
      </c>
      <c r="AQ49" s="7">
        <f t="shared" si="35"/>
        <v>0</v>
      </c>
      <c r="AR49" s="7"/>
      <c r="AS49">
        <f t="shared" si="36"/>
        <v>1999</v>
      </c>
      <c r="AT49" s="2">
        <f t="shared" si="15"/>
        <v>70714.999198302903</v>
      </c>
      <c r="AU49" s="2"/>
      <c r="AV49" s="2">
        <f t="shared" ref="AV49:AV50" si="51">U49</f>
        <v>51084.099716548917</v>
      </c>
      <c r="AW49" s="2">
        <f t="shared" ref="AW49:AW50" si="52">V49</f>
        <v>24594.077842764738</v>
      </c>
      <c r="AX49" s="2"/>
      <c r="AY49" s="2">
        <f>X49</f>
        <v>22140.197014779693</v>
      </c>
      <c r="AZ49" s="2">
        <f t="shared" si="17"/>
        <v>45773.648820226459</v>
      </c>
      <c r="BA49" s="2">
        <f t="shared" si="17"/>
        <v>214307.0225926227</v>
      </c>
      <c r="BB49" s="2">
        <f t="shared" si="18"/>
        <v>0</v>
      </c>
      <c r="BC49" s="2"/>
      <c r="BM49" s="24"/>
      <c r="BN49">
        <f t="shared" si="5"/>
        <v>1999</v>
      </c>
      <c r="BO49" s="1" t="b">
        <f t="shared" si="37"/>
        <v>0</v>
      </c>
      <c r="BP49" s="1" t="b">
        <f t="shared" si="38"/>
        <v>0</v>
      </c>
      <c r="BS49" s="1"/>
      <c r="BT49" s="1" t="b">
        <f t="shared" ref="BT49:BT64" si="53">AND((X49/$Z49)&gt;0.15,(X49/$Z49)&lt;0.25)</f>
        <v>0</v>
      </c>
      <c r="BU49" s="1" t="b">
        <f t="shared" si="39"/>
        <v>0</v>
      </c>
      <c r="BV49" s="1" t="b">
        <f t="shared" si="40"/>
        <v>1</v>
      </c>
      <c r="CH49" s="2"/>
    </row>
    <row r="50" spans="1:86" x14ac:dyDescent="0.2">
      <c r="A50">
        <f t="shared" si="8"/>
        <v>2000</v>
      </c>
      <c r="B50" s="2">
        <f t="shared" si="20"/>
        <v>64308.220270936661</v>
      </c>
      <c r="C50" s="2"/>
      <c r="D50" s="2">
        <f t="shared" ref="D50:D51" si="54">AV49*(1+(D14/100))</f>
        <v>60329.300083249938</v>
      </c>
      <c r="E50" s="2">
        <f t="shared" ref="E50:E51" si="55">AW49*(1+(E14/100))</f>
        <v>23938.64566825506</v>
      </c>
      <c r="F50" s="2"/>
      <c r="G50" s="2">
        <f t="shared" si="47"/>
        <v>18683.226652891994</v>
      </c>
      <c r="H50" s="2">
        <f t="shared" si="23"/>
        <v>50987.267420850258</v>
      </c>
      <c r="I50" s="2">
        <f t="shared" si="41"/>
        <v>218246.66009618388</v>
      </c>
      <c r="J50" s="2">
        <f t="shared" si="24"/>
        <v>-1644.4911995088914</v>
      </c>
      <c r="K50" s="6">
        <f t="shared" si="25"/>
        <v>-7.478660190820983E-3</v>
      </c>
      <c r="L50" s="7">
        <f t="shared" si="26"/>
        <v>0.992521339809179</v>
      </c>
      <c r="N50">
        <f t="shared" si="27"/>
        <v>2000</v>
      </c>
      <c r="O50" s="2">
        <f t="shared" si="28"/>
        <v>5734.9001780529579</v>
      </c>
      <c r="P50" s="2"/>
      <c r="Q50" s="2"/>
      <c r="R50">
        <f t="shared" si="29"/>
        <v>2000</v>
      </c>
      <c r="S50" s="2">
        <f t="shared" si="48"/>
        <v>63161.24023532607</v>
      </c>
      <c r="T50" s="2"/>
      <c r="U50" s="2">
        <f t="shared" ref="U50:U51" si="56">D50-($O50/5)</f>
        <v>59182.320047639347</v>
      </c>
      <c r="V50" s="2">
        <f t="shared" ref="V50:V51" si="57">E50-($O50/5)</f>
        <v>22791.665632644468</v>
      </c>
      <c r="W50" s="2"/>
      <c r="X50" s="2">
        <f t="shared" si="49"/>
        <v>17536.246617281402</v>
      </c>
      <c r="Y50" s="2">
        <f t="shared" si="50"/>
        <v>49840.287385239666</v>
      </c>
      <c r="Z50" s="2">
        <f t="shared" si="44"/>
        <v>212511.75991813096</v>
      </c>
      <c r="AA50" s="2">
        <f t="shared" si="30"/>
        <v>-1795.2626744917361</v>
      </c>
      <c r="AB50" s="6">
        <f t="shared" si="31"/>
        <v>-8.3770594765079625E-3</v>
      </c>
      <c r="AC50" s="7">
        <f t="shared" si="32"/>
        <v>0.99162294052349209</v>
      </c>
      <c r="AD50" s="2">
        <f t="shared" si="45"/>
        <v>0</v>
      </c>
      <c r="AE50" s="2"/>
      <c r="AG50">
        <f t="shared" si="13"/>
        <v>2000</v>
      </c>
      <c r="AH50" s="6">
        <f t="shared" si="6"/>
        <v>0.29721291781527104</v>
      </c>
      <c r="AI50" s="6">
        <f t="shared" si="6"/>
        <v>0</v>
      </c>
      <c r="AJ50" s="7"/>
      <c r="AK50" s="7"/>
      <c r="AL50" s="7"/>
      <c r="AM50" s="6">
        <f t="shared" si="7"/>
        <v>8.2518946829282055E-2</v>
      </c>
      <c r="AN50" s="6">
        <f t="shared" si="14"/>
        <v>0.23452954982086816</v>
      </c>
      <c r="AO50" s="6">
        <f t="shared" si="33"/>
        <v>0.61426141446542126</v>
      </c>
      <c r="AP50" s="7">
        <f t="shared" si="34"/>
        <v>0.37973186464455311</v>
      </c>
      <c r="AQ50" s="7">
        <f t="shared" si="35"/>
        <v>0</v>
      </c>
      <c r="AR50" s="7"/>
      <c r="AS50">
        <f t="shared" si="36"/>
        <v>2000</v>
      </c>
      <c r="AT50" s="2">
        <f t="shared" si="15"/>
        <v>63161.24023532607</v>
      </c>
      <c r="AU50" s="2"/>
      <c r="AV50" s="2">
        <f t="shared" si="51"/>
        <v>59182.320047639347</v>
      </c>
      <c r="AW50" s="2">
        <f t="shared" si="52"/>
        <v>22791.665632644468</v>
      </c>
      <c r="AX50" s="2"/>
      <c r="AY50" s="2">
        <f>X50</f>
        <v>17536.246617281402</v>
      </c>
      <c r="AZ50" s="2">
        <f t="shared" si="17"/>
        <v>49840.287385239666</v>
      </c>
      <c r="BA50" s="2">
        <f t="shared" si="17"/>
        <v>212511.75991813096</v>
      </c>
      <c r="BB50" s="2">
        <f t="shared" si="18"/>
        <v>0</v>
      </c>
      <c r="BC50" s="2"/>
      <c r="BM50" s="24"/>
      <c r="BN50">
        <f t="shared" si="5"/>
        <v>2000</v>
      </c>
      <c r="BO50" s="28" t="b">
        <f t="shared" si="37"/>
        <v>0</v>
      </c>
      <c r="BP50" s="1" t="b">
        <f t="shared" si="38"/>
        <v>0</v>
      </c>
      <c r="BT50" s="1" t="b">
        <f t="shared" si="53"/>
        <v>0</v>
      </c>
      <c r="BU50" s="1" t="b">
        <f t="shared" si="39"/>
        <v>0</v>
      </c>
      <c r="BV50" s="1" t="b">
        <f t="shared" si="40"/>
        <v>1</v>
      </c>
      <c r="CH50" s="2"/>
    </row>
    <row r="51" spans="1:86" x14ac:dyDescent="0.2">
      <c r="A51">
        <f t="shared" si="8"/>
        <v>2001</v>
      </c>
      <c r="B51" s="2">
        <f t="shared" ref="B51:B64" si="58">AT50*(1+(B15/100))</f>
        <v>55569.259159039881</v>
      </c>
      <c r="C51" s="2"/>
      <c r="D51" s="2">
        <f t="shared" si="54"/>
        <v>58887.000270601624</v>
      </c>
      <c r="E51" s="2">
        <f t="shared" si="55"/>
        <v>23498.207267256446</v>
      </c>
      <c r="F51" s="2"/>
      <c r="G51" s="2">
        <f t="shared" si="47"/>
        <v>14002.166836500681</v>
      </c>
      <c r="H51" s="2">
        <f t="shared" si="23"/>
        <v>54041.823611815373</v>
      </c>
      <c r="I51" s="2">
        <f t="shared" si="41"/>
        <v>205998.45714521402</v>
      </c>
      <c r="J51" s="2">
        <f t="shared" si="24"/>
        <v>-12248.202950969862</v>
      </c>
      <c r="K51" s="6">
        <f t="shared" si="25"/>
        <v>-5.6120918164667147E-2</v>
      </c>
      <c r="L51" s="7">
        <f t="shared" si="26"/>
        <v>0.94387908183533287</v>
      </c>
      <c r="N51">
        <f t="shared" si="27"/>
        <v>2001</v>
      </c>
      <c r="O51" s="2">
        <f t="shared" si="28"/>
        <v>5929.8867841067586</v>
      </c>
      <c r="P51" s="2"/>
      <c r="Q51" s="2"/>
      <c r="R51">
        <f t="shared" si="29"/>
        <v>2001</v>
      </c>
      <c r="S51" s="2">
        <f>B51-($O51/5)</f>
        <v>54383.281802218531</v>
      </c>
      <c r="T51" s="2"/>
      <c r="U51" s="2">
        <f t="shared" si="56"/>
        <v>57701.022913780274</v>
      </c>
      <c r="V51" s="2">
        <f t="shared" si="57"/>
        <v>22312.229910435093</v>
      </c>
      <c r="W51" s="2"/>
      <c r="X51" s="2">
        <f>G51-($O51/5)</f>
        <v>12816.189479679329</v>
      </c>
      <c r="Y51" s="2">
        <f>H51-($O51/5)</f>
        <v>52855.846254994023</v>
      </c>
      <c r="Z51" s="2">
        <f t="shared" si="44"/>
        <v>200068.57036110724</v>
      </c>
      <c r="AA51" s="2">
        <f t="shared" si="30"/>
        <v>-12443.189557023725</v>
      </c>
      <c r="AB51" s="6">
        <f t="shared" si="31"/>
        <v>-5.8552945784352821E-2</v>
      </c>
      <c r="AC51" s="7">
        <f t="shared" si="32"/>
        <v>0.94144705421564723</v>
      </c>
      <c r="AD51" s="2">
        <f t="shared" si="45"/>
        <v>0</v>
      </c>
      <c r="AE51" s="2"/>
      <c r="AG51">
        <f t="shared" si="13"/>
        <v>2001</v>
      </c>
      <c r="AH51" s="6">
        <f t="shared" si="6"/>
        <v>0.27182321393140962</v>
      </c>
      <c r="AI51" s="7"/>
      <c r="AJ51" s="6">
        <f t="shared" ref="AJ51:AK64" si="59">U51/$Z51</f>
        <v>0.28840623397085657</v>
      </c>
      <c r="AK51" s="6">
        <f t="shared" si="59"/>
        <v>0.11152291371984796</v>
      </c>
      <c r="AL51" s="7"/>
      <c r="AM51" s="6">
        <f t="shared" si="7"/>
        <v>6.4058984659845206E-2</v>
      </c>
      <c r="AN51" s="6">
        <f t="shared" si="14"/>
        <v>0.26418865371804073</v>
      </c>
      <c r="AO51" s="6">
        <f t="shared" si="33"/>
        <v>1</v>
      </c>
      <c r="AP51" s="7">
        <f t="shared" si="34"/>
        <v>0.73581134628195932</v>
      </c>
      <c r="AQ51" s="7">
        <f t="shared" si="35"/>
        <v>0</v>
      </c>
      <c r="AR51" s="7"/>
      <c r="AS51">
        <f t="shared" si="36"/>
        <v>2001</v>
      </c>
      <c r="AT51" s="2">
        <f>S51</f>
        <v>54383.281802218531</v>
      </c>
      <c r="AU51" s="2"/>
      <c r="AV51" s="2">
        <f t="shared" ref="AV51:AW51" si="60">U51</f>
        <v>57701.022913780274</v>
      </c>
      <c r="AW51" s="2">
        <f t="shared" si="60"/>
        <v>22312.229910435093</v>
      </c>
      <c r="AX51" s="2"/>
      <c r="AY51" s="2">
        <f>X51</f>
        <v>12816.189479679329</v>
      </c>
      <c r="AZ51" s="2">
        <f t="shared" si="17"/>
        <v>52855.846254994023</v>
      </c>
      <c r="BA51" s="2">
        <f t="shared" si="17"/>
        <v>200068.57036110724</v>
      </c>
      <c r="BB51" s="2">
        <f t="shared" si="18"/>
        <v>0</v>
      </c>
      <c r="BC51" s="2"/>
      <c r="BM51" s="24"/>
      <c r="BN51">
        <f t="shared" si="5"/>
        <v>2001</v>
      </c>
      <c r="BO51" s="1" t="b">
        <f t="shared" si="37"/>
        <v>0</v>
      </c>
      <c r="BQ51" s="1" t="b">
        <f>AND((U51/$Z51)&gt;0.15,(U51/$Z51)&lt;0.25)</f>
        <v>0</v>
      </c>
      <c r="BR51" s="1" t="b">
        <f>AND((V51/$Z51)&gt;0.05,(V51/$Z51)&lt;0.15)</f>
        <v>1</v>
      </c>
      <c r="BT51" s="1" t="b">
        <f t="shared" si="53"/>
        <v>0</v>
      </c>
      <c r="BU51" s="1" t="b">
        <f t="shared" si="39"/>
        <v>1</v>
      </c>
      <c r="BV51" s="1" t="b">
        <f t="shared" si="40"/>
        <v>1</v>
      </c>
      <c r="CH51" s="2"/>
    </row>
    <row r="52" spans="1:86" x14ac:dyDescent="0.2">
      <c r="A52">
        <f t="shared" si="8"/>
        <v>2002</v>
      </c>
      <c r="B52" s="2">
        <f t="shared" si="58"/>
        <v>42337.384883027124</v>
      </c>
      <c r="C52" s="2"/>
      <c r="D52" s="2">
        <f t="shared" ref="D52:D64" si="61">AV51*(1+(D16/100))</f>
        <v>49272.057486535254</v>
      </c>
      <c r="E52" s="2">
        <f t="shared" ref="E52:E64" si="62">AW51*(1+(E16/100))</f>
        <v>17844.875237767781</v>
      </c>
      <c r="F52" s="2"/>
      <c r="G52" s="2">
        <f t="shared" si="47"/>
        <v>10883.123620459295</v>
      </c>
      <c r="H52" s="2">
        <f t="shared" si="23"/>
        <v>57221.739155656527</v>
      </c>
      <c r="I52" s="2">
        <f t="shared" si="41"/>
        <v>177559.18038344599</v>
      </c>
      <c r="J52" s="2">
        <f t="shared" si="24"/>
        <v>-28439.276761768037</v>
      </c>
      <c r="K52" s="6">
        <f t="shared" si="25"/>
        <v>-0.13805577554263138</v>
      </c>
      <c r="L52" s="7">
        <f t="shared" si="26"/>
        <v>0.86194422445736862</v>
      </c>
      <c r="N52">
        <f t="shared" si="27"/>
        <v>2002</v>
      </c>
      <c r="O52" s="2">
        <f t="shared" si="28"/>
        <v>6024.7649726524669</v>
      </c>
      <c r="P52" s="2"/>
      <c r="Q52" s="2"/>
      <c r="R52">
        <f t="shared" si="29"/>
        <v>2002</v>
      </c>
      <c r="S52" s="2">
        <f t="shared" ref="S52:S64" si="63">B52-($O52/5)</f>
        <v>41132.431888496627</v>
      </c>
      <c r="T52" s="2"/>
      <c r="U52" s="2">
        <f t="shared" ref="U52:V64" si="64">D52-($O52/5)</f>
        <v>48067.104492004757</v>
      </c>
      <c r="V52" s="2">
        <f t="shared" si="64"/>
        <v>16639.922243237288</v>
      </c>
      <c r="W52" s="2"/>
      <c r="X52" s="2">
        <f t="shared" ref="X52:Y64" si="65">G52-($O52/5)</f>
        <v>9678.1706259288021</v>
      </c>
      <c r="Y52" s="2">
        <f t="shared" si="65"/>
        <v>56016.78616112603</v>
      </c>
      <c r="Z52" s="2">
        <f t="shared" si="44"/>
        <v>171534.4154107935</v>
      </c>
      <c r="AA52" s="2">
        <f t="shared" si="30"/>
        <v>-28534.154950313736</v>
      </c>
      <c r="AB52" s="6">
        <f t="shared" si="31"/>
        <v>-0.14262187658367301</v>
      </c>
      <c r="AC52" s="7">
        <f t="shared" si="32"/>
        <v>0.85737812341632702</v>
      </c>
      <c r="AD52" s="2">
        <f t="shared" si="45"/>
        <v>0</v>
      </c>
      <c r="AE52" s="2"/>
      <c r="AG52">
        <f t="shared" si="13"/>
        <v>2002</v>
      </c>
      <c r="AH52" s="6">
        <f t="shared" si="6"/>
        <v>0.23979113340021002</v>
      </c>
      <c r="AI52" s="7"/>
      <c r="AJ52" s="6">
        <f t="shared" si="59"/>
        <v>0.28021842950228293</v>
      </c>
      <c r="AK52" s="6">
        <f t="shared" si="59"/>
        <v>9.7006319130698779E-2</v>
      </c>
      <c r="AL52" s="7"/>
      <c r="AM52" s="6">
        <f t="shared" si="7"/>
        <v>5.642115958334866E-2</v>
      </c>
      <c r="AN52" s="6">
        <f t="shared" si="14"/>
        <v>0.32656295838345961</v>
      </c>
      <c r="AO52" s="6">
        <f t="shared" si="33"/>
        <v>1</v>
      </c>
      <c r="AP52" s="7">
        <f t="shared" si="34"/>
        <v>0.6734370416165405</v>
      </c>
      <c r="AQ52" s="7">
        <f t="shared" si="35"/>
        <v>0</v>
      </c>
      <c r="AR52" s="7"/>
      <c r="AS52">
        <f t="shared" si="36"/>
        <v>2002</v>
      </c>
      <c r="AT52" s="40">
        <v>0</v>
      </c>
      <c r="AU52" s="40"/>
      <c r="AV52" s="40">
        <v>0</v>
      </c>
      <c r="AW52" s="40">
        <v>0</v>
      </c>
      <c r="AX52" s="40"/>
      <c r="AY52" s="40">
        <v>0</v>
      </c>
      <c r="AZ52" s="40">
        <f>Z52</f>
        <v>171534.4154107935</v>
      </c>
      <c r="BA52" s="2">
        <f t="shared" si="17"/>
        <v>171534.4154107935</v>
      </c>
      <c r="BB52" s="2">
        <f t="shared" si="18"/>
        <v>0</v>
      </c>
      <c r="BC52" s="2"/>
      <c r="BM52" s="24"/>
      <c r="BN52">
        <f t="shared" si="5"/>
        <v>2002</v>
      </c>
      <c r="BO52" s="1" t="b">
        <f t="shared" si="37"/>
        <v>1</v>
      </c>
      <c r="BQ52" s="1" t="b">
        <f t="shared" ref="BQ52:BQ64" si="66">AND((U52/$Z52)&gt;0.15,(U52/$Z52)&lt;0.25)</f>
        <v>0</v>
      </c>
      <c r="BR52" s="1" t="b">
        <f t="shared" ref="BR52:BR64" si="67">AND((V52/$Z52)&gt;0.05,(V52/$Z52)&lt;0.15)</f>
        <v>1</v>
      </c>
      <c r="BT52" s="1" t="b">
        <f t="shared" si="53"/>
        <v>0</v>
      </c>
      <c r="BU52" s="1" t="b">
        <f t="shared" si="39"/>
        <v>1</v>
      </c>
      <c r="BV52" s="1" t="b">
        <f t="shared" si="40"/>
        <v>1</v>
      </c>
      <c r="CH52" s="2"/>
    </row>
    <row r="53" spans="1:86" x14ac:dyDescent="0.2">
      <c r="A53">
        <f t="shared" si="8"/>
        <v>2003</v>
      </c>
      <c r="B53" s="2">
        <f t="shared" si="58"/>
        <v>0</v>
      </c>
      <c r="C53" s="2"/>
      <c r="D53" s="2">
        <f t="shared" si="61"/>
        <v>0</v>
      </c>
      <c r="E53" s="2">
        <f t="shared" si="62"/>
        <v>0</v>
      </c>
      <c r="F53" s="2"/>
      <c r="G53" s="2">
        <f t="shared" si="47"/>
        <v>0</v>
      </c>
      <c r="H53" s="2">
        <f t="shared" si="23"/>
        <v>178344.33170260201</v>
      </c>
      <c r="I53" s="2">
        <f t="shared" si="41"/>
        <v>178344.33170260201</v>
      </c>
      <c r="J53" s="2">
        <f t="shared" si="24"/>
        <v>785.15131915602251</v>
      </c>
      <c r="K53" s="6">
        <f t="shared" si="25"/>
        <v>4.4219134007064996E-3</v>
      </c>
      <c r="L53" s="7">
        <f t="shared" si="26"/>
        <v>1.0044219134007064</v>
      </c>
      <c r="N53">
        <f t="shared" si="27"/>
        <v>2003</v>
      </c>
      <c r="O53" s="2">
        <f t="shared" si="28"/>
        <v>6175.3840969687781</v>
      </c>
      <c r="P53" s="2"/>
      <c r="Q53" s="2"/>
      <c r="R53">
        <f t="shared" si="29"/>
        <v>2003</v>
      </c>
      <c r="S53" s="40">
        <v>0</v>
      </c>
      <c r="T53" s="40"/>
      <c r="U53" s="40">
        <v>0</v>
      </c>
      <c r="V53" s="40">
        <v>0</v>
      </c>
      <c r="W53" s="40"/>
      <c r="X53" s="40">
        <v>0</v>
      </c>
      <c r="Y53" s="40">
        <f>H53-($O53)</f>
        <v>172168.94760563324</v>
      </c>
      <c r="Z53" s="2">
        <f t="shared" si="44"/>
        <v>172168.94760563324</v>
      </c>
      <c r="AA53" s="2">
        <f t="shared" si="30"/>
        <v>634.53219483973226</v>
      </c>
      <c r="AB53" s="6">
        <f t="shared" si="31"/>
        <v>3.6991538597088165E-3</v>
      </c>
      <c r="AC53" s="7">
        <f t="shared" si="32"/>
        <v>1.0036991538597089</v>
      </c>
      <c r="AD53" s="2">
        <f t="shared" si="45"/>
        <v>0</v>
      </c>
      <c r="AE53" s="2"/>
      <c r="AG53">
        <f t="shared" si="13"/>
        <v>2003</v>
      </c>
      <c r="AH53" s="6">
        <f t="shared" si="6"/>
        <v>0</v>
      </c>
      <c r="AI53" s="7"/>
      <c r="AJ53" s="6">
        <f t="shared" si="59"/>
        <v>0</v>
      </c>
      <c r="AK53" s="6">
        <f t="shared" si="59"/>
        <v>0</v>
      </c>
      <c r="AL53" s="7"/>
      <c r="AM53" s="6">
        <f t="shared" si="7"/>
        <v>0</v>
      </c>
      <c r="AN53" s="6">
        <f t="shared" si="14"/>
        <v>1</v>
      </c>
      <c r="AO53" s="6">
        <f t="shared" si="33"/>
        <v>1</v>
      </c>
      <c r="AP53" s="7">
        <f t="shared" si="34"/>
        <v>0</v>
      </c>
      <c r="AQ53" s="7">
        <f t="shared" si="35"/>
        <v>0</v>
      </c>
      <c r="AR53" s="7"/>
      <c r="AS53">
        <f t="shared" si="36"/>
        <v>2003</v>
      </c>
      <c r="AT53" s="40">
        <f>$Z53*AT$39</f>
        <v>34433.789521126651</v>
      </c>
      <c r="AU53" s="40"/>
      <c r="AV53" s="40">
        <f>$Z53*AV$39</f>
        <v>34433.789521126651</v>
      </c>
      <c r="AW53" s="40">
        <f>$Z53*AW$39</f>
        <v>17216.894760563326</v>
      </c>
      <c r="AX53" s="40"/>
      <c r="AY53" s="40">
        <f>$Z53*AY$39</f>
        <v>34433.789521126651</v>
      </c>
      <c r="AZ53" s="40">
        <f>$Z53*AZ$39</f>
        <v>51650.684281689966</v>
      </c>
      <c r="BA53" s="2">
        <f t="shared" si="17"/>
        <v>172168.94760563324</v>
      </c>
      <c r="BB53" s="2">
        <f t="shared" si="18"/>
        <v>0</v>
      </c>
      <c r="BC53" s="2"/>
      <c r="BM53" s="24"/>
      <c r="BN53">
        <f t="shared" si="5"/>
        <v>2003</v>
      </c>
      <c r="BO53" s="1" t="b">
        <f t="shared" si="37"/>
        <v>0</v>
      </c>
      <c r="BQ53" s="1" t="b">
        <f t="shared" si="66"/>
        <v>0</v>
      </c>
      <c r="BR53" s="1" t="b">
        <f t="shared" si="67"/>
        <v>0</v>
      </c>
      <c r="BT53" s="1" t="b">
        <f t="shared" si="53"/>
        <v>0</v>
      </c>
      <c r="BU53" s="1" t="b">
        <f t="shared" si="39"/>
        <v>0</v>
      </c>
      <c r="BV53" s="1" t="b">
        <f t="shared" si="40"/>
        <v>1</v>
      </c>
      <c r="CH53" s="2"/>
    </row>
    <row r="54" spans="1:86" x14ac:dyDescent="0.2">
      <c r="A54">
        <f t="shared" si="8"/>
        <v>2004</v>
      </c>
      <c r="B54" s="2">
        <f t="shared" si="58"/>
        <v>38131.97851569565</v>
      </c>
      <c r="C54" s="2"/>
      <c r="D54" s="2">
        <f t="shared" si="61"/>
        <v>41442.09870236156</v>
      </c>
      <c r="E54" s="2">
        <f t="shared" si="62"/>
        <v>20642.540311072611</v>
      </c>
      <c r="F54" s="2"/>
      <c r="G54" s="2">
        <f t="shared" si="47"/>
        <v>41608.75824364381</v>
      </c>
      <c r="H54" s="2">
        <f t="shared" si="23"/>
        <v>53840.673295233617</v>
      </c>
      <c r="I54" s="2">
        <f t="shared" si="41"/>
        <v>195666.04906800727</v>
      </c>
      <c r="J54" s="2">
        <f t="shared" si="24"/>
        <v>17321.71736540526</v>
      </c>
      <c r="K54" s="6">
        <f t="shared" si="25"/>
        <v>9.7125135405425056E-2</v>
      </c>
      <c r="L54" s="7">
        <f t="shared" si="26"/>
        <v>1.097125135405425</v>
      </c>
      <c r="N54">
        <f t="shared" si="27"/>
        <v>2004</v>
      </c>
      <c r="O54" s="2">
        <f t="shared" si="28"/>
        <v>6298.8917789081534</v>
      </c>
      <c r="P54" s="2"/>
      <c r="Q54" s="2"/>
      <c r="R54">
        <f t="shared" si="29"/>
        <v>2004</v>
      </c>
      <c r="S54" s="2">
        <f t="shared" si="63"/>
        <v>36872.20015991402</v>
      </c>
      <c r="T54" s="2"/>
      <c r="U54" s="2">
        <f t="shared" si="64"/>
        <v>40182.320346579931</v>
      </c>
      <c r="V54" s="2">
        <f t="shared" si="64"/>
        <v>19382.761955290982</v>
      </c>
      <c r="W54" s="2"/>
      <c r="X54" s="2">
        <f t="shared" si="65"/>
        <v>40348.97988786218</v>
      </c>
      <c r="Y54" s="2">
        <f t="shared" si="65"/>
        <v>52580.894939451988</v>
      </c>
      <c r="Z54" s="2">
        <f t="shared" si="44"/>
        <v>189367.15728909912</v>
      </c>
      <c r="AA54" s="2">
        <f t="shared" si="30"/>
        <v>17198.209683465888</v>
      </c>
      <c r="AB54" s="6">
        <f t="shared" si="31"/>
        <v>9.9891472432414266E-2</v>
      </c>
      <c r="AC54" s="7">
        <f t="shared" si="32"/>
        <v>1.0998914724324143</v>
      </c>
      <c r="AD54" s="2">
        <f t="shared" si="45"/>
        <v>0</v>
      </c>
      <c r="AE54" s="2"/>
      <c r="AG54">
        <f t="shared" si="13"/>
        <v>2004</v>
      </c>
      <c r="AH54" s="6">
        <f t="shared" si="6"/>
        <v>0.19471275107975949</v>
      </c>
      <c r="AI54" s="7"/>
      <c r="AJ54" s="6">
        <f t="shared" si="59"/>
        <v>0.21219265749041805</v>
      </c>
      <c r="AK54" s="6">
        <f t="shared" si="59"/>
        <v>0.10235545715934315</v>
      </c>
      <c r="AL54" s="7"/>
      <c r="AM54" s="6">
        <f t="shared" si="7"/>
        <v>0.21307274432103893</v>
      </c>
      <c r="AN54" s="6">
        <f t="shared" si="14"/>
        <v>0.27766638994944026</v>
      </c>
      <c r="AO54" s="6">
        <f t="shared" si="33"/>
        <v>0.99999999999999989</v>
      </c>
      <c r="AP54" s="7">
        <f t="shared" si="34"/>
        <v>0.72233361005055963</v>
      </c>
      <c r="AQ54" s="7">
        <f t="shared" si="35"/>
        <v>0</v>
      </c>
      <c r="AR54" s="7"/>
      <c r="AS54">
        <f t="shared" si="36"/>
        <v>2004</v>
      </c>
      <c r="AT54" s="2">
        <f>S54</f>
        <v>36872.20015991402</v>
      </c>
      <c r="AU54" s="2"/>
      <c r="AV54" s="2">
        <f t="shared" ref="AV54" si="68">U54</f>
        <v>40182.320346579931</v>
      </c>
      <c r="AW54" s="2">
        <f t="shared" ref="AW54" si="69">V54</f>
        <v>19382.761955290982</v>
      </c>
      <c r="AX54" s="2"/>
      <c r="AY54" s="2">
        <f t="shared" ref="AY54" si="70">X54</f>
        <v>40348.97988786218</v>
      </c>
      <c r="AZ54" s="2">
        <f t="shared" ref="AZ54" si="71">Y54</f>
        <v>52580.894939451988</v>
      </c>
      <c r="BA54" s="2">
        <f t="shared" si="17"/>
        <v>189367.15728909912</v>
      </c>
      <c r="BB54" s="2">
        <f t="shared" si="18"/>
        <v>0</v>
      </c>
      <c r="BC54" s="2"/>
      <c r="BM54" s="24"/>
      <c r="BN54">
        <f t="shared" si="5"/>
        <v>2004</v>
      </c>
      <c r="BO54" s="28" t="b">
        <f t="shared" si="37"/>
        <v>1</v>
      </c>
      <c r="BQ54" s="1" t="b">
        <f t="shared" si="66"/>
        <v>1</v>
      </c>
      <c r="BR54" s="1" t="b">
        <f t="shared" si="67"/>
        <v>1</v>
      </c>
      <c r="BT54" s="28" t="b">
        <f t="shared" si="53"/>
        <v>1</v>
      </c>
      <c r="BU54" s="28" t="b">
        <f t="shared" si="39"/>
        <v>1</v>
      </c>
      <c r="BV54" s="1" t="b">
        <f t="shared" si="40"/>
        <v>1</v>
      </c>
      <c r="CH54" s="2"/>
    </row>
    <row r="55" spans="1:86" x14ac:dyDescent="0.2">
      <c r="A55">
        <f t="shared" si="8"/>
        <v>2005</v>
      </c>
      <c r="B55" s="2">
        <f t="shared" si="58"/>
        <v>38631.004107541921</v>
      </c>
      <c r="C55" s="2"/>
      <c r="D55" s="2">
        <f t="shared" si="61"/>
        <v>45780.119394061985</v>
      </c>
      <c r="E55" s="2">
        <f t="shared" si="62"/>
        <v>20809.914718059059</v>
      </c>
      <c r="F55" s="2"/>
      <c r="G55" s="2">
        <f t="shared" si="47"/>
        <v>46631.719546201202</v>
      </c>
      <c r="H55" s="2">
        <f t="shared" si="23"/>
        <v>53842.836417998835</v>
      </c>
      <c r="I55" s="2">
        <f t="shared" si="41"/>
        <v>205695.594183863</v>
      </c>
      <c r="J55" s="2">
        <f t="shared" si="24"/>
        <v>10029.545115855726</v>
      </c>
      <c r="K55" s="6">
        <f t="shared" si="25"/>
        <v>5.1258484359592585E-2</v>
      </c>
      <c r="L55" s="7">
        <f t="shared" si="26"/>
        <v>1.0512584843595927</v>
      </c>
      <c r="N55">
        <f t="shared" si="27"/>
        <v>2005</v>
      </c>
      <c r="O55" s="2">
        <f t="shared" si="28"/>
        <v>6506.7552076121219</v>
      </c>
      <c r="P55" s="2"/>
      <c r="Q55" s="2"/>
      <c r="R55">
        <f t="shared" si="29"/>
        <v>2005</v>
      </c>
      <c r="S55" s="2">
        <f t="shared" ref="S55" si="72">B55-($O55/5)</f>
        <v>37329.653066019499</v>
      </c>
      <c r="T55" s="2"/>
      <c r="U55" s="2">
        <f t="shared" ref="U55" si="73">D55-($O55/5)</f>
        <v>44478.768352539562</v>
      </c>
      <c r="V55" s="2">
        <f t="shared" ref="V55" si="74">E55-($O55/5)</f>
        <v>19508.563676536636</v>
      </c>
      <c r="W55" s="2"/>
      <c r="X55" s="2">
        <f t="shared" ref="X55" si="75">G55-($O55/5)</f>
        <v>45330.36850467878</v>
      </c>
      <c r="Y55" s="2">
        <f t="shared" ref="Y55" si="76">H55-($O55/5)</f>
        <v>52541.485376476412</v>
      </c>
      <c r="Z55" s="2">
        <f t="shared" si="44"/>
        <v>199188.8389762509</v>
      </c>
      <c r="AA55" s="2">
        <f t="shared" si="30"/>
        <v>9821.6816871517804</v>
      </c>
      <c r="AB55" s="6">
        <f t="shared" si="31"/>
        <v>5.1865813627636703E-2</v>
      </c>
      <c r="AC55" s="7">
        <f t="shared" si="32"/>
        <v>1.0518658136276366</v>
      </c>
      <c r="AD55" s="2">
        <f t="shared" si="45"/>
        <v>0</v>
      </c>
      <c r="AE55" s="2"/>
      <c r="AG55">
        <f t="shared" si="13"/>
        <v>2005</v>
      </c>
      <c r="AH55" s="38">
        <f t="shared" ref="AH55:AH64" si="77">S55/$Z55</f>
        <v>0.18740835710413614</v>
      </c>
      <c r="AI55" s="61"/>
      <c r="AJ55" s="38">
        <f t="shared" si="59"/>
        <v>0.22329950102195598</v>
      </c>
      <c r="AK55" s="38">
        <f t="shared" si="59"/>
        <v>9.7940044114934691E-2</v>
      </c>
      <c r="AL55" s="61"/>
      <c r="AM55" s="38">
        <f t="shared" ref="AM55:AM64" si="78">X55/$Z55</f>
        <v>0.22757484173138576</v>
      </c>
      <c r="AN55" s="38">
        <f t="shared" si="14"/>
        <v>0.26377725602758739</v>
      </c>
      <c r="AO55" s="6">
        <f t="shared" si="33"/>
        <v>1</v>
      </c>
      <c r="AP55" s="7">
        <f t="shared" si="34"/>
        <v>0.73622274397241261</v>
      </c>
      <c r="AQ55" s="7">
        <f t="shared" si="35"/>
        <v>0</v>
      </c>
      <c r="AR55" s="7"/>
      <c r="AS55">
        <f t="shared" si="36"/>
        <v>2005</v>
      </c>
      <c r="AT55" s="2">
        <f t="shared" ref="AT55:AT56" si="79">S55</f>
        <v>37329.653066019499</v>
      </c>
      <c r="AU55" s="2"/>
      <c r="AV55" s="2">
        <f t="shared" ref="AV55:AV56" si="80">U55</f>
        <v>44478.768352539562</v>
      </c>
      <c r="AW55" s="2">
        <f t="shared" ref="AW55:AW56" si="81">V55</f>
        <v>19508.563676536636</v>
      </c>
      <c r="AX55" s="2"/>
      <c r="AY55" s="2">
        <f t="shared" ref="AY55:AY56" si="82">X55</f>
        <v>45330.36850467878</v>
      </c>
      <c r="AZ55" s="2">
        <f t="shared" ref="AZ55:AZ56" si="83">Y55</f>
        <v>52541.485376476412</v>
      </c>
      <c r="BA55" s="2">
        <f t="shared" si="17"/>
        <v>199188.8389762509</v>
      </c>
      <c r="BB55" s="2">
        <f t="shared" si="18"/>
        <v>0</v>
      </c>
      <c r="BC55" s="2"/>
      <c r="BM55" s="24"/>
      <c r="BN55">
        <f t="shared" si="5"/>
        <v>2005</v>
      </c>
      <c r="BO55" s="1" t="b">
        <f t="shared" si="37"/>
        <v>1</v>
      </c>
      <c r="BQ55" s="1" t="b">
        <f t="shared" si="66"/>
        <v>1</v>
      </c>
      <c r="BR55" s="1" t="b">
        <f t="shared" si="67"/>
        <v>1</v>
      </c>
      <c r="BT55" s="1" t="b">
        <f t="shared" si="53"/>
        <v>1</v>
      </c>
      <c r="BU55" s="28" t="b">
        <f t="shared" si="39"/>
        <v>1</v>
      </c>
      <c r="BV55" s="1" t="b">
        <f t="shared" si="40"/>
        <v>1</v>
      </c>
      <c r="CH55" s="2"/>
    </row>
    <row r="56" spans="1:86" x14ac:dyDescent="0.2">
      <c r="A56">
        <f t="shared" si="8"/>
        <v>2006</v>
      </c>
      <c r="B56" s="2">
        <f t="shared" si="58"/>
        <v>43168.010805544953</v>
      </c>
      <c r="C56" s="2"/>
      <c r="D56" s="2">
        <f t="shared" si="61"/>
        <v>50526.546485434366</v>
      </c>
      <c r="E56" s="2">
        <f t="shared" si="62"/>
        <v>22562.824405735213</v>
      </c>
      <c r="F56" s="2"/>
      <c r="G56" s="2">
        <f t="shared" si="47"/>
        <v>57405.018763270069</v>
      </c>
      <c r="H56" s="2">
        <f t="shared" si="23"/>
        <v>54785.006802051954</v>
      </c>
      <c r="I56" s="2">
        <f t="shared" si="41"/>
        <v>228447.40726203658</v>
      </c>
      <c r="J56" s="2">
        <f>I56-I55</f>
        <v>22751.813078173582</v>
      </c>
      <c r="K56" s="6">
        <f>(J56/I55)</f>
        <v>0.11060914147649004</v>
      </c>
      <c r="L56" s="7">
        <f t="shared" si="26"/>
        <v>1.11060914147649</v>
      </c>
      <c r="N56">
        <f t="shared" si="27"/>
        <v>2006</v>
      </c>
      <c r="O56" s="2">
        <f t="shared" si="28"/>
        <v>6721.4781294633212</v>
      </c>
      <c r="P56" s="2"/>
      <c r="Q56" s="2"/>
      <c r="R56">
        <f t="shared" si="29"/>
        <v>2006</v>
      </c>
      <c r="S56" s="2">
        <f t="shared" si="63"/>
        <v>41823.715179652288</v>
      </c>
      <c r="T56" s="2"/>
      <c r="U56" s="2">
        <f t="shared" si="64"/>
        <v>49182.250859541702</v>
      </c>
      <c r="V56" s="2">
        <f t="shared" si="64"/>
        <v>21218.528779842549</v>
      </c>
      <c r="W56" s="2"/>
      <c r="X56" s="2">
        <f t="shared" si="65"/>
        <v>56060.723137377405</v>
      </c>
      <c r="Y56" s="2">
        <f t="shared" si="65"/>
        <v>53440.71117615929</v>
      </c>
      <c r="Z56" s="2">
        <f t="shared" si="44"/>
        <v>221725.92913257325</v>
      </c>
      <c r="AA56" s="2">
        <f>Z56-Z55</f>
        <v>22537.090156322345</v>
      </c>
      <c r="AB56" s="6">
        <f>(AA56/Z55)</f>
        <v>0.11314434218379786</v>
      </c>
      <c r="AC56" s="7">
        <f t="shared" si="32"/>
        <v>1.1131443421837979</v>
      </c>
      <c r="AD56" s="2">
        <f t="shared" si="45"/>
        <v>0</v>
      </c>
      <c r="AE56" s="2"/>
      <c r="AG56">
        <f t="shared" si="13"/>
        <v>2006</v>
      </c>
      <c r="AH56" s="6">
        <f t="shared" si="77"/>
        <v>0.18862798475249715</v>
      </c>
      <c r="AI56" s="7"/>
      <c r="AJ56" s="6">
        <f t="shared" si="59"/>
        <v>0.22181551364763882</v>
      </c>
      <c r="AK56" s="6">
        <f t="shared" si="59"/>
        <v>9.5697101655421057E-2</v>
      </c>
      <c r="AL56" s="7"/>
      <c r="AM56" s="6">
        <f t="shared" si="78"/>
        <v>0.2528379218285195</v>
      </c>
      <c r="AN56" s="6">
        <f t="shared" si="14"/>
        <v>0.24102147811592342</v>
      </c>
      <c r="AO56" s="6">
        <f t="shared" si="33"/>
        <v>1</v>
      </c>
      <c r="AP56" s="7">
        <f t="shared" si="34"/>
        <v>0.75897852188407655</v>
      </c>
      <c r="AQ56" s="7">
        <f t="shared" si="35"/>
        <v>0</v>
      </c>
      <c r="AR56" s="7"/>
      <c r="AS56">
        <f t="shared" si="36"/>
        <v>2006</v>
      </c>
      <c r="AT56" s="2">
        <f t="shared" si="79"/>
        <v>41823.715179652288</v>
      </c>
      <c r="AU56" s="2"/>
      <c r="AV56" s="2">
        <f t="shared" si="80"/>
        <v>49182.250859541702</v>
      </c>
      <c r="AW56" s="2">
        <f t="shared" si="81"/>
        <v>21218.528779842549</v>
      </c>
      <c r="AX56" s="2"/>
      <c r="AY56" s="2">
        <f t="shared" si="82"/>
        <v>56060.723137377405</v>
      </c>
      <c r="AZ56" s="2">
        <f t="shared" si="83"/>
        <v>53440.71117615929</v>
      </c>
      <c r="BA56" s="2">
        <f t="shared" ref="AY56:BA64" si="84">Z56</f>
        <v>221725.92913257325</v>
      </c>
      <c r="BB56" s="2">
        <f t="shared" si="18"/>
        <v>0</v>
      </c>
      <c r="BC56" s="2"/>
      <c r="BM56" s="24"/>
      <c r="BN56">
        <f t="shared" si="5"/>
        <v>2006</v>
      </c>
      <c r="BO56" s="1" t="b">
        <f t="shared" si="37"/>
        <v>1</v>
      </c>
      <c r="BQ56" s="1" t="b">
        <f t="shared" si="66"/>
        <v>1</v>
      </c>
      <c r="BR56" s="1" t="b">
        <f t="shared" si="67"/>
        <v>1</v>
      </c>
      <c r="BT56" s="1" t="b">
        <f t="shared" si="53"/>
        <v>0</v>
      </c>
      <c r="BU56" s="1" t="b">
        <f t="shared" si="39"/>
        <v>0</v>
      </c>
      <c r="BV56" s="1" t="b">
        <f t="shared" si="40"/>
        <v>1</v>
      </c>
      <c r="CH56" s="2"/>
    </row>
    <row r="57" spans="1:86" x14ac:dyDescent="0.2">
      <c r="A57">
        <f t="shared" si="8"/>
        <v>2007</v>
      </c>
      <c r="B57" s="2">
        <f t="shared" si="58"/>
        <v>44078.013427835547</v>
      </c>
      <c r="C57" s="2"/>
      <c r="D57" s="2">
        <f t="shared" si="61"/>
        <v>52143.514183794716</v>
      </c>
      <c r="E57" s="2">
        <f t="shared" si="62"/>
        <v>21463.81497253753</v>
      </c>
      <c r="F57" s="2"/>
      <c r="G57" s="2">
        <f t="shared" si="47"/>
        <v>64762.468582761117</v>
      </c>
      <c r="H57" s="2">
        <f t="shared" si="23"/>
        <v>57138.808389549507</v>
      </c>
      <c r="I57" s="2">
        <f t="shared" si="41"/>
        <v>239586.6195564784</v>
      </c>
      <c r="J57" s="2">
        <f t="shared" si="24"/>
        <v>11139.212294441822</v>
      </c>
      <c r="K57" s="6">
        <f t="shared" si="25"/>
        <v>4.876051091122599E-2</v>
      </c>
      <c r="L57" s="7">
        <f t="shared" si="26"/>
        <v>1.0487605109112259</v>
      </c>
      <c r="N57">
        <f t="shared" si="27"/>
        <v>2007</v>
      </c>
      <c r="O57" s="2">
        <f t="shared" si="28"/>
        <v>6889.5150826999034</v>
      </c>
      <c r="P57" s="2"/>
      <c r="Q57" s="2"/>
      <c r="R57">
        <f t="shared" si="29"/>
        <v>2007</v>
      </c>
      <c r="S57" s="2">
        <f t="shared" si="63"/>
        <v>42700.110411295565</v>
      </c>
      <c r="T57" s="2"/>
      <c r="U57" s="2">
        <f t="shared" si="64"/>
        <v>50765.611167254734</v>
      </c>
      <c r="V57" s="2">
        <f t="shared" si="64"/>
        <v>20085.911955997548</v>
      </c>
      <c r="W57" s="2"/>
      <c r="X57" s="2">
        <f t="shared" si="65"/>
        <v>63384.565566221136</v>
      </c>
      <c r="Y57" s="2">
        <f t="shared" si="65"/>
        <v>55760.905373009526</v>
      </c>
      <c r="Z57" s="2">
        <f t="shared" si="44"/>
        <v>232697.10447377851</v>
      </c>
      <c r="AA57" s="2">
        <f t="shared" ref="AA57:AA64" si="85">Z57-Z56</f>
        <v>10971.175341205264</v>
      </c>
      <c r="AB57" s="6">
        <f t="shared" ref="AB57:AB64" si="86">(AA57/Z56)</f>
        <v>4.9480795431216501E-2</v>
      </c>
      <c r="AC57" s="7">
        <f t="shared" si="32"/>
        <v>1.0494807954312164</v>
      </c>
      <c r="AD57" s="2">
        <f t="shared" si="45"/>
        <v>0</v>
      </c>
      <c r="AE57" s="2"/>
      <c r="AG57">
        <f t="shared" si="13"/>
        <v>2007</v>
      </c>
      <c r="AH57" s="6">
        <f t="shared" si="77"/>
        <v>0.18350082399116072</v>
      </c>
      <c r="AI57" s="7"/>
      <c r="AJ57" s="6">
        <f t="shared" si="59"/>
        <v>0.21816176562255102</v>
      </c>
      <c r="AK57" s="6">
        <f t="shared" si="59"/>
        <v>8.6317842249992116E-2</v>
      </c>
      <c r="AL57" s="7"/>
      <c r="AM57" s="6">
        <f t="shared" si="78"/>
        <v>0.27239086498114817</v>
      </c>
      <c r="AN57" s="6">
        <f t="shared" si="14"/>
        <v>0.23962870315514798</v>
      </c>
      <c r="AO57" s="6">
        <f t="shared" si="33"/>
        <v>0.99999999999999989</v>
      </c>
      <c r="AP57" s="7">
        <f t="shared" si="34"/>
        <v>0.76037129684485194</v>
      </c>
      <c r="AQ57" s="7">
        <f t="shared" si="35"/>
        <v>0</v>
      </c>
      <c r="AR57" s="7"/>
      <c r="AS57">
        <f t="shared" si="36"/>
        <v>2007</v>
      </c>
      <c r="AT57" s="2">
        <f>S57</f>
        <v>42700.110411295565</v>
      </c>
      <c r="AU57" s="2"/>
      <c r="AV57" s="2">
        <f t="shared" ref="AV57:AW57" si="87">U57</f>
        <v>50765.611167254734</v>
      </c>
      <c r="AW57" s="2">
        <f t="shared" si="87"/>
        <v>20085.911955997548</v>
      </c>
      <c r="AX57" s="2"/>
      <c r="AY57" s="2">
        <f t="shared" si="84"/>
        <v>63384.565566221136</v>
      </c>
      <c r="AZ57" s="2">
        <f t="shared" si="84"/>
        <v>55760.905373009526</v>
      </c>
      <c r="BA57" s="2">
        <f t="shared" si="84"/>
        <v>232697.10447377851</v>
      </c>
      <c r="BB57" s="2">
        <f t="shared" si="18"/>
        <v>0</v>
      </c>
      <c r="BC57" s="2"/>
      <c r="BM57" s="24"/>
      <c r="BN57">
        <f t="shared" si="5"/>
        <v>2007</v>
      </c>
      <c r="BO57" s="1" t="b">
        <f t="shared" si="37"/>
        <v>1</v>
      </c>
      <c r="BQ57" s="1" t="b">
        <f t="shared" si="66"/>
        <v>1</v>
      </c>
      <c r="BR57" s="1" t="b">
        <f t="shared" si="67"/>
        <v>1</v>
      </c>
      <c r="BT57" s="1" t="b">
        <f t="shared" si="53"/>
        <v>0</v>
      </c>
      <c r="BU57" s="1" t="b">
        <f t="shared" si="39"/>
        <v>0</v>
      </c>
      <c r="BV57" s="1" t="b">
        <f t="shared" si="40"/>
        <v>1</v>
      </c>
      <c r="CH57" s="2"/>
    </row>
    <row r="58" spans="1:86" x14ac:dyDescent="0.2">
      <c r="A58">
        <f t="shared" si="8"/>
        <v>2008</v>
      </c>
      <c r="B58" s="2">
        <f t="shared" si="58"/>
        <v>26892.529537033945</v>
      </c>
      <c r="C58" s="2"/>
      <c r="D58" s="2">
        <f t="shared" si="61"/>
        <v>29533.401952662116</v>
      </c>
      <c r="E58" s="2">
        <f t="shared" si="62"/>
        <v>12840.923513469232</v>
      </c>
      <c r="F58" s="2"/>
      <c r="G58" s="2">
        <f t="shared" si="47"/>
        <v>35431.338305861951</v>
      </c>
      <c r="H58" s="2">
        <f t="shared" si="23"/>
        <v>58576.831094346504</v>
      </c>
      <c r="I58" s="2">
        <f t="shared" si="41"/>
        <v>163275.02440337374</v>
      </c>
      <c r="J58" s="2">
        <f t="shared" si="24"/>
        <v>-76311.595153104659</v>
      </c>
      <c r="K58" s="6">
        <f t="shared" si="25"/>
        <v>-0.31851359351524855</v>
      </c>
      <c r="L58" s="7">
        <f t="shared" si="26"/>
        <v>0.68148640648475145</v>
      </c>
      <c r="N58">
        <f t="shared" si="27"/>
        <v>2008</v>
      </c>
      <c r="O58" s="2">
        <f t="shared" si="28"/>
        <v>7171.9852010905988</v>
      </c>
      <c r="P58" s="2"/>
      <c r="Q58" s="2"/>
      <c r="R58">
        <f t="shared" si="29"/>
        <v>2008</v>
      </c>
      <c r="S58" s="2">
        <f t="shared" si="63"/>
        <v>25458.132496815826</v>
      </c>
      <c r="T58" s="2"/>
      <c r="U58" s="2">
        <f t="shared" si="64"/>
        <v>28099.004912443997</v>
      </c>
      <c r="V58" s="2">
        <f t="shared" si="64"/>
        <v>11406.526473251111</v>
      </c>
      <c r="W58" s="2"/>
      <c r="X58" s="2">
        <f t="shared" si="65"/>
        <v>33996.941265643829</v>
      </c>
      <c r="Y58" s="2">
        <f t="shared" si="65"/>
        <v>57142.434054128382</v>
      </c>
      <c r="Z58" s="2">
        <f t="shared" si="44"/>
        <v>156103.03920228317</v>
      </c>
      <c r="AA58" s="2">
        <f t="shared" si="85"/>
        <v>-76594.065271495347</v>
      </c>
      <c r="AB58" s="6">
        <f t="shared" si="86"/>
        <v>-0.32915779267948025</v>
      </c>
      <c r="AC58" s="7">
        <f t="shared" si="32"/>
        <v>0.6708422073205198</v>
      </c>
      <c r="AD58" s="2">
        <f t="shared" si="45"/>
        <v>0</v>
      </c>
      <c r="AE58" s="2"/>
      <c r="AG58">
        <f t="shared" si="13"/>
        <v>2008</v>
      </c>
      <c r="AH58" s="6">
        <f t="shared" si="77"/>
        <v>0.16308543784228563</v>
      </c>
      <c r="AI58" s="7"/>
      <c r="AJ58" s="6">
        <f t="shared" si="59"/>
        <v>0.18000293303727696</v>
      </c>
      <c r="AK58" s="6">
        <f t="shared" si="59"/>
        <v>7.3070495818279235E-2</v>
      </c>
      <c r="AL58" s="7"/>
      <c r="AM58" s="6">
        <f t="shared" si="78"/>
        <v>0.21778526183330446</v>
      </c>
      <c r="AN58" s="6">
        <f t="shared" si="14"/>
        <v>0.3660558714688536</v>
      </c>
      <c r="AO58" s="6">
        <f t="shared" si="33"/>
        <v>0.99999999999999978</v>
      </c>
      <c r="AP58" s="7">
        <f t="shared" si="34"/>
        <v>0.63394412853114623</v>
      </c>
      <c r="AQ58" s="7">
        <f t="shared" si="35"/>
        <v>0</v>
      </c>
      <c r="AR58" s="7"/>
      <c r="AS58">
        <f t="shared" si="36"/>
        <v>2008</v>
      </c>
      <c r="AT58" s="40">
        <v>0</v>
      </c>
      <c r="AU58" s="40"/>
      <c r="AV58" s="40">
        <v>0</v>
      </c>
      <c r="AW58" s="40">
        <v>0</v>
      </c>
      <c r="AX58" s="40"/>
      <c r="AY58" s="40">
        <v>0</v>
      </c>
      <c r="AZ58" s="40">
        <f>Z58</f>
        <v>156103.03920228317</v>
      </c>
      <c r="BA58" s="2">
        <f t="shared" si="84"/>
        <v>156103.03920228317</v>
      </c>
      <c r="BB58" s="2">
        <f t="shared" si="18"/>
        <v>0</v>
      </c>
      <c r="BC58" s="2"/>
      <c r="BM58" s="24"/>
      <c r="BN58">
        <f t="shared" si="5"/>
        <v>2008</v>
      </c>
      <c r="BO58" s="1" t="b">
        <f t="shared" si="37"/>
        <v>1</v>
      </c>
      <c r="BQ58" s="1" t="b">
        <f t="shared" si="66"/>
        <v>1</v>
      </c>
      <c r="BR58" s="1" t="b">
        <f t="shared" si="67"/>
        <v>1</v>
      </c>
      <c r="BT58" s="28" t="b">
        <f t="shared" si="53"/>
        <v>1</v>
      </c>
      <c r="BU58" s="28" t="b">
        <f t="shared" si="39"/>
        <v>0</v>
      </c>
      <c r="BV58" s="1" t="b">
        <f t="shared" si="40"/>
        <v>1</v>
      </c>
      <c r="CH58" s="2"/>
    </row>
    <row r="59" spans="1:86" x14ac:dyDescent="0.2">
      <c r="A59">
        <f t="shared" si="8"/>
        <v>2009</v>
      </c>
      <c r="B59" s="2">
        <f t="shared" si="58"/>
        <v>0</v>
      </c>
      <c r="C59" s="2"/>
      <c r="D59" s="2">
        <f t="shared" si="61"/>
        <v>0</v>
      </c>
      <c r="E59" s="2">
        <f t="shared" si="62"/>
        <v>0</v>
      </c>
      <c r="F59" s="2"/>
      <c r="G59" s="2">
        <f t="shared" si="47"/>
        <v>0</v>
      </c>
      <c r="H59" s="2">
        <f t="shared" si="23"/>
        <v>165359.94942697854</v>
      </c>
      <c r="I59" s="2">
        <f t="shared" si="41"/>
        <v>165359.94942697854</v>
      </c>
      <c r="J59" s="2">
        <f t="shared" si="24"/>
        <v>2084.9250236047956</v>
      </c>
      <c r="K59" s="6">
        <f t="shared" si="25"/>
        <v>1.2769405677465725E-2</v>
      </c>
      <c r="L59" s="7">
        <f t="shared" si="26"/>
        <v>1.0127694056774657</v>
      </c>
      <c r="N59">
        <f t="shared" si="27"/>
        <v>2009</v>
      </c>
      <c r="O59" s="2">
        <f t="shared" si="28"/>
        <v>7171.9852010905988</v>
      </c>
      <c r="P59" s="2"/>
      <c r="Q59" s="2"/>
      <c r="R59">
        <f t="shared" si="29"/>
        <v>2009</v>
      </c>
      <c r="S59" s="40">
        <v>0</v>
      </c>
      <c r="T59" s="40"/>
      <c r="U59" s="40">
        <v>0</v>
      </c>
      <c r="V59" s="40">
        <v>0</v>
      </c>
      <c r="W59" s="40"/>
      <c r="X59" s="40">
        <v>0</v>
      </c>
      <c r="Y59" s="40">
        <f>H59-($O59)</f>
        <v>158187.96422588793</v>
      </c>
      <c r="Z59" s="2">
        <f t="shared" si="44"/>
        <v>158187.96422588793</v>
      </c>
      <c r="AA59" s="2">
        <f t="shared" si="85"/>
        <v>2084.9250236047665</v>
      </c>
      <c r="AB59" s="6">
        <f t="shared" si="86"/>
        <v>1.3356082202237305E-2</v>
      </c>
      <c r="AC59" s="7">
        <f t="shared" si="32"/>
        <v>1.0133560822022374</v>
      </c>
      <c r="AD59" s="2">
        <f t="shared" si="45"/>
        <v>0</v>
      </c>
      <c r="AE59" s="2"/>
      <c r="AG59">
        <f t="shared" si="13"/>
        <v>2009</v>
      </c>
      <c r="AH59" s="6">
        <f t="shared" si="77"/>
        <v>0</v>
      </c>
      <c r="AI59" s="7"/>
      <c r="AJ59" s="6">
        <f t="shared" si="59"/>
        <v>0</v>
      </c>
      <c r="AK59" s="6">
        <f t="shared" si="59"/>
        <v>0</v>
      </c>
      <c r="AL59" s="7"/>
      <c r="AM59" s="6">
        <f t="shared" si="78"/>
        <v>0</v>
      </c>
      <c r="AN59" s="6">
        <f t="shared" si="14"/>
        <v>1</v>
      </c>
      <c r="AO59" s="6">
        <f t="shared" si="33"/>
        <v>1</v>
      </c>
      <c r="AP59" s="7">
        <f t="shared" si="34"/>
        <v>0</v>
      </c>
      <c r="AQ59" s="7">
        <f t="shared" si="35"/>
        <v>0</v>
      </c>
      <c r="AR59" s="7"/>
      <c r="AS59">
        <f t="shared" si="36"/>
        <v>2009</v>
      </c>
      <c r="AT59" s="40">
        <f>$Z59*AT$39</f>
        <v>31637.592845177587</v>
      </c>
      <c r="AU59" s="40"/>
      <c r="AV59" s="40">
        <f>$Z59*AV$39</f>
        <v>31637.592845177587</v>
      </c>
      <c r="AW59" s="40">
        <f>$Z59*AW$39</f>
        <v>15818.796422588794</v>
      </c>
      <c r="AX59" s="40"/>
      <c r="AY59" s="40">
        <f>$Z59*AY$39</f>
        <v>31637.592845177587</v>
      </c>
      <c r="AZ59" s="40">
        <f>$Z59*AZ$39</f>
        <v>47456.389267766375</v>
      </c>
      <c r="BA59" s="2">
        <f t="shared" si="84"/>
        <v>158187.96422588793</v>
      </c>
      <c r="BB59" s="2">
        <f t="shared" si="18"/>
        <v>0</v>
      </c>
      <c r="BC59" s="2"/>
      <c r="BM59" s="24"/>
      <c r="BN59">
        <f t="shared" si="5"/>
        <v>2009</v>
      </c>
      <c r="BO59" s="1" t="b">
        <f t="shared" si="37"/>
        <v>0</v>
      </c>
      <c r="BQ59" s="1" t="b">
        <f t="shared" si="66"/>
        <v>0</v>
      </c>
      <c r="BR59" s="1" t="b">
        <f t="shared" si="67"/>
        <v>0</v>
      </c>
      <c r="BT59" s="1" t="b">
        <f t="shared" si="53"/>
        <v>0</v>
      </c>
      <c r="BU59" s="1" t="b">
        <f t="shared" si="39"/>
        <v>0</v>
      </c>
      <c r="BV59" s="1" t="b">
        <f t="shared" si="40"/>
        <v>1</v>
      </c>
      <c r="CH59" s="2"/>
    </row>
    <row r="60" spans="1:86" x14ac:dyDescent="0.2">
      <c r="A60">
        <f t="shared" si="8"/>
        <v>2010</v>
      </c>
      <c r="B60" s="2">
        <f t="shared" si="58"/>
        <v>36354.757938393566</v>
      </c>
      <c r="C60" s="2"/>
      <c r="D60" s="2">
        <f t="shared" si="61"/>
        <v>39692.523983559797</v>
      </c>
      <c r="E60" s="2">
        <f t="shared" si="62"/>
        <v>20203.766790930407</v>
      </c>
      <c r="F60" s="2"/>
      <c r="G60" s="2">
        <f t="shared" si="47"/>
        <v>35155.693169561331</v>
      </c>
      <c r="H60" s="2">
        <f t="shared" si="23"/>
        <v>50503.089458756978</v>
      </c>
      <c r="I60" s="2">
        <f t="shared" si="41"/>
        <v>181909.83134120208</v>
      </c>
      <c r="J60" s="2">
        <f t="shared" si="24"/>
        <v>16549.881914223544</v>
      </c>
      <c r="K60" s="6">
        <f t="shared" si="25"/>
        <v>0.10008398025987437</v>
      </c>
      <c r="L60" s="7">
        <f t="shared" si="26"/>
        <v>1.1000839802598743</v>
      </c>
      <c r="N60">
        <f t="shared" si="27"/>
        <v>2010</v>
      </c>
      <c r="O60" s="2">
        <f t="shared" si="28"/>
        <v>7372.8007867211354</v>
      </c>
      <c r="P60" s="2"/>
      <c r="Q60" s="2"/>
      <c r="R60">
        <f t="shared" si="29"/>
        <v>2010</v>
      </c>
      <c r="S60" s="2">
        <f t="shared" ref="S60:S61" si="88">B60-($O60/5)</f>
        <v>34880.197781049341</v>
      </c>
      <c r="T60" s="2"/>
      <c r="U60" s="2">
        <f t="shared" ref="U60:U61" si="89">D60-($O60/5)</f>
        <v>38217.963826215571</v>
      </c>
      <c r="V60" s="2">
        <f t="shared" ref="V60:V61" si="90">E60-($O60/5)</f>
        <v>18729.206633586182</v>
      </c>
      <c r="W60" s="2"/>
      <c r="X60" s="2">
        <f t="shared" ref="X60:X61" si="91">G60-($O60/5)</f>
        <v>33681.133012217106</v>
      </c>
      <c r="Y60" s="2">
        <f t="shared" ref="Y60:Y61" si="92">H60-($O60/5)</f>
        <v>49028.529301412753</v>
      </c>
      <c r="Z60" s="2">
        <f t="shared" si="44"/>
        <v>174537.03055448097</v>
      </c>
      <c r="AA60" s="2">
        <f t="shared" si="85"/>
        <v>16349.066328593035</v>
      </c>
      <c r="AB60" s="6">
        <f t="shared" si="86"/>
        <v>0.10335215076949238</v>
      </c>
      <c r="AC60" s="7">
        <f t="shared" si="32"/>
        <v>1.1033521507694923</v>
      </c>
      <c r="AD60" s="2">
        <f t="shared" si="45"/>
        <v>0</v>
      </c>
      <c r="AE60" s="2"/>
      <c r="AG60">
        <f t="shared" si="13"/>
        <v>2010</v>
      </c>
      <c r="AH60" s="38">
        <f t="shared" si="77"/>
        <v>0.1998441114200212</v>
      </c>
      <c r="AI60" s="61"/>
      <c r="AJ60" s="38">
        <f t="shared" si="59"/>
        <v>0.21896765233602392</v>
      </c>
      <c r="AK60" s="38">
        <f t="shared" si="59"/>
        <v>0.10730792528144875</v>
      </c>
      <c r="AL60" s="61"/>
      <c r="AM60" s="38">
        <f t="shared" si="78"/>
        <v>0.19297413795351404</v>
      </c>
      <c r="AN60" s="38">
        <f t="shared" si="14"/>
        <v>0.28090617300899201</v>
      </c>
      <c r="AO60" s="6">
        <f t="shared" si="33"/>
        <v>0.99999999999999989</v>
      </c>
      <c r="AP60" s="7">
        <f t="shared" si="34"/>
        <v>0.71909382699100788</v>
      </c>
      <c r="AQ60" s="7">
        <f t="shared" si="35"/>
        <v>0</v>
      </c>
      <c r="AR60" s="7"/>
      <c r="AS60">
        <f t="shared" si="36"/>
        <v>2010</v>
      </c>
      <c r="AT60" s="2">
        <f>S60</f>
        <v>34880.197781049341</v>
      </c>
      <c r="AU60" s="2"/>
      <c r="AV60" s="2">
        <f t="shared" ref="AV60:AV61" si="93">U60</f>
        <v>38217.963826215571</v>
      </c>
      <c r="AW60" s="2">
        <f t="shared" ref="AW60:AW61" si="94">V60</f>
        <v>18729.206633586182</v>
      </c>
      <c r="AX60" s="2"/>
      <c r="AY60" s="2">
        <f t="shared" ref="AY60:AY61" si="95">X60</f>
        <v>33681.133012217106</v>
      </c>
      <c r="AZ60" s="2">
        <f t="shared" ref="AZ60:AZ61" si="96">Y60</f>
        <v>49028.529301412753</v>
      </c>
      <c r="BA60" s="2">
        <f t="shared" si="84"/>
        <v>174537.03055448097</v>
      </c>
      <c r="BB60" s="2">
        <f t="shared" si="18"/>
        <v>0</v>
      </c>
      <c r="BC60" s="2"/>
      <c r="BM60" s="24"/>
      <c r="BN60">
        <f t="shared" si="5"/>
        <v>2010</v>
      </c>
      <c r="BO60" s="1" t="b">
        <f t="shared" si="37"/>
        <v>1</v>
      </c>
      <c r="BQ60" s="1" t="b">
        <f t="shared" si="66"/>
        <v>1</v>
      </c>
      <c r="BR60" s="1" t="b">
        <f t="shared" si="67"/>
        <v>1</v>
      </c>
      <c r="BT60" s="1" t="b">
        <f t="shared" si="53"/>
        <v>1</v>
      </c>
      <c r="BU60" s="28" t="b">
        <f t="shared" si="39"/>
        <v>1</v>
      </c>
      <c r="BV60" s="1" t="b">
        <f t="shared" si="40"/>
        <v>1</v>
      </c>
      <c r="CH60" s="2"/>
    </row>
    <row r="61" spans="1:86" x14ac:dyDescent="0.2">
      <c r="A61">
        <f t="shared" si="8"/>
        <v>2011</v>
      </c>
      <c r="B61" s="2">
        <f t="shared" si="58"/>
        <v>35567.337677336014</v>
      </c>
      <c r="C61" s="2"/>
      <c r="D61" s="2">
        <f t="shared" si="61"/>
        <v>37411.564789482421</v>
      </c>
      <c r="E61" s="2">
        <f t="shared" si="62"/>
        <v>18204.788847845768</v>
      </c>
      <c r="F61" s="2"/>
      <c r="G61" s="2">
        <f t="shared" si="47"/>
        <v>28777.160045638298</v>
      </c>
      <c r="H61" s="2">
        <f t="shared" si="23"/>
        <v>52735.086116599559</v>
      </c>
      <c r="I61" s="2">
        <f t="shared" si="41"/>
        <v>172695.93747690207</v>
      </c>
      <c r="J61" s="2">
        <f t="shared" si="24"/>
        <v>-9213.8938643000147</v>
      </c>
      <c r="K61" s="6">
        <f t="shared" si="25"/>
        <v>-5.0650884541901572E-2</v>
      </c>
      <c r="L61" s="7">
        <f t="shared" si="26"/>
        <v>0.94934911545809841</v>
      </c>
      <c r="N61">
        <f t="shared" si="27"/>
        <v>2011</v>
      </c>
      <c r="O61" s="2">
        <f t="shared" si="28"/>
        <v>7476.0199977352313</v>
      </c>
      <c r="P61" s="2"/>
      <c r="Q61" s="2"/>
      <c r="R61">
        <f t="shared" si="29"/>
        <v>2011</v>
      </c>
      <c r="S61" s="2">
        <f t="shared" si="88"/>
        <v>34072.133677788966</v>
      </c>
      <c r="T61" s="2"/>
      <c r="U61" s="2">
        <f t="shared" si="89"/>
        <v>35916.360789935374</v>
      </c>
      <c r="V61" s="2">
        <f t="shared" si="90"/>
        <v>16709.58484829872</v>
      </c>
      <c r="W61" s="2"/>
      <c r="X61" s="2">
        <f t="shared" si="91"/>
        <v>27281.956046091251</v>
      </c>
      <c r="Y61" s="2">
        <f t="shared" si="92"/>
        <v>51239.882117052512</v>
      </c>
      <c r="Z61" s="2">
        <f t="shared" si="44"/>
        <v>165219.91747916682</v>
      </c>
      <c r="AA61" s="2">
        <f t="shared" si="85"/>
        <v>-9317.1130753141479</v>
      </c>
      <c r="AB61" s="6">
        <f t="shared" si="86"/>
        <v>-5.338187000039428E-2</v>
      </c>
      <c r="AC61" s="7">
        <f t="shared" si="32"/>
        <v>0.94661812999960571</v>
      </c>
      <c r="AD61" s="2">
        <f t="shared" si="45"/>
        <v>0</v>
      </c>
      <c r="AE61" s="2"/>
      <c r="AG61">
        <f t="shared" si="13"/>
        <v>2011</v>
      </c>
      <c r="AH61" s="59">
        <f t="shared" si="77"/>
        <v>0.20622291911073765</v>
      </c>
      <c r="AI61" s="60"/>
      <c r="AJ61" s="59">
        <f t="shared" si="59"/>
        <v>0.21738517569750149</v>
      </c>
      <c r="AK61" s="59">
        <f t="shared" si="59"/>
        <v>0.10113541456287008</v>
      </c>
      <c r="AL61" s="60"/>
      <c r="AM61" s="59">
        <f t="shared" si="78"/>
        <v>0.16512510393628135</v>
      </c>
      <c r="AN61" s="59">
        <f t="shared" si="14"/>
        <v>0.31013138669260948</v>
      </c>
      <c r="AO61" s="6">
        <f t="shared" si="33"/>
        <v>1</v>
      </c>
      <c r="AP61" s="7">
        <f t="shared" si="34"/>
        <v>0.68986861330739058</v>
      </c>
      <c r="AQ61" s="7">
        <f t="shared" si="35"/>
        <v>0</v>
      </c>
      <c r="AR61" s="7"/>
      <c r="AS61">
        <f t="shared" si="36"/>
        <v>2011</v>
      </c>
      <c r="AT61" s="2">
        <f>S61</f>
        <v>34072.133677788966</v>
      </c>
      <c r="AU61" s="2"/>
      <c r="AV61" s="2">
        <f t="shared" si="93"/>
        <v>35916.360789935374</v>
      </c>
      <c r="AW61" s="2">
        <f t="shared" si="94"/>
        <v>16709.58484829872</v>
      </c>
      <c r="AX61" s="2"/>
      <c r="AY61" s="2">
        <f t="shared" si="95"/>
        <v>27281.956046091251</v>
      </c>
      <c r="AZ61" s="2">
        <f t="shared" si="96"/>
        <v>51239.882117052512</v>
      </c>
      <c r="BA61" s="2">
        <f t="shared" si="84"/>
        <v>165219.91747916682</v>
      </c>
      <c r="BB61" s="2">
        <f t="shared" si="18"/>
        <v>0</v>
      </c>
      <c r="BC61" s="2"/>
      <c r="BM61" s="24"/>
      <c r="BN61">
        <f t="shared" si="5"/>
        <v>2011</v>
      </c>
      <c r="BO61" s="1" t="b">
        <f t="shared" si="37"/>
        <v>1</v>
      </c>
      <c r="BQ61" s="1" t="b">
        <f t="shared" si="66"/>
        <v>1</v>
      </c>
      <c r="BR61" s="1" t="b">
        <f t="shared" si="67"/>
        <v>1</v>
      </c>
      <c r="BT61" s="1" t="b">
        <f t="shared" si="53"/>
        <v>1</v>
      </c>
      <c r="BU61" s="1" t="b">
        <f t="shared" si="39"/>
        <v>1</v>
      </c>
      <c r="BV61" s="1" t="b">
        <f t="shared" si="40"/>
        <v>1</v>
      </c>
      <c r="CH61" s="2"/>
    </row>
    <row r="62" spans="1:86" x14ac:dyDescent="0.2">
      <c r="A62">
        <f t="shared" si="8"/>
        <v>2012</v>
      </c>
      <c r="B62" s="2">
        <f t="shared" si="58"/>
        <v>39462.34522561518</v>
      </c>
      <c r="C62" s="2"/>
      <c r="D62" s="2">
        <f t="shared" si="61"/>
        <v>41591.145794745156</v>
      </c>
      <c r="E62" s="2">
        <f t="shared" si="62"/>
        <v>19723.993954931811</v>
      </c>
      <c r="F62" s="2"/>
      <c r="G62" s="2">
        <f t="shared" si="47"/>
        <v>32230.902872852203</v>
      </c>
      <c r="H62" s="2">
        <f t="shared" si="23"/>
        <v>53315.097342793139</v>
      </c>
      <c r="I62" s="2">
        <f t="shared" si="41"/>
        <v>186323.48519093747</v>
      </c>
      <c r="J62" s="2">
        <f t="shared" si="24"/>
        <v>13627.547714035405</v>
      </c>
      <c r="K62" s="6">
        <f t="shared" si="25"/>
        <v>7.8910644414308118E-2</v>
      </c>
      <c r="L62" s="7">
        <f t="shared" si="26"/>
        <v>1.0789106444143082</v>
      </c>
      <c r="N62">
        <f t="shared" si="27"/>
        <v>2012</v>
      </c>
      <c r="O62" s="2">
        <f t="shared" si="28"/>
        <v>7700.3005976672885</v>
      </c>
      <c r="P62" s="2"/>
      <c r="Q62" s="2"/>
      <c r="R62">
        <f t="shared" si="29"/>
        <v>2012</v>
      </c>
      <c r="S62" s="2">
        <f t="shared" si="63"/>
        <v>37922.285106081719</v>
      </c>
      <c r="T62" s="2"/>
      <c r="U62" s="2">
        <f t="shared" si="64"/>
        <v>40051.085675211696</v>
      </c>
      <c r="V62" s="2">
        <f t="shared" si="64"/>
        <v>18183.933835398355</v>
      </c>
      <c r="W62" s="2"/>
      <c r="X62" s="2">
        <f t="shared" si="65"/>
        <v>30690.842753318746</v>
      </c>
      <c r="Y62" s="2">
        <f t="shared" si="65"/>
        <v>51775.037223259678</v>
      </c>
      <c r="Z62" s="2">
        <f t="shared" si="44"/>
        <v>178623.18459327021</v>
      </c>
      <c r="AA62" s="2">
        <f t="shared" si="85"/>
        <v>13403.267114103393</v>
      </c>
      <c r="AB62" s="6">
        <f t="shared" si="86"/>
        <v>8.1123797412581689E-2</v>
      </c>
      <c r="AC62" s="7">
        <f t="shared" si="32"/>
        <v>1.0811237974125816</v>
      </c>
      <c r="AD62" s="2">
        <f t="shared" si="45"/>
        <v>0</v>
      </c>
      <c r="AE62" s="2"/>
      <c r="AG62">
        <f t="shared" si="13"/>
        <v>2012</v>
      </c>
      <c r="AH62" s="6">
        <f t="shared" si="77"/>
        <v>0.21230326394880811</v>
      </c>
      <c r="AI62" s="7"/>
      <c r="AJ62" s="6">
        <f t="shared" si="59"/>
        <v>0.22422109294719547</v>
      </c>
      <c r="AK62" s="6">
        <f t="shared" si="59"/>
        <v>0.10180052425335301</v>
      </c>
      <c r="AL62" s="7"/>
      <c r="AM62" s="6">
        <f t="shared" si="78"/>
        <v>0.17181892050129224</v>
      </c>
      <c r="AN62" s="6">
        <f t="shared" si="14"/>
        <v>0.28985619834935106</v>
      </c>
      <c r="AO62" s="6">
        <f t="shared" si="33"/>
        <v>0.99999999999999989</v>
      </c>
      <c r="AP62" s="7">
        <f t="shared" si="34"/>
        <v>0.71014380165064883</v>
      </c>
      <c r="AQ62" s="7">
        <f t="shared" si="35"/>
        <v>0</v>
      </c>
      <c r="AR62" s="7"/>
      <c r="AS62">
        <f t="shared" si="36"/>
        <v>2012</v>
      </c>
      <c r="AT62" s="2">
        <f>S62</f>
        <v>37922.285106081719</v>
      </c>
      <c r="AU62" s="2"/>
      <c r="AV62" s="2">
        <f t="shared" ref="AV62:AW64" si="97">U62</f>
        <v>40051.085675211696</v>
      </c>
      <c r="AW62" s="2">
        <f t="shared" si="97"/>
        <v>18183.933835398355</v>
      </c>
      <c r="AX62" s="2"/>
      <c r="AY62" s="2">
        <f t="shared" ref="AY62:AZ64" si="98">X62</f>
        <v>30690.842753318746</v>
      </c>
      <c r="AZ62" s="2">
        <f t="shared" si="98"/>
        <v>51775.037223259678</v>
      </c>
      <c r="BA62" s="2">
        <f t="shared" si="84"/>
        <v>178623.18459327021</v>
      </c>
      <c r="BB62" s="2">
        <f t="shared" si="18"/>
        <v>0</v>
      </c>
      <c r="BC62" s="2"/>
      <c r="BM62" s="24"/>
      <c r="BN62">
        <f t="shared" si="5"/>
        <v>2012</v>
      </c>
      <c r="BO62" s="1" t="b">
        <f t="shared" si="37"/>
        <v>1</v>
      </c>
      <c r="BQ62" s="1" t="b">
        <f t="shared" si="66"/>
        <v>1</v>
      </c>
      <c r="BR62" s="1" t="b">
        <f t="shared" si="67"/>
        <v>1</v>
      </c>
      <c r="BT62" s="1" t="b">
        <f t="shared" si="53"/>
        <v>1</v>
      </c>
      <c r="BU62" s="28" t="b">
        <f t="shared" si="39"/>
        <v>1</v>
      </c>
      <c r="BV62" s="1" t="b">
        <f t="shared" si="40"/>
        <v>1</v>
      </c>
      <c r="CH62" s="2"/>
    </row>
    <row r="63" spans="1:86" x14ac:dyDescent="0.2">
      <c r="A63">
        <f t="shared" si="8"/>
        <v>2013</v>
      </c>
      <c r="B63" s="2">
        <f t="shared" si="58"/>
        <v>50125.676453218817</v>
      </c>
      <c r="C63" s="2"/>
      <c r="D63" s="2">
        <f t="shared" si="61"/>
        <v>54068.965661535796</v>
      </c>
      <c r="E63" s="2">
        <f t="shared" si="62"/>
        <v>25024.729744275213</v>
      </c>
      <c r="F63" s="2"/>
      <c r="G63" s="2">
        <f t="shared" si="47"/>
        <v>35306.745503417878</v>
      </c>
      <c r="H63" s="2">
        <f t="shared" si="23"/>
        <v>50604.921382014014</v>
      </c>
      <c r="I63" s="2">
        <f t="shared" si="41"/>
        <v>215131.03874446172</v>
      </c>
      <c r="J63" s="2">
        <f t="shared" si="24"/>
        <v>28807.553553524252</v>
      </c>
      <c r="K63" s="6">
        <f t="shared" si="25"/>
        <v>0.15461042672105091</v>
      </c>
      <c r="L63" s="7">
        <f t="shared" si="26"/>
        <v>1.1546104267210509</v>
      </c>
      <c r="N63">
        <f t="shared" si="27"/>
        <v>2013</v>
      </c>
      <c r="O63" s="2">
        <f t="shared" si="28"/>
        <v>7838.9060084252997</v>
      </c>
      <c r="P63" s="2"/>
      <c r="Q63" s="2"/>
      <c r="R63">
        <f t="shared" si="29"/>
        <v>2013</v>
      </c>
      <c r="S63" s="2">
        <f t="shared" si="63"/>
        <v>48557.895251533759</v>
      </c>
      <c r="T63" s="2"/>
      <c r="U63" s="2">
        <f t="shared" si="64"/>
        <v>52501.184459850738</v>
      </c>
      <c r="V63" s="2">
        <f t="shared" si="64"/>
        <v>23456.948542590155</v>
      </c>
      <c r="W63" s="2"/>
      <c r="X63" s="2">
        <f t="shared" si="65"/>
        <v>33738.96430173282</v>
      </c>
      <c r="Y63" s="2">
        <f t="shared" si="65"/>
        <v>49037.140180328955</v>
      </c>
      <c r="Z63" s="2">
        <f t="shared" si="44"/>
        <v>207292.13273603641</v>
      </c>
      <c r="AA63" s="2">
        <f t="shared" si="85"/>
        <v>28668.948142766196</v>
      </c>
      <c r="AB63" s="6">
        <f t="shared" si="86"/>
        <v>0.16049959140548389</v>
      </c>
      <c r="AC63" s="7">
        <f t="shared" si="32"/>
        <v>1.1604995914054839</v>
      </c>
      <c r="AD63" s="2">
        <f t="shared" si="45"/>
        <v>0</v>
      </c>
      <c r="AE63" s="2"/>
      <c r="AG63">
        <f t="shared" si="13"/>
        <v>2013</v>
      </c>
      <c r="AH63" s="6">
        <f t="shared" si="77"/>
        <v>0.23424861624327473</v>
      </c>
      <c r="AI63" s="7"/>
      <c r="AJ63" s="6">
        <f t="shared" si="59"/>
        <v>0.25327147618624379</v>
      </c>
      <c r="AK63" s="6">
        <f t="shared" si="59"/>
        <v>0.11315889432456167</v>
      </c>
      <c r="AL63" s="7"/>
      <c r="AM63" s="6">
        <f t="shared" si="78"/>
        <v>0.16276046686583931</v>
      </c>
      <c r="AN63" s="6">
        <f t="shared" si="14"/>
        <v>0.23656054638008056</v>
      </c>
      <c r="AO63" s="6">
        <f t="shared" si="33"/>
        <v>1.0000000000000002</v>
      </c>
      <c r="AP63" s="7">
        <f t="shared" si="34"/>
        <v>0.76343945361991961</v>
      </c>
      <c r="AQ63" s="7">
        <f t="shared" si="35"/>
        <v>0</v>
      </c>
      <c r="AR63" s="7"/>
      <c r="AS63">
        <f t="shared" si="36"/>
        <v>2013</v>
      </c>
      <c r="AT63" s="2">
        <f t="shared" ref="AT63:AT64" si="99">S63</f>
        <v>48557.895251533759</v>
      </c>
      <c r="AU63" s="2"/>
      <c r="AV63" s="2">
        <f t="shared" si="97"/>
        <v>52501.184459850738</v>
      </c>
      <c r="AW63" s="2">
        <f t="shared" si="97"/>
        <v>23456.948542590155</v>
      </c>
      <c r="AX63" s="2"/>
      <c r="AY63" s="2">
        <f t="shared" si="98"/>
        <v>33738.96430173282</v>
      </c>
      <c r="AZ63" s="2">
        <f t="shared" si="98"/>
        <v>49037.140180328955</v>
      </c>
      <c r="BA63" s="2">
        <f t="shared" si="84"/>
        <v>207292.13273603641</v>
      </c>
      <c r="BB63" s="2">
        <f t="shared" ref="BB63:BB64" si="100">SUM(AT63:AZ63)-Z63</f>
        <v>0</v>
      </c>
      <c r="BC63" s="2"/>
      <c r="BM63" s="24"/>
      <c r="BN63">
        <f t="shared" si="5"/>
        <v>2013</v>
      </c>
      <c r="BO63" s="1" t="b">
        <f t="shared" si="37"/>
        <v>1</v>
      </c>
      <c r="BQ63" s="1" t="b">
        <f t="shared" si="66"/>
        <v>0</v>
      </c>
      <c r="BR63" s="1" t="b">
        <f t="shared" si="67"/>
        <v>1</v>
      </c>
      <c r="BT63" s="1" t="b">
        <f t="shared" si="53"/>
        <v>1</v>
      </c>
      <c r="BU63" s="1" t="b">
        <f t="shared" si="39"/>
        <v>0</v>
      </c>
      <c r="BV63" s="1" t="b">
        <f t="shared" si="40"/>
        <v>1</v>
      </c>
      <c r="CH63" s="2"/>
    </row>
    <row r="64" spans="1:86" x14ac:dyDescent="0.2">
      <c r="A64">
        <f t="shared" si="8"/>
        <v>2014</v>
      </c>
      <c r="B64" s="2">
        <f t="shared" si="58"/>
        <v>55118.066900015969</v>
      </c>
      <c r="C64" s="2"/>
      <c r="D64" s="2">
        <f t="shared" si="61"/>
        <v>59641.345546390447</v>
      </c>
      <c r="E64" s="2">
        <f t="shared" si="62"/>
        <v>25185.725650179051</v>
      </c>
      <c r="F64" s="2"/>
      <c r="G64" s="2">
        <f t="shared" si="47"/>
        <v>32308.432215339348</v>
      </c>
      <c r="H64" s="2">
        <f t="shared" si="23"/>
        <v>51861.679454715908</v>
      </c>
      <c r="I64" s="2">
        <f t="shared" si="41"/>
        <v>224115.24976664071</v>
      </c>
      <c r="J64" s="2">
        <f t="shared" si="24"/>
        <v>8984.2110221789917</v>
      </c>
      <c r="K64" s="6">
        <f t="shared" si="25"/>
        <v>4.1761575059611332E-2</v>
      </c>
      <c r="L64" s="7">
        <f t="shared" si="26"/>
        <v>1.0417615750596114</v>
      </c>
      <c r="N64">
        <f t="shared" si="27"/>
        <v>2014</v>
      </c>
      <c r="O64" s="2">
        <f t="shared" si="28"/>
        <v>7929.4917560490194</v>
      </c>
      <c r="P64" s="2"/>
      <c r="Q64" s="2"/>
      <c r="R64">
        <f t="shared" si="29"/>
        <v>2014</v>
      </c>
      <c r="S64" s="2">
        <f t="shared" si="63"/>
        <v>53532.168548806163</v>
      </c>
      <c r="T64" s="2"/>
      <c r="U64" s="2">
        <f t="shared" si="64"/>
        <v>58055.447195180641</v>
      </c>
      <c r="V64" s="2">
        <f t="shared" si="64"/>
        <v>23599.827298969249</v>
      </c>
      <c r="W64" s="2"/>
      <c r="X64" s="2">
        <f t="shared" si="65"/>
        <v>30722.533864129546</v>
      </c>
      <c r="Y64" s="2">
        <f t="shared" si="65"/>
        <v>50275.781103506102</v>
      </c>
      <c r="Z64" s="2">
        <f t="shared" si="44"/>
        <v>216185.7580105917</v>
      </c>
      <c r="AA64" s="2">
        <f t="shared" si="85"/>
        <v>8893.625274555292</v>
      </c>
      <c r="AB64" s="6">
        <f t="shared" si="86"/>
        <v>4.2903824458597951E-2</v>
      </c>
      <c r="AC64" s="7">
        <f t="shared" si="32"/>
        <v>1.042903824458598</v>
      </c>
      <c r="AD64" s="2">
        <f t="shared" si="45"/>
        <v>0</v>
      </c>
      <c r="AE64" s="2"/>
      <c r="AG64">
        <f t="shared" si="13"/>
        <v>2014</v>
      </c>
      <c r="AH64" s="6">
        <f t="shared" si="77"/>
        <v>0.2476211617334359</v>
      </c>
      <c r="AI64" s="7"/>
      <c r="AJ64" s="6">
        <f t="shared" si="59"/>
        <v>0.26854427289486987</v>
      </c>
      <c r="AK64" s="6">
        <f t="shared" si="59"/>
        <v>0.10916457918478149</v>
      </c>
      <c r="AL64" s="7"/>
      <c r="AM64" s="6">
        <f t="shared" si="78"/>
        <v>0.1421117382886265</v>
      </c>
      <c r="AN64" s="6">
        <f t="shared" si="14"/>
        <v>0.23255824789828622</v>
      </c>
      <c r="AO64" s="6">
        <f t="shared" si="33"/>
        <v>1</v>
      </c>
      <c r="AP64" s="7">
        <f t="shared" si="34"/>
        <v>0.76744175210171384</v>
      </c>
      <c r="AQ64" s="7">
        <f t="shared" si="35"/>
        <v>0</v>
      </c>
      <c r="AR64" s="7"/>
      <c r="AS64">
        <f t="shared" si="36"/>
        <v>2014</v>
      </c>
      <c r="AT64" s="2">
        <f t="shared" si="99"/>
        <v>53532.168548806163</v>
      </c>
      <c r="AU64" s="2"/>
      <c r="AV64" s="2">
        <f t="shared" si="97"/>
        <v>58055.447195180641</v>
      </c>
      <c r="AW64" s="2">
        <f t="shared" si="97"/>
        <v>23599.827298969249</v>
      </c>
      <c r="AX64" s="2"/>
      <c r="AY64" s="2">
        <f t="shared" si="98"/>
        <v>30722.533864129546</v>
      </c>
      <c r="AZ64" s="2">
        <f t="shared" si="98"/>
        <v>50275.781103506102</v>
      </c>
      <c r="BA64" s="2">
        <f t="shared" si="84"/>
        <v>216185.7580105917</v>
      </c>
      <c r="BB64" s="2">
        <f t="shared" si="100"/>
        <v>0</v>
      </c>
      <c r="BC64" s="2"/>
      <c r="BM64" s="24"/>
      <c r="BN64">
        <f t="shared" si="5"/>
        <v>2014</v>
      </c>
      <c r="BO64" s="1" t="b">
        <f t="shared" si="37"/>
        <v>1</v>
      </c>
      <c r="BQ64" s="1" t="b">
        <f t="shared" si="66"/>
        <v>0</v>
      </c>
      <c r="BR64" s="1" t="b">
        <f t="shared" si="67"/>
        <v>1</v>
      </c>
      <c r="BT64" s="1" t="b">
        <f t="shared" si="53"/>
        <v>0</v>
      </c>
      <c r="BU64" s="1" t="b">
        <f t="shared" si="39"/>
        <v>0</v>
      </c>
      <c r="BV64" s="1" t="b">
        <f t="shared" si="40"/>
        <v>1</v>
      </c>
      <c r="CH64" s="2"/>
    </row>
    <row r="65" spans="1:37" x14ac:dyDescent="0.2">
      <c r="A65" s="9" t="s">
        <v>78</v>
      </c>
      <c r="B65" s="10">
        <f>AT64</f>
        <v>53532.168548806163</v>
      </c>
      <c r="C65" s="10"/>
      <c r="D65" s="10">
        <f>AV64</f>
        <v>58055.447195180641</v>
      </c>
      <c r="E65" s="10">
        <f>AW64</f>
        <v>23599.827298969249</v>
      </c>
      <c r="F65" s="10"/>
      <c r="G65" s="10">
        <f>AY64</f>
        <v>30722.533864129546</v>
      </c>
      <c r="H65" s="10">
        <f>AZ64</f>
        <v>50275.781103506102</v>
      </c>
      <c r="I65" s="10">
        <f>SUM(B65:H65)</f>
        <v>216185.7580105917</v>
      </c>
      <c r="J65" s="10"/>
      <c r="K65" s="10"/>
      <c r="L65" s="74"/>
      <c r="N65" t="s">
        <v>40</v>
      </c>
      <c r="O65" s="2">
        <f>O64</f>
        <v>7929.4917560490194</v>
      </c>
      <c r="P65" s="2"/>
      <c r="R65" s="9" t="s">
        <v>78</v>
      </c>
      <c r="S65" s="10">
        <f>S64</f>
        <v>53532.168548806163</v>
      </c>
      <c r="T65" s="10"/>
      <c r="U65" s="10">
        <f>U64</f>
        <v>58055.447195180641</v>
      </c>
      <c r="V65" s="10">
        <f>V64</f>
        <v>23599.827298969249</v>
      </c>
      <c r="W65" s="10"/>
      <c r="X65" s="10">
        <f>X64</f>
        <v>30722.533864129546</v>
      </c>
      <c r="Y65" s="10">
        <f>Y64</f>
        <v>50275.781103506102</v>
      </c>
      <c r="Z65" s="10">
        <f>SUM(S65:Y65)</f>
        <v>216185.7580105917</v>
      </c>
      <c r="AA65" s="10"/>
      <c r="AB65" s="10"/>
      <c r="AC65" s="10"/>
      <c r="AD65" s="10"/>
      <c r="AE65" s="43"/>
      <c r="AK65" s="7"/>
    </row>
    <row r="66" spans="1:37" x14ac:dyDescent="0.2">
      <c r="A66" s="11" t="s">
        <v>11</v>
      </c>
      <c r="I66" s="6">
        <f>(Z65-Z39)/Z39</f>
        <v>1.161857580105917</v>
      </c>
      <c r="K66" s="6"/>
      <c r="N66" t="s">
        <v>70</v>
      </c>
      <c r="O66" s="2">
        <f>SUM(O40:O64)</f>
        <v>153095.61715261915</v>
      </c>
      <c r="P66" s="2"/>
    </row>
    <row r="67" spans="1:37" x14ac:dyDescent="0.2">
      <c r="A67" s="1" t="s">
        <v>12</v>
      </c>
      <c r="I67" s="12">
        <f>STDEV(AC40:AC64)</f>
        <v>0.11742641163463499</v>
      </c>
    </row>
    <row r="68" spans="1:37" x14ac:dyDescent="0.2">
      <c r="A68" s="1" t="s">
        <v>13</v>
      </c>
      <c r="I68" s="13">
        <f>((1+I66)^(1/I75))-1</f>
        <v>3.1319152838265696E-2</v>
      </c>
    </row>
    <row r="69" spans="1:37" x14ac:dyDescent="0.2">
      <c r="A69" s="1" t="s">
        <v>82</v>
      </c>
      <c r="I69" s="31">
        <f>J60</f>
        <v>16549.881914223544</v>
      </c>
      <c r="O69" s="2"/>
      <c r="P69" s="2"/>
    </row>
    <row r="70" spans="1:37" x14ac:dyDescent="0.2">
      <c r="A70" s="1" t="s">
        <v>83</v>
      </c>
      <c r="I70" s="32">
        <f>K60</f>
        <v>0.10008398025987437</v>
      </c>
    </row>
    <row r="71" spans="1:37" x14ac:dyDescent="0.2">
      <c r="A71" s="1" t="s">
        <v>42</v>
      </c>
      <c r="I71" s="2">
        <f>O66</f>
        <v>153095.61715261915</v>
      </c>
    </row>
    <row r="72" spans="1:37" x14ac:dyDescent="0.2">
      <c r="A72" s="3" t="s">
        <v>5</v>
      </c>
      <c r="B72" s="3"/>
      <c r="C72" s="3"/>
      <c r="D72" s="3"/>
      <c r="E72" s="3"/>
      <c r="F72" s="3"/>
      <c r="G72" s="3"/>
      <c r="H72" s="3"/>
      <c r="I72" s="33">
        <f>I65-Z65</f>
        <v>0</v>
      </c>
    </row>
    <row r="73" spans="1:37" x14ac:dyDescent="0.2">
      <c r="A73" s="3" t="s">
        <v>148</v>
      </c>
      <c r="B73" s="3"/>
      <c r="C73" s="3"/>
      <c r="D73" s="3"/>
      <c r="E73" s="3"/>
      <c r="F73" s="3"/>
      <c r="G73" s="3"/>
      <c r="H73" s="3"/>
      <c r="I73" s="33">
        <f>((SUM(AA40:AA64)))-(I65-I39)</f>
        <v>0</v>
      </c>
    </row>
    <row r="74" spans="1:37" x14ac:dyDescent="0.2">
      <c r="A74" s="3" t="s">
        <v>147</v>
      </c>
      <c r="B74" s="3"/>
      <c r="C74" s="3"/>
      <c r="D74" s="3"/>
      <c r="E74" s="3"/>
      <c r="F74" s="3"/>
      <c r="G74" s="3"/>
      <c r="H74" s="3"/>
      <c r="I74" s="33">
        <f>(SUM(O40:O64))-I71</f>
        <v>0</v>
      </c>
    </row>
    <row r="75" spans="1:37" x14ac:dyDescent="0.2">
      <c r="A75" s="3" t="s">
        <v>152</v>
      </c>
      <c r="B75" s="3"/>
      <c r="C75" s="3"/>
      <c r="D75" s="3"/>
      <c r="E75" s="3"/>
      <c r="F75" s="3"/>
      <c r="G75" s="3"/>
      <c r="H75" s="3"/>
      <c r="I75" s="75">
        <f>COUNTA(I40:I64)</f>
        <v>25</v>
      </c>
    </row>
    <row r="76" spans="1:37" x14ac:dyDescent="0.2">
      <c r="A76" s="1" t="s">
        <v>105</v>
      </c>
      <c r="B76" s="63"/>
      <c r="C76" s="63"/>
      <c r="D76" s="63"/>
      <c r="E76" s="63"/>
      <c r="G76" s="63"/>
      <c r="H76" s="63"/>
      <c r="I76" s="85">
        <f>(SUM(B65:G65)/I65)</f>
        <v>0.76744175210171373</v>
      </c>
    </row>
    <row r="77" spans="1:37" x14ac:dyDescent="0.2">
      <c r="A77" s="1" t="s">
        <v>106</v>
      </c>
      <c r="B77" s="63"/>
      <c r="C77" s="63"/>
      <c r="D77" s="63"/>
      <c r="E77" s="63"/>
      <c r="G77" s="63"/>
      <c r="H77" s="63"/>
      <c r="I77" s="85">
        <f>(H65/I65)</f>
        <v>0.23255824789828622</v>
      </c>
    </row>
    <row r="78" spans="1:37" x14ac:dyDescent="0.2">
      <c r="A78" s="3" t="s">
        <v>107</v>
      </c>
      <c r="I78" s="3">
        <f>100%-(I76+I77)</f>
        <v>0</v>
      </c>
    </row>
  </sheetData>
  <pageMargins left="0.7" right="0.7" top="0.75" bottom="0.75" header="0.3" footer="0.3"/>
  <pageSetup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A429F-1061-48B8-9244-D651830B104E}">
  <dimension ref="A1:BM78"/>
  <sheetViews>
    <sheetView topLeftCell="A24" zoomScaleNormal="100" workbookViewId="0">
      <pane xSplit="30000" topLeftCell="AV1"/>
      <selection activeCell="A76" sqref="A76:I78"/>
      <selection pane="topRight" activeCell="A30" sqref="A30"/>
    </sheetView>
  </sheetViews>
  <sheetFormatPr baseColWidth="10" defaultColWidth="8.83203125" defaultRowHeight="15" x14ac:dyDescent="0.2"/>
  <cols>
    <col min="1" max="1" width="25.5" customWidth="1"/>
    <col min="2" max="2" width="9.33203125" bestFit="1" customWidth="1"/>
    <col min="4" max="4" width="9.33203125" bestFit="1" customWidth="1"/>
    <col min="7" max="7" width="9.83203125" bestFit="1" customWidth="1"/>
    <col min="8" max="8" width="9.33203125" bestFit="1" customWidth="1"/>
    <col min="9" max="9" width="11.6640625" customWidth="1"/>
    <col min="10" max="10" width="10" bestFit="1" customWidth="1"/>
    <col min="11" max="12" width="8.83203125" customWidth="1"/>
    <col min="15" max="15" width="9.83203125" bestFit="1" customWidth="1"/>
    <col min="16" max="16" width="9.83203125" customWidth="1"/>
    <col min="18" max="18" width="9.1640625" customWidth="1"/>
    <col min="19" max="19" width="10.83203125" bestFit="1" customWidth="1"/>
    <col min="21" max="21" width="11.83203125" bestFit="1" customWidth="1"/>
    <col min="24" max="24" width="9.83203125" bestFit="1" customWidth="1"/>
    <col min="25" max="25" width="9.33203125" bestFit="1" customWidth="1"/>
    <col min="26" max="26" width="10.83203125" bestFit="1" customWidth="1"/>
    <col min="27" max="27" width="10" bestFit="1" customWidth="1"/>
    <col min="30" max="31" width="10.83203125" customWidth="1"/>
    <col min="56" max="56" width="10.83203125" bestFit="1" customWidth="1"/>
    <col min="58" max="58" width="9.33203125" bestFit="1" customWidth="1"/>
    <col min="61" max="61" width="10.1640625" customWidth="1"/>
    <col min="62" max="63" width="9.33203125" bestFit="1" customWidth="1"/>
  </cols>
  <sheetData>
    <row r="1" spans="1:16" x14ac:dyDescent="0.2">
      <c r="A1" s="20" t="s">
        <v>49</v>
      </c>
      <c r="N1" s="20" t="s">
        <v>144</v>
      </c>
    </row>
    <row r="2" spans="1:16"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'4.5% Withdrawals-No Rebalancing'!N3</f>
        <v>Year</v>
      </c>
      <c r="O3" s="50" t="str">
        <f>'4.5% Withdrawals-No Rebalancing'!O3</f>
        <v>CPI</v>
      </c>
      <c r="P3" s="44"/>
    </row>
    <row r="4" spans="1:16" x14ac:dyDescent="0.2">
      <c r="A4" s="17">
        <f>'Non-Rebalanced Portfolio'!A4</f>
        <v>1990</v>
      </c>
      <c r="B4" s="17">
        <f>'Non-Rebalanced Portfolio'!B4</f>
        <v>-3.32</v>
      </c>
      <c r="C4" s="19">
        <f>'Non-Rebalanced Portfolio'!C4</f>
        <v>-14.045</v>
      </c>
      <c r="D4" s="17"/>
      <c r="E4" s="17"/>
      <c r="F4" s="17">
        <f>'Non-Rebalanced Portfolio'!F4</f>
        <v>-12.26</v>
      </c>
      <c r="G4" s="17"/>
      <c r="H4" s="17">
        <f>'Non-Rebalanced Portfolio'!H4</f>
        <v>8.65</v>
      </c>
      <c r="N4" s="49">
        <f>'4.5% Withdrawals-No Rebalancing'!N4</f>
        <v>1989</v>
      </c>
      <c r="O4" s="50">
        <f>'4.5% Withdrawals-No Rebalancing'!O4</f>
        <v>4.5999999999999999E-2</v>
      </c>
      <c r="P4" s="44"/>
    </row>
    <row r="5" spans="1:16" x14ac:dyDescent="0.2">
      <c r="A5" s="17">
        <f>'Non-Rebalanced Portfolio'!A5</f>
        <v>1991</v>
      </c>
      <c r="B5" s="17">
        <f>'Non-Rebalanced Portfolio'!B5</f>
        <v>30.22</v>
      </c>
      <c r="C5" s="19">
        <f>'Non-Rebalanced Portfolio'!C5</f>
        <v>41.85</v>
      </c>
      <c r="D5" s="17"/>
      <c r="E5" s="17"/>
      <c r="F5" s="17">
        <f>'Non-Rebalanced Portfolio'!F5</f>
        <v>9.9559999999999995</v>
      </c>
      <c r="G5" s="17"/>
      <c r="H5" s="17">
        <f>'Non-Rebalanced Portfolio'!H5</f>
        <v>15.25</v>
      </c>
      <c r="N5" s="49">
        <f>'4.5% Withdrawals-No Rebalancing'!N5</f>
        <v>1990</v>
      </c>
      <c r="O5" s="50">
        <f>'4.5% Withdrawals-No Rebalancing'!O5</f>
        <v>6.3E-2</v>
      </c>
      <c r="P5" s="44"/>
    </row>
    <row r="6" spans="1:16" x14ac:dyDescent="0.2">
      <c r="A6" s="17">
        <f>'Non-Rebalanced Portfolio'!A6</f>
        <v>1992</v>
      </c>
      <c r="B6" s="17">
        <f>'Non-Rebalanced Portfolio'!B6</f>
        <v>7.42</v>
      </c>
      <c r="C6" s="19">
        <f>'Non-Rebalanced Portfolio'!C6</f>
        <v>12.465999999999999</v>
      </c>
      <c r="D6" s="17"/>
      <c r="E6" s="17"/>
      <c r="F6" s="17">
        <f>'Non-Rebalanced Portfolio'!F6</f>
        <v>-8.7210000000000001</v>
      </c>
      <c r="G6" s="17"/>
      <c r="H6" s="17">
        <f>'Non-Rebalanced Portfolio'!H6</f>
        <v>7.14</v>
      </c>
      <c r="N6" s="49">
        <f>'4.5% Withdrawals-No Rebalancing'!N6</f>
        <v>1991</v>
      </c>
      <c r="O6" s="50">
        <f>'4.5% Withdrawals-No Rebalancing'!O6</f>
        <v>0.03</v>
      </c>
      <c r="P6" s="44"/>
    </row>
    <row r="7" spans="1:16" x14ac:dyDescent="0.2">
      <c r="A7" s="17">
        <f>'Non-Rebalanced Portfolio'!A7</f>
        <v>1993</v>
      </c>
      <c r="B7" s="17">
        <f>'Non-Rebalanced Portfolio'!B7</f>
        <v>9.89</v>
      </c>
      <c r="C7" s="19">
        <f>'Non-Rebalanced Portfolio'!C7</f>
        <v>14.49</v>
      </c>
      <c r="D7" s="17"/>
      <c r="E7" s="17"/>
      <c r="F7" s="17">
        <f>'Non-Rebalanced Portfolio'!F7</f>
        <v>30.494</v>
      </c>
      <c r="G7" s="17"/>
      <c r="H7" s="17">
        <f>'Non-Rebalanced Portfolio'!H7</f>
        <v>9.68</v>
      </c>
      <c r="N7" s="49">
        <f>'4.5% Withdrawals-No Rebalancing'!N7</f>
        <v>1992</v>
      </c>
      <c r="O7" s="50">
        <f>'4.5% Withdrawals-No Rebalancing'!O7</f>
        <v>0.03</v>
      </c>
      <c r="P7" s="44"/>
    </row>
    <row r="8" spans="1:16" x14ac:dyDescent="0.2">
      <c r="A8" s="17">
        <f>'Non-Rebalanced Portfolio'!A8</f>
        <v>1994</v>
      </c>
      <c r="B8" s="17">
        <f>'Non-Rebalanced Portfolio'!B8</f>
        <v>1.18</v>
      </c>
      <c r="C8" s="19">
        <f>'Non-Rebalanced Portfolio'!C8</f>
        <v>-1.764</v>
      </c>
      <c r="D8" s="17"/>
      <c r="E8" s="17"/>
      <c r="F8" s="17">
        <f>'Non-Rebalanced Portfolio'!F8</f>
        <v>5.2549999999999999</v>
      </c>
      <c r="G8" s="17"/>
      <c r="H8" s="17">
        <f>'Non-Rebalanced Portfolio'!H8</f>
        <v>-2.66</v>
      </c>
      <c r="N8" s="49">
        <f>'4.5% Withdrawals-No Rebalancing'!N8</f>
        <v>1993</v>
      </c>
      <c r="O8" s="50">
        <f>'4.5% Withdrawals-No Rebalancing'!O8</f>
        <v>2.8000000000000001E-2</v>
      </c>
      <c r="P8" s="44"/>
    </row>
    <row r="9" spans="1:16" x14ac:dyDescent="0.2">
      <c r="A9" s="17">
        <f>'Non-Rebalanced Portfolio'!A9</f>
        <v>1995</v>
      </c>
      <c r="B9" s="17">
        <f>'Non-Rebalanced Portfolio'!B9</f>
        <v>37.450000000000003</v>
      </c>
      <c r="C9" s="19">
        <f>'Non-Rebalanced Portfolio'!C9</f>
        <v>33.796999999999997</v>
      </c>
      <c r="D9" s="17"/>
      <c r="E9" s="17"/>
      <c r="F9" s="17">
        <f>'Non-Rebalanced Portfolio'!F9</f>
        <v>9.6460000000000008</v>
      </c>
      <c r="G9" s="17"/>
      <c r="H9" s="17">
        <f>'Non-Rebalanced Portfolio'!H9</f>
        <v>18.18</v>
      </c>
      <c r="N9" s="49">
        <f>'4.5% Withdrawals-No Rebalancing'!N9</f>
        <v>1994</v>
      </c>
      <c r="O9" s="50">
        <f>'4.5% Withdrawals-No Rebalancing'!O9</f>
        <v>2.5999999999999999E-2</v>
      </c>
      <c r="P9" s="44"/>
    </row>
    <row r="10" spans="1:16" x14ac:dyDescent="0.2">
      <c r="A10" s="17">
        <f>'Non-Rebalanced Portfolio'!A10</f>
        <v>1996</v>
      </c>
      <c r="B10" s="17">
        <f>'Non-Rebalanced Portfolio'!B10</f>
        <v>22.88</v>
      </c>
      <c r="C10" s="19">
        <f>'Non-Rebalanced Portfolio'!C10</f>
        <v>17.646999999999998</v>
      </c>
      <c r="D10" s="17"/>
      <c r="E10" s="17"/>
      <c r="F10" s="17">
        <f>'Non-Rebalanced Portfolio'!F10</f>
        <v>10.218999999999999</v>
      </c>
      <c r="G10" s="17"/>
      <c r="H10" s="17">
        <f>'Non-Rebalanced Portfolio'!H10</f>
        <v>3.58</v>
      </c>
      <c r="N10" s="49">
        <f>'4.5% Withdrawals-No Rebalancing'!N10</f>
        <v>1995</v>
      </c>
      <c r="O10" s="50">
        <f>'4.5% Withdrawals-No Rebalancing'!O10</f>
        <v>2.5000000000000001E-2</v>
      </c>
      <c r="P10" s="44"/>
    </row>
    <row r="11" spans="1:16" x14ac:dyDescent="0.2">
      <c r="A11" s="17">
        <f>'Non-Rebalanced Portfolio'!A11</f>
        <v>1997</v>
      </c>
      <c r="B11" s="17">
        <f>'Non-Rebalanced Portfolio'!B11</f>
        <v>33.19</v>
      </c>
      <c r="C11" s="19">
        <f>'Non-Rebalanced Portfolio'!C11</f>
        <v>26.687000000000001</v>
      </c>
      <c r="D11" s="17"/>
      <c r="E11" s="17"/>
      <c r="F11" s="17">
        <f>'Non-Rebalanced Portfolio'!F11</f>
        <v>0</v>
      </c>
      <c r="G11" s="17"/>
      <c r="H11" s="17">
        <f>'Non-Rebalanced Portfolio'!H11</f>
        <v>9.44</v>
      </c>
      <c r="N11" s="49">
        <f>'4.5% Withdrawals-No Rebalancing'!N11</f>
        <v>1996</v>
      </c>
      <c r="O11" s="50">
        <f>'4.5% Withdrawals-No Rebalancing'!O11</f>
        <v>3.4000000000000002E-2</v>
      </c>
      <c r="P11" s="44"/>
    </row>
    <row r="12" spans="1:16" x14ac:dyDescent="0.2">
      <c r="A12" s="17">
        <f>'Non-Rebalanced Portfolio'!A12</f>
        <v>1998</v>
      </c>
      <c r="B12" s="17">
        <f>'Non-Rebalanced Portfolio'!B12</f>
        <v>28.66</v>
      </c>
      <c r="C12" s="19">
        <f>'Non-Rebalanced Portfolio'!C12</f>
        <v>8.3529999999999998</v>
      </c>
      <c r="D12" s="17"/>
      <c r="E12" s="17"/>
      <c r="F12" s="17">
        <f>'Non-Rebalanced Portfolio'!F12</f>
        <v>0</v>
      </c>
      <c r="G12" s="17">
        <f>'Non-Rebalanced Portfolio'!G12</f>
        <v>15.603</v>
      </c>
      <c r="H12" s="17">
        <f>'Non-Rebalanced Portfolio'!H12</f>
        <v>8.58</v>
      </c>
      <c r="N12" s="49">
        <f>'4.5% Withdrawals-No Rebalancing'!N12</f>
        <v>1997</v>
      </c>
      <c r="O12" s="50">
        <f>'4.5% Withdrawals-No Rebalancing'!O12</f>
        <v>1.7000000000000001E-2</v>
      </c>
      <c r="P12" s="44"/>
    </row>
    <row r="13" spans="1:16" x14ac:dyDescent="0.2">
      <c r="A13" s="17">
        <f>'Non-Rebalanced Portfolio'!A13</f>
        <v>1999</v>
      </c>
      <c r="B13" s="17">
        <f>'Non-Rebalanced Portfolio'!B13</f>
        <v>21.07</v>
      </c>
      <c r="C13" s="19">
        <f>'Non-Rebalanced Portfolio'!C13</f>
        <v>0</v>
      </c>
      <c r="D13" s="17"/>
      <c r="E13" s="17"/>
      <c r="F13" s="17"/>
      <c r="G13" s="17">
        <f>'Non-Rebalanced Portfolio'!G13</f>
        <v>29.919</v>
      </c>
      <c r="H13" s="17">
        <f>'Non-Rebalanced Portfolio'!H13</f>
        <v>-0.76</v>
      </c>
      <c r="N13" s="49">
        <f>'4.5% Withdrawals-No Rebalancing'!N13</f>
        <v>1998</v>
      </c>
      <c r="O13" s="50">
        <f>'4.5% Withdrawals-No Rebalancing'!O13</f>
        <v>1.6E-2</v>
      </c>
      <c r="P13" s="44"/>
    </row>
    <row r="14" spans="1:16" x14ac:dyDescent="0.2">
      <c r="A14" s="17">
        <f>'Non-Rebalanced Portfolio'!A14</f>
        <v>2000</v>
      </c>
      <c r="B14" s="17">
        <f>'Non-Rebalanced Portfolio'!B14</f>
        <v>-9.06</v>
      </c>
      <c r="C14" s="19">
        <f>'Non-Rebalanced Portfolio'!C14</f>
        <v>0</v>
      </c>
      <c r="D14" s="17">
        <f>'Non-Rebalanced Portfolio'!D14</f>
        <v>18.097999999999999</v>
      </c>
      <c r="E14" s="17">
        <f>'Non-Rebalanced Portfolio'!E14</f>
        <v>-2.665</v>
      </c>
      <c r="F14" s="17"/>
      <c r="G14" s="17">
        <f>'Non-Rebalanced Portfolio'!G14</f>
        <v>-15.614000000000001</v>
      </c>
      <c r="H14" s="17">
        <f>'Non-Rebalanced Portfolio'!H14</f>
        <v>11.39</v>
      </c>
      <c r="N14" s="49">
        <f>'4.5% Withdrawals-No Rebalancing'!N14</f>
        <v>1999</v>
      </c>
      <c r="O14" s="50">
        <f>'4.5% Withdrawals-No Rebalancing'!O14</f>
        <v>2.7E-2</v>
      </c>
      <c r="P14" s="44"/>
    </row>
    <row r="15" spans="1:16" x14ac:dyDescent="0.2">
      <c r="A15" s="17">
        <f>'Non-Rebalanced Portfolio'!A15</f>
        <v>2001</v>
      </c>
      <c r="B15" s="17">
        <f>'Non-Rebalanced Portfolio'!B15</f>
        <v>-12.02</v>
      </c>
      <c r="C15" s="17"/>
      <c r="D15" s="17">
        <f>'Non-Rebalanced Portfolio'!D15</f>
        <v>-0.499</v>
      </c>
      <c r="E15" s="17">
        <f>'Non-Rebalanced Portfolio'!E15</f>
        <v>3.1</v>
      </c>
      <c r="F15" s="17"/>
      <c r="G15" s="17">
        <f>'Non-Rebalanced Portfolio'!G15</f>
        <v>-20.152999999999999</v>
      </c>
      <c r="H15" s="17">
        <f>'Non-Rebalanced Portfolio'!H15</f>
        <v>8.43</v>
      </c>
      <c r="N15" s="49">
        <f>'4.5% Withdrawals-No Rebalancing'!N15</f>
        <v>2000</v>
      </c>
      <c r="O15" s="50">
        <f>'4.5% Withdrawals-No Rebalancing'!O15</f>
        <v>3.4000000000000002E-2</v>
      </c>
      <c r="P15" s="44"/>
    </row>
    <row r="16" spans="1:16" x14ac:dyDescent="0.2">
      <c r="A16" s="17">
        <f>'Non-Rebalanced Portfolio'!A16</f>
        <v>2002</v>
      </c>
      <c r="B16" s="17">
        <f>'Non-Rebalanced Portfolio'!B16</f>
        <v>-22.15</v>
      </c>
      <c r="C16" s="17"/>
      <c r="D16" s="17">
        <f>'Non-Rebalanced Portfolio'!D16</f>
        <v>-14.608000000000001</v>
      </c>
      <c r="E16" s="17">
        <f>'Non-Rebalanced Portfolio'!E16</f>
        <v>-20.021999999999998</v>
      </c>
      <c r="F16" s="17"/>
      <c r="G16" s="17">
        <f>'Non-Rebalanced Portfolio'!G16</f>
        <v>-15.083</v>
      </c>
      <c r="H16" s="17">
        <f>'Non-Rebalanced Portfolio'!H16</f>
        <v>8.26</v>
      </c>
      <c r="N16" s="49">
        <f>'4.5% Withdrawals-No Rebalancing'!N16</f>
        <v>2001</v>
      </c>
      <c r="O16" s="50">
        <f>'4.5% Withdrawals-No Rebalancing'!O16</f>
        <v>1.6E-2</v>
      </c>
      <c r="P16" s="44"/>
    </row>
    <row r="17" spans="1:16" x14ac:dyDescent="0.2">
      <c r="A17" s="17">
        <f>'Non-Rebalanced Portfolio'!A17</f>
        <v>2003</v>
      </c>
      <c r="B17" s="17">
        <f>'Non-Rebalanced Portfolio'!B17</f>
        <v>28.5</v>
      </c>
      <c r="C17" s="17"/>
      <c r="D17" s="17">
        <f>'Non-Rebalanced Portfolio'!D17</f>
        <v>34.142000000000003</v>
      </c>
      <c r="E17" s="17">
        <f>'Non-Rebalanced Portfolio'!E17</f>
        <v>45.628</v>
      </c>
      <c r="F17" s="17"/>
      <c r="G17" s="17">
        <f>'Non-Rebalanced Portfolio'!G17</f>
        <v>40.340000000000003</v>
      </c>
      <c r="H17" s="17">
        <f>'Non-Rebalanced Portfolio'!H17</f>
        <v>3.97</v>
      </c>
      <c r="N17" s="49">
        <f>'4.5% Withdrawals-No Rebalancing'!N17</f>
        <v>2002</v>
      </c>
      <c r="O17" s="50">
        <f>'4.5% Withdrawals-No Rebalancing'!O17</f>
        <v>2.5000000000000001E-2</v>
      </c>
      <c r="P17" s="44"/>
    </row>
    <row r="18" spans="1:16" x14ac:dyDescent="0.2">
      <c r="A18" s="17">
        <f>'Non-Rebalanced Portfolio'!A18</f>
        <v>2004</v>
      </c>
      <c r="B18" s="17">
        <f>'Non-Rebalanced Portfolio'!B18</f>
        <v>10.74</v>
      </c>
      <c r="C18" s="17"/>
      <c r="D18" s="17">
        <f>'Non-Rebalanced Portfolio'!D18</f>
        <v>20.353000000000002</v>
      </c>
      <c r="E18" s="17">
        <f>'Non-Rebalanced Portfolio'!E18</f>
        <v>19.896999999999998</v>
      </c>
      <c r="F18" s="17"/>
      <c r="G18" s="17">
        <f>'Non-Rebalanced Portfolio'!G18</f>
        <v>20.837</v>
      </c>
      <c r="H18" s="17">
        <f>'Non-Rebalanced Portfolio'!H18</f>
        <v>4.24</v>
      </c>
      <c r="N18" s="49">
        <f>'4.5% Withdrawals-No Rebalancing'!N18</f>
        <v>2003</v>
      </c>
      <c r="O18" s="50">
        <f>'4.5% Withdrawals-No Rebalancing'!O18</f>
        <v>0.02</v>
      </c>
      <c r="P18" s="44"/>
    </row>
    <row r="19" spans="1:16" x14ac:dyDescent="0.2">
      <c r="A19" s="17">
        <f>'Non-Rebalanced Portfolio'!A19</f>
        <v>2005</v>
      </c>
      <c r="B19" s="17">
        <f>'Non-Rebalanced Portfolio'!B19</f>
        <v>4.7699999999999996</v>
      </c>
      <c r="C19" s="17"/>
      <c r="D19" s="17">
        <f>'Non-Rebalanced Portfolio'!D19</f>
        <v>13.930999999999999</v>
      </c>
      <c r="E19" s="17">
        <f>'Non-Rebalanced Portfolio'!E19</f>
        <v>7.3630000000000004</v>
      </c>
      <c r="F19" s="17"/>
      <c r="G19" s="17">
        <f>'Non-Rebalanced Portfolio'!G19</f>
        <v>15.571</v>
      </c>
      <c r="H19" s="17">
        <f>'Non-Rebalanced Portfolio'!H19</f>
        <v>2.4</v>
      </c>
      <c r="N19" s="49">
        <f>'4.5% Withdrawals-No Rebalancing'!N19</f>
        <v>2004</v>
      </c>
      <c r="O19" s="50">
        <f>'4.5% Withdrawals-No Rebalancing'!O19</f>
        <v>3.3000000000000002E-2</v>
      </c>
      <c r="P19" s="44"/>
    </row>
    <row r="20" spans="1:16" x14ac:dyDescent="0.2">
      <c r="A20" s="17">
        <f>'Non-Rebalanced Portfolio'!A20</f>
        <v>2006</v>
      </c>
      <c r="B20" s="17">
        <f>'Non-Rebalanced Portfolio'!B20</f>
        <v>15.64</v>
      </c>
      <c r="C20" s="17"/>
      <c r="D20" s="17">
        <f>'Non-Rebalanced Portfolio'!D20</f>
        <v>13.597</v>
      </c>
      <c r="E20" s="17">
        <f>'Non-Rebalanced Portfolio'!E20</f>
        <v>15.656000000000001</v>
      </c>
      <c r="F20" s="17"/>
      <c r="G20" s="17">
        <f>'Non-Rebalanced Portfolio'!G20</f>
        <v>26.637</v>
      </c>
      <c r="H20" s="17">
        <f>'Non-Rebalanced Portfolio'!H20</f>
        <v>4.2699999999999996</v>
      </c>
      <c r="N20" s="49">
        <f>'4.5% Withdrawals-No Rebalancing'!N20</f>
        <v>2005</v>
      </c>
      <c r="O20" s="50">
        <f>'4.5% Withdrawals-No Rebalancing'!O20</f>
        <v>3.3000000000000002E-2</v>
      </c>
      <c r="P20" s="44"/>
    </row>
    <row r="21" spans="1:16" x14ac:dyDescent="0.2">
      <c r="A21" s="17">
        <f>'Non-Rebalanced Portfolio'!A21</f>
        <v>2007</v>
      </c>
      <c r="B21" s="17">
        <f>'Non-Rebalanced Portfolio'!B21</f>
        <v>5.39</v>
      </c>
      <c r="C21" s="17"/>
      <c r="D21" s="17">
        <f>'Non-Rebalanced Portfolio'!D21</f>
        <v>6.0209999999999999</v>
      </c>
      <c r="E21" s="17">
        <f>'Non-Rebalanced Portfolio'!E21</f>
        <v>1.1559999999999999</v>
      </c>
      <c r="F21" s="17"/>
      <c r="G21" s="17">
        <f>'Non-Rebalanced Portfolio'!G21</f>
        <v>15.522</v>
      </c>
      <c r="H21" s="17">
        <f>'Non-Rebalanced Portfolio'!H21</f>
        <v>6.92</v>
      </c>
      <c r="N21" s="49">
        <f>'4.5% Withdrawals-No Rebalancing'!N21</f>
        <v>2006</v>
      </c>
      <c r="O21" s="50">
        <f>'4.5% Withdrawals-No Rebalancing'!O21</f>
        <v>2.5000000000000001E-2</v>
      </c>
      <c r="P21" s="44"/>
    </row>
    <row r="22" spans="1:16" x14ac:dyDescent="0.2">
      <c r="A22" s="17">
        <f>'Non-Rebalanced Portfolio'!A22</f>
        <v>2008</v>
      </c>
      <c r="B22" s="17">
        <f>'Non-Rebalanced Portfolio'!B22</f>
        <v>-37.020000000000003</v>
      </c>
      <c r="C22" s="17"/>
      <c r="D22" s="17">
        <f>'Non-Rebalanced Portfolio'!D22</f>
        <v>-41.823999999999998</v>
      </c>
      <c r="E22" s="17">
        <f>'Non-Rebalanced Portfolio'!E22</f>
        <v>-36.07</v>
      </c>
      <c r="F22" s="17"/>
      <c r="G22" s="17">
        <f>'Non-Rebalanced Portfolio'!G22</f>
        <v>-44.100999999999999</v>
      </c>
      <c r="H22" s="17">
        <f>'Non-Rebalanced Portfolio'!H22</f>
        <v>5.05</v>
      </c>
      <c r="N22" s="49">
        <f>'4.5% Withdrawals-No Rebalancing'!N22</f>
        <v>2007</v>
      </c>
      <c r="O22" s="50">
        <f>'4.5% Withdrawals-No Rebalancing'!O22</f>
        <v>4.1000000000000002E-2</v>
      </c>
      <c r="P22" s="44"/>
    </row>
    <row r="23" spans="1:16" x14ac:dyDescent="0.2">
      <c r="A23" s="17">
        <f>'Non-Rebalanced Portfolio'!A23</f>
        <v>2009</v>
      </c>
      <c r="B23" s="17">
        <f>'Non-Rebalanced Portfolio'!B23</f>
        <v>26.49</v>
      </c>
      <c r="C23" s="17"/>
      <c r="D23" s="17">
        <f>'Non-Rebalanced Portfolio'!D23</f>
        <v>40.218000000000004</v>
      </c>
      <c r="E23" s="17">
        <f>'Non-Rebalanced Portfolio'!E23</f>
        <v>36.118000000000002</v>
      </c>
      <c r="F23" s="17"/>
      <c r="G23" s="17">
        <f>'Non-Rebalanced Portfolio'!G23</f>
        <v>36.726999999999997</v>
      </c>
      <c r="H23" s="17">
        <f>'Non-Rebalanced Portfolio'!H23</f>
        <v>5.93</v>
      </c>
      <c r="N23" s="49">
        <f>'4.5% Withdrawals-No Rebalancing'!N23</f>
        <v>2008</v>
      </c>
      <c r="O23" s="50">
        <f>'4.5% Withdrawals-No Rebalancing'!O23</f>
        <v>0</v>
      </c>
      <c r="P23" s="44"/>
    </row>
    <row r="24" spans="1:16" x14ac:dyDescent="0.2">
      <c r="A24" s="17">
        <f>'Non-Rebalanced Portfolio'!A24</f>
        <v>2010</v>
      </c>
      <c r="B24" s="17">
        <f>'Non-Rebalanced Portfolio'!B24</f>
        <v>14.91</v>
      </c>
      <c r="C24" s="17"/>
      <c r="D24" s="17">
        <f>'Non-Rebalanced Portfolio'!D24</f>
        <v>25.46</v>
      </c>
      <c r="E24" s="17">
        <f>'Non-Rebalanced Portfolio'!E24</f>
        <v>27.72</v>
      </c>
      <c r="F24" s="17"/>
      <c r="G24" s="17">
        <f>'Non-Rebalanced Portfolio'!G24</f>
        <v>11.12</v>
      </c>
      <c r="H24" s="17">
        <f>'Non-Rebalanced Portfolio'!H24</f>
        <v>6.42</v>
      </c>
      <c r="N24" s="49">
        <f>'4.5% Withdrawals-No Rebalancing'!N24</f>
        <v>2009</v>
      </c>
      <c r="O24" s="50">
        <f>'4.5% Withdrawals-No Rebalancing'!O24</f>
        <v>2.8000000000000001E-2</v>
      </c>
      <c r="P24" s="44"/>
    </row>
    <row r="25" spans="1:16" x14ac:dyDescent="0.2">
      <c r="A25" s="17">
        <f>'Non-Rebalanced Portfolio'!A25</f>
        <v>2011</v>
      </c>
      <c r="B25" s="17">
        <f>'Non-Rebalanced Portfolio'!B25</f>
        <v>1.97</v>
      </c>
      <c r="C25" s="17"/>
      <c r="D25" s="17">
        <f>'Non-Rebalanced Portfolio'!D25</f>
        <v>-2.11</v>
      </c>
      <c r="E25" s="17">
        <f>'Non-Rebalanced Portfolio'!E25</f>
        <v>-2.8</v>
      </c>
      <c r="F25" s="17"/>
      <c r="G25" s="17">
        <f>'Non-Rebalanced Portfolio'!G25</f>
        <v>-14.56</v>
      </c>
      <c r="H25" s="17">
        <f>'Non-Rebalanced Portfolio'!H25</f>
        <v>7.56</v>
      </c>
      <c r="N25" s="49">
        <f>'4.5% Withdrawals-No Rebalancing'!N25</f>
        <v>2010</v>
      </c>
      <c r="O25" s="50">
        <f>'4.5% Withdrawals-No Rebalancing'!O25</f>
        <v>1.4E-2</v>
      </c>
      <c r="P25" s="44"/>
    </row>
    <row r="26" spans="1:16" x14ac:dyDescent="0.2">
      <c r="A26" s="17">
        <f>'Non-Rebalanced Portfolio'!A26</f>
        <v>2012</v>
      </c>
      <c r="B26" s="17">
        <f>'Non-Rebalanced Portfolio'!B26</f>
        <v>15.82</v>
      </c>
      <c r="C26" s="17"/>
      <c r="D26" s="17">
        <f>'Non-Rebalanced Portfolio'!D26</f>
        <v>15.8</v>
      </c>
      <c r="E26" s="17">
        <f>'Non-Rebalanced Portfolio'!E26</f>
        <v>18.04</v>
      </c>
      <c r="F26" s="17"/>
      <c r="G26" s="17">
        <f>'Non-Rebalanced Portfolio'!G26</f>
        <v>18.14</v>
      </c>
      <c r="H26" s="17">
        <f>'Non-Rebalanced Portfolio'!H26</f>
        <v>4.05</v>
      </c>
      <c r="N26" s="49">
        <f>'4.5% Withdrawals-No Rebalancing'!N26</f>
        <v>2011</v>
      </c>
      <c r="O26" s="50">
        <f>'4.5% Withdrawals-No Rebalancing'!O26</f>
        <v>0.03</v>
      </c>
      <c r="P26" s="44"/>
    </row>
    <row r="27" spans="1:16" x14ac:dyDescent="0.2">
      <c r="A27" s="17">
        <f>'Non-Rebalanced Portfolio'!A27</f>
        <v>2013</v>
      </c>
      <c r="B27" s="17">
        <f>'Non-Rebalanced Portfolio'!B27</f>
        <v>32.18</v>
      </c>
      <c r="C27" s="17"/>
      <c r="D27" s="17">
        <f>'Non-Rebalanced Portfolio'!D27</f>
        <v>35</v>
      </c>
      <c r="E27" s="17">
        <f>'Non-Rebalanced Portfolio'!E27</f>
        <v>37.619999999999997</v>
      </c>
      <c r="F27" s="17"/>
      <c r="G27" s="17">
        <f>'Non-Rebalanced Portfolio'!G27</f>
        <v>15.04</v>
      </c>
      <c r="H27" s="17">
        <f>'Non-Rebalanced Portfolio'!H27</f>
        <v>-2.2599999999999998</v>
      </c>
      <c r="N27" s="49">
        <f>'4.5% Withdrawals-No Rebalancing'!N27</f>
        <v>2012</v>
      </c>
      <c r="O27" s="50">
        <f>'4.5% Withdrawals-No Rebalancing'!O27</f>
        <v>1.7999999999999999E-2</v>
      </c>
    </row>
    <row r="28" spans="1:16" x14ac:dyDescent="0.2">
      <c r="A28" s="17">
        <f>'Non-Rebalanced Portfolio'!A28</f>
        <v>2014</v>
      </c>
      <c r="B28" s="17">
        <f>'Non-Rebalanced Portfolio'!B28</f>
        <v>13.51</v>
      </c>
      <c r="C28" s="17"/>
      <c r="D28" s="17">
        <f>'Non-Rebalanced Portfolio'!D28</f>
        <v>13.6</v>
      </c>
      <c r="E28" s="17">
        <f>'Non-Rebalanced Portfolio'!E28</f>
        <v>7.37</v>
      </c>
      <c r="F28" s="17"/>
      <c r="G28" s="17">
        <f>'Non-Rebalanced Portfolio'!G28</f>
        <v>-4.24</v>
      </c>
      <c r="H28" s="17">
        <f>'Non-Rebalanced Portfolio'!H28</f>
        <v>5.76</v>
      </c>
      <c r="N28" s="49">
        <f>'4.5% Withdrawals-No Rebalancing'!N28</f>
        <v>2013</v>
      </c>
      <c r="O28" s="50">
        <f>'4.5% Withdrawals-No Rebalancing'!O28</f>
        <v>1.15559170535223E-2</v>
      </c>
    </row>
    <row r="29" spans="1:16" x14ac:dyDescent="0.2">
      <c r="A29" s="17">
        <f>'Non-Rebalanced Portfolio'!A29</f>
        <v>2015</v>
      </c>
      <c r="B29" s="17">
        <f>'Non-Rebalanced Portfolio'!B29</f>
        <v>1.25</v>
      </c>
      <c r="C29" s="17"/>
      <c r="D29" s="17">
        <f>'Non-Rebalanced Portfolio'!D29</f>
        <v>-1.46</v>
      </c>
      <c r="E29" s="17">
        <f>'Non-Rebalanced Portfolio'!E29</f>
        <v>-3.78</v>
      </c>
      <c r="F29" s="17"/>
      <c r="G29" s="17">
        <f>'Non-Rebalanced Portfolio'!G29</f>
        <v>-4.37</v>
      </c>
      <c r="H29" s="17">
        <f>'Non-Rebalanced Portfolio'!H29</f>
        <v>0.3</v>
      </c>
      <c r="N29" s="49">
        <f>'4.5% Withdrawals-No Rebalancing'!N29</f>
        <v>2014</v>
      </c>
      <c r="O29" s="50">
        <f>'4.5% Withdrawals-No Rebalancing'!O29</f>
        <v>1.29E-2</v>
      </c>
    </row>
    <row r="30" spans="1:16" x14ac:dyDescent="0.2">
      <c r="A30" s="17">
        <f>'Non-Rebalanced Portfolio'!A30</f>
        <v>2016</v>
      </c>
      <c r="B30" s="17">
        <f>'Non-Rebalanced Portfolio'!B30</f>
        <v>11.82</v>
      </c>
      <c r="C30" s="17"/>
      <c r="D30" s="17">
        <f>'Non-Rebalanced Portfolio'!D30</f>
        <v>11.07</v>
      </c>
      <c r="E30" s="17">
        <f>'Non-Rebalanced Portfolio'!E30</f>
        <v>18.170000000000002</v>
      </c>
      <c r="F30" s="17"/>
      <c r="G30" s="17">
        <f>'Non-Rebalanced Portfolio'!G30</f>
        <v>4.6500000000000004</v>
      </c>
      <c r="H30" s="17">
        <f>'Non-Rebalanced Portfolio'!H30</f>
        <v>2.5</v>
      </c>
      <c r="N30" s="49">
        <f>'4.5% Withdrawals-No Rebalancing'!N30</f>
        <v>2015</v>
      </c>
      <c r="O30" s="50">
        <f>'4.5% Withdrawals-No Rebalancing'!O30</f>
        <v>4.4000000000000003E-3</v>
      </c>
    </row>
    <row r="31" spans="1:16" x14ac:dyDescent="0.2">
      <c r="A31" s="17">
        <f>'Non-Rebalanced Portfolio'!A31</f>
        <v>2017</v>
      </c>
      <c r="B31" s="17">
        <f>'Non-Rebalanced Portfolio'!B31</f>
        <v>21.67</v>
      </c>
      <c r="C31" s="17"/>
      <c r="D31" s="17">
        <f>'Non-Rebalanced Portfolio'!D31</f>
        <v>19.600000000000001</v>
      </c>
      <c r="E31" s="17">
        <f>'Non-Rebalanced Portfolio'!E31</f>
        <v>16.100000000000001</v>
      </c>
      <c r="F31" s="17"/>
      <c r="G31" s="17">
        <f>'Non-Rebalanced Portfolio'!G31</f>
        <v>27.4</v>
      </c>
      <c r="H31" s="17">
        <f>'Non-Rebalanced Portfolio'!H31</f>
        <v>3.46</v>
      </c>
      <c r="N31" s="49">
        <f>'4.5% Withdrawals-No Rebalancing'!N31</f>
        <v>2016</v>
      </c>
      <c r="O31" s="50">
        <f>'4.5% Withdrawals-No Rebalancing'!O31</f>
        <v>1.7000000000000001E-2</v>
      </c>
    </row>
    <row r="32" spans="1:16" x14ac:dyDescent="0.2">
      <c r="A32" s="17">
        <f>'Non-Rebalanced Portfolio'!A32</f>
        <v>2017</v>
      </c>
      <c r="B32" s="17">
        <f>'Non-Rebalanced Portfolio'!B32</f>
        <v>21.67</v>
      </c>
      <c r="C32" s="17"/>
      <c r="D32" s="17">
        <f>'Non-Rebalanced Portfolio'!D32</f>
        <v>19.600000000000001</v>
      </c>
      <c r="E32" s="17">
        <f>'Non-Rebalanced Portfolio'!E32</f>
        <v>16.100000000000001</v>
      </c>
      <c r="F32" s="17"/>
      <c r="G32" s="17">
        <f>'Non-Rebalanced Portfolio'!G32</f>
        <v>27.4</v>
      </c>
      <c r="H32" s="17">
        <f>'Non-Rebalanced Portfolio'!H32</f>
        <v>3.46</v>
      </c>
      <c r="N32" s="49">
        <f>'4.5% Withdrawals-No Rebalancing'!N32</f>
        <v>2017</v>
      </c>
      <c r="O32" s="50">
        <f>'4.5% Withdrawals-No Rebalancing'!O32</f>
        <v>2.23E-2</v>
      </c>
    </row>
    <row r="33" spans="1:65" x14ac:dyDescent="0.2">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'4.5% Withdrawals-No Rebalancing'!N33</f>
        <v>2017</v>
      </c>
      <c r="O33" s="50">
        <f>'4.5% Withdrawals-No Rebalancing'!O33</f>
        <v>2.23E-2</v>
      </c>
    </row>
    <row r="36" spans="1:65" x14ac:dyDescent="0.2">
      <c r="A36" s="20" t="s">
        <v>156</v>
      </c>
      <c r="N36" s="20" t="s">
        <v>25</v>
      </c>
      <c r="R36" s="20" t="s">
        <v>175</v>
      </c>
      <c r="AG36" s="20" t="s">
        <v>158</v>
      </c>
      <c r="AS36" s="20" t="s">
        <v>7</v>
      </c>
      <c r="BC36" s="20" t="s">
        <v>155</v>
      </c>
    </row>
    <row r="37" spans="1:65" x14ac:dyDescent="0.2">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76</v>
      </c>
      <c r="K37" s="5" t="s">
        <v>73</v>
      </c>
      <c r="L37" s="5" t="s">
        <v>74</v>
      </c>
      <c r="O37" s="81">
        <v>4.4999999999999998E-2</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76</v>
      </c>
      <c r="AB37" s="5" t="s">
        <v>73</v>
      </c>
      <c r="AC37" s="5" t="s">
        <v>74</v>
      </c>
      <c r="AD37" s="5" t="s">
        <v>88</v>
      </c>
      <c r="AE37" s="5"/>
      <c r="AH37" s="4" t="str">
        <f t="shared" ref="AH37:AN38" si="2">B37</f>
        <v>LC Stocks</v>
      </c>
      <c r="AI37" s="4" t="str">
        <f t="shared" si="2"/>
        <v>Ext Mkt</v>
      </c>
      <c r="AJ37" s="4" t="str">
        <f t="shared" si="2"/>
        <v>Mcap Stk</v>
      </c>
      <c r="AK37" s="4" t="str">
        <f t="shared" si="2"/>
        <v>Small Cap</v>
      </c>
      <c r="AL37" s="4" t="str">
        <f t="shared" si="2"/>
        <v>Intl Val</v>
      </c>
      <c r="AM37" s="4" t="str">
        <f t="shared" si="2"/>
        <v>Tot Int Stk</v>
      </c>
      <c r="AN37" s="4" t="str">
        <f t="shared" si="2"/>
        <v>Bonds</v>
      </c>
      <c r="AO37" s="5"/>
      <c r="AP37" s="5" t="s">
        <v>111</v>
      </c>
      <c r="AQ37" s="5" t="s">
        <v>112</v>
      </c>
      <c r="AT37" s="4" t="str">
        <f t="shared" ref="AT37:AZ39" si="3">AH37</f>
        <v>LC Stocks</v>
      </c>
      <c r="AU37" s="4" t="str">
        <f t="shared" si="3"/>
        <v>Ext Mkt</v>
      </c>
      <c r="AV37" s="4" t="str">
        <f t="shared" si="3"/>
        <v>Mcap Stk</v>
      </c>
      <c r="AW37" s="4" t="str">
        <f t="shared" si="3"/>
        <v>Small Cap</v>
      </c>
      <c r="AX37" s="4" t="str">
        <f t="shared" si="3"/>
        <v>Intl Val</v>
      </c>
      <c r="AY37" s="4" t="str">
        <f t="shared" si="3"/>
        <v>Tot Int Stk</v>
      </c>
      <c r="AZ37" s="4" t="str">
        <f t="shared" si="3"/>
        <v>Bonds</v>
      </c>
      <c r="BA37" s="5"/>
      <c r="BD37" s="4" t="str">
        <f>AT37</f>
        <v>LC Stocks</v>
      </c>
      <c r="BE37" s="4" t="str">
        <f t="shared" ref="BE37:BK39" si="4">AU37</f>
        <v>Ext Mkt</v>
      </c>
      <c r="BF37" s="4" t="str">
        <f t="shared" si="4"/>
        <v>Mcap Stk</v>
      </c>
      <c r="BG37" s="4" t="str">
        <f t="shared" si="4"/>
        <v>Small Cap</v>
      </c>
      <c r="BH37" s="4" t="str">
        <f t="shared" si="4"/>
        <v>Intl Val</v>
      </c>
      <c r="BI37" s="4" t="str">
        <f t="shared" si="4"/>
        <v>Tot Int Stk</v>
      </c>
      <c r="BJ37" s="4" t="str">
        <f t="shared" si="4"/>
        <v>Bonds</v>
      </c>
      <c r="BK37" s="4"/>
      <c r="BL37" t="s">
        <v>88</v>
      </c>
    </row>
    <row r="38" spans="1:65" x14ac:dyDescent="0.2">
      <c r="A38" t="s">
        <v>72</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70</v>
      </c>
      <c r="J38" s="5" t="s">
        <v>77</v>
      </c>
      <c r="K38" s="5" t="s">
        <v>75</v>
      </c>
      <c r="L38" s="5" t="s">
        <v>75</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77</v>
      </c>
      <c r="AB38" s="5" t="s">
        <v>75</v>
      </c>
      <c r="AC38" s="5" t="s">
        <v>75</v>
      </c>
      <c r="AD38" s="5" t="s">
        <v>87</v>
      </c>
      <c r="AE38" s="5"/>
      <c r="AG38" t="s">
        <v>72</v>
      </c>
      <c r="AH38" s="4" t="str">
        <f t="shared" si="2"/>
        <v>VFINX</v>
      </c>
      <c r="AI38" s="4" t="str">
        <f t="shared" si="2"/>
        <v>VEXMX</v>
      </c>
      <c r="AJ38" s="4" t="str">
        <f t="shared" si="2"/>
        <v>VIMSX</v>
      </c>
      <c r="AK38" s="4" t="str">
        <f t="shared" si="2"/>
        <v>NAESX</v>
      </c>
      <c r="AL38" s="4" t="str">
        <f t="shared" si="2"/>
        <v>VTRIX</v>
      </c>
      <c r="AM38" s="4" t="str">
        <f t="shared" si="2"/>
        <v>VGTSX</v>
      </c>
      <c r="AN38" s="4" t="str">
        <f t="shared" si="2"/>
        <v>VBMFX</v>
      </c>
      <c r="AO38" s="5" t="s">
        <v>70</v>
      </c>
      <c r="AP38" s="5" t="s">
        <v>112</v>
      </c>
      <c r="AQ38" s="5" t="s">
        <v>87</v>
      </c>
      <c r="AS38" t="str">
        <f>AG38</f>
        <v>Fund</v>
      </c>
      <c r="AT38" s="4" t="str">
        <f t="shared" si="3"/>
        <v>VFINX</v>
      </c>
      <c r="AU38" s="4" t="str">
        <f t="shared" si="3"/>
        <v>VEXMX</v>
      </c>
      <c r="AV38" s="4" t="str">
        <f t="shared" si="3"/>
        <v>VIMSX</v>
      </c>
      <c r="AW38" s="4" t="str">
        <f t="shared" si="3"/>
        <v>NAESX</v>
      </c>
      <c r="AX38" s="4" t="str">
        <f t="shared" si="3"/>
        <v>VTRIX</v>
      </c>
      <c r="AY38" s="4" t="str">
        <f t="shared" si="3"/>
        <v>VGTSX</v>
      </c>
      <c r="AZ38" s="4" t="str">
        <f t="shared" si="3"/>
        <v>VBMFX</v>
      </c>
      <c r="BA38" s="4" t="str">
        <f>AO38</f>
        <v>Total</v>
      </c>
      <c r="BC38" t="s">
        <v>72</v>
      </c>
      <c r="BD38" s="4" t="str">
        <f>AT38</f>
        <v>VFINX</v>
      </c>
      <c r="BE38" s="4" t="str">
        <f t="shared" si="4"/>
        <v>VEXMX</v>
      </c>
      <c r="BF38" s="4" t="str">
        <f t="shared" si="4"/>
        <v>VIMSX</v>
      </c>
      <c r="BG38" s="4" t="str">
        <f t="shared" si="4"/>
        <v>NAESX</v>
      </c>
      <c r="BH38" s="4" t="str">
        <f t="shared" si="4"/>
        <v>VTRIX</v>
      </c>
      <c r="BI38" s="4" t="str">
        <f t="shared" si="4"/>
        <v>VGTSX</v>
      </c>
      <c r="BJ38" s="4" t="str">
        <f t="shared" si="4"/>
        <v>VBMFX</v>
      </c>
      <c r="BK38" s="4" t="str">
        <f t="shared" si="4"/>
        <v>Total</v>
      </c>
      <c r="BL38" t="s">
        <v>87</v>
      </c>
    </row>
    <row r="39" spans="1:65" x14ac:dyDescent="0.2">
      <c r="A39" t="s">
        <v>71</v>
      </c>
      <c r="B39" s="2">
        <v>60000</v>
      </c>
      <c r="C39" s="2">
        <v>0</v>
      </c>
      <c r="F39" s="2">
        <v>0</v>
      </c>
      <c r="H39" s="2">
        <v>40000</v>
      </c>
      <c r="I39" s="2">
        <f>SUM(B39:H39)</f>
        <v>100000</v>
      </c>
      <c r="N39" s="21"/>
      <c r="R39" t="str">
        <f>A39</f>
        <v>Stating Balance</v>
      </c>
      <c r="S39" s="2">
        <f>B39</f>
        <v>60000</v>
      </c>
      <c r="T39" s="2">
        <f t="shared" si="1"/>
        <v>0</v>
      </c>
      <c r="U39" s="2">
        <f t="shared" si="1"/>
        <v>0</v>
      </c>
      <c r="V39" s="2">
        <f t="shared" si="1"/>
        <v>0</v>
      </c>
      <c r="W39" s="2">
        <f t="shared" si="1"/>
        <v>0</v>
      </c>
      <c r="X39" s="2">
        <f t="shared" si="1"/>
        <v>0</v>
      </c>
      <c r="Y39" s="2">
        <f t="shared" si="1"/>
        <v>40000</v>
      </c>
      <c r="Z39" s="2">
        <f t="shared" si="1"/>
        <v>100000</v>
      </c>
      <c r="AD39" s="2"/>
      <c r="AE39" s="2"/>
      <c r="AG39" s="21" t="s">
        <v>86</v>
      </c>
      <c r="AH39" s="6">
        <f t="shared" ref="AH39:AI54" si="5">S39/$Z39</f>
        <v>0.6</v>
      </c>
      <c r="AI39" s="6">
        <f t="shared" si="5"/>
        <v>0</v>
      </c>
      <c r="AJ39" s="23">
        <v>0</v>
      </c>
      <c r="AK39" s="23">
        <v>0</v>
      </c>
      <c r="AL39" s="6">
        <f>W39/$Z39</f>
        <v>0</v>
      </c>
      <c r="AM39" s="23">
        <v>0</v>
      </c>
      <c r="AN39" s="6">
        <f>Y39/$Z39</f>
        <v>0.4</v>
      </c>
      <c r="AO39" s="6">
        <f>Z39/$Z39</f>
        <v>1</v>
      </c>
      <c r="AP39" s="24"/>
      <c r="AR39" s="24"/>
      <c r="AS39" s="21" t="str">
        <f>AG39</f>
        <v>Target Allocation</v>
      </c>
      <c r="AT39" s="24">
        <f t="shared" si="3"/>
        <v>0.6</v>
      </c>
      <c r="AU39" s="24">
        <f t="shared" si="3"/>
        <v>0</v>
      </c>
      <c r="AV39" s="25">
        <f t="shared" si="3"/>
        <v>0</v>
      </c>
      <c r="AW39" s="25">
        <f t="shared" si="3"/>
        <v>0</v>
      </c>
      <c r="AX39" s="24">
        <f t="shared" si="3"/>
        <v>0</v>
      </c>
      <c r="AY39" s="25">
        <f t="shared" si="3"/>
        <v>0</v>
      </c>
      <c r="AZ39" s="24">
        <f t="shared" si="3"/>
        <v>0.4</v>
      </c>
      <c r="BA39" s="24">
        <f>AO39</f>
        <v>1</v>
      </c>
      <c r="BC39" s="21" t="str">
        <f>AS39</f>
        <v>Target Allocation</v>
      </c>
      <c r="BD39" s="24">
        <f>AT39</f>
        <v>0.6</v>
      </c>
      <c r="BE39" s="24">
        <f t="shared" si="4"/>
        <v>0</v>
      </c>
      <c r="BF39" s="25">
        <f t="shared" si="4"/>
        <v>0</v>
      </c>
      <c r="BG39" s="25">
        <f t="shared" si="4"/>
        <v>0</v>
      </c>
      <c r="BH39" s="24">
        <f t="shared" si="4"/>
        <v>0</v>
      </c>
      <c r="BI39" s="25">
        <f t="shared" si="4"/>
        <v>0</v>
      </c>
      <c r="BJ39" s="24">
        <f t="shared" si="4"/>
        <v>0.4</v>
      </c>
      <c r="BK39" s="24">
        <f t="shared" si="4"/>
        <v>1</v>
      </c>
      <c r="BL39" s="2"/>
    </row>
    <row r="40" spans="1:65" x14ac:dyDescent="0.2">
      <c r="A40">
        <f t="shared" ref="A40:A64" si="6">A4</f>
        <v>1990</v>
      </c>
      <c r="B40" s="2">
        <f>B39*(1+(B4/100))</f>
        <v>58008</v>
      </c>
      <c r="C40" s="2">
        <f>C39*(1+(C4/100))</f>
        <v>0</v>
      </c>
      <c r="D40" s="2"/>
      <c r="E40" s="2"/>
      <c r="F40" s="2">
        <f>F39*(1+(F4/100))</f>
        <v>0</v>
      </c>
      <c r="G40" s="2"/>
      <c r="H40" s="2">
        <f>H39*(1+(H4/100))</f>
        <v>43460</v>
      </c>
      <c r="I40" s="2">
        <f>SUM(B40:H40)</f>
        <v>101468</v>
      </c>
      <c r="J40" s="2">
        <f>I40-I39</f>
        <v>1468</v>
      </c>
      <c r="K40" s="6">
        <f>(J40/I39)</f>
        <v>1.468E-2</v>
      </c>
      <c r="L40" s="7">
        <f>K40+1</f>
        <v>1.01468</v>
      </c>
      <c r="N40">
        <f>A40</f>
        <v>1990</v>
      </c>
      <c r="O40" s="2">
        <f>I40*0.045</f>
        <v>4566.0599999999995</v>
      </c>
      <c r="P40" s="2">
        <f>O40*0.6</f>
        <v>2739.6359999999995</v>
      </c>
      <c r="Q40" s="2">
        <f>O40*0.4</f>
        <v>1826.424</v>
      </c>
      <c r="R40">
        <f>A40</f>
        <v>1990</v>
      </c>
      <c r="S40" s="2">
        <f>B40-(O40*0.6)</f>
        <v>55268.364000000001</v>
      </c>
      <c r="T40" s="2"/>
      <c r="U40" s="2"/>
      <c r="V40" s="2"/>
      <c r="W40" s="2"/>
      <c r="X40" s="2"/>
      <c r="Y40" s="2">
        <f>H40-(O40*0.4)</f>
        <v>41633.576000000001</v>
      </c>
      <c r="Z40" s="2">
        <f>SUM(S40:Y40)</f>
        <v>96901.94</v>
      </c>
      <c r="AA40" s="2">
        <f>Z40-Z39</f>
        <v>-3098.0599999999977</v>
      </c>
      <c r="AB40" s="6">
        <f>(AA40/Z39)</f>
        <v>-3.0980599999999976E-2</v>
      </c>
      <c r="AC40" s="7">
        <f>AB40+1</f>
        <v>0.96901939999999998</v>
      </c>
      <c r="AD40" s="2">
        <f>Z40-(I40-O40)</f>
        <v>0</v>
      </c>
      <c r="AE40" s="2"/>
      <c r="AG40">
        <f>A40</f>
        <v>1990</v>
      </c>
      <c r="AH40" s="6">
        <f t="shared" si="5"/>
        <v>0.57035353471767436</v>
      </c>
      <c r="AI40" s="6">
        <f t="shared" si="5"/>
        <v>0</v>
      </c>
      <c r="AJ40" s="7"/>
      <c r="AK40" s="7"/>
      <c r="AL40" s="6">
        <f>W40/$Z40</f>
        <v>0</v>
      </c>
      <c r="AM40" s="7"/>
      <c r="AN40" s="6">
        <f>Y40/$Z40</f>
        <v>0.42964646528232564</v>
      </c>
      <c r="AO40" s="6">
        <f>SUM(AH40:AN40)</f>
        <v>1</v>
      </c>
      <c r="AP40" s="7">
        <f>SUM(AH40:AM40)</f>
        <v>0.57035353471767436</v>
      </c>
      <c r="AQ40" s="7">
        <f>AO40-(AP40+AN40)</f>
        <v>0</v>
      </c>
      <c r="AR40" s="24"/>
      <c r="AS40">
        <f>AG40</f>
        <v>1990</v>
      </c>
      <c r="AT40" s="1" t="b">
        <f>AND((S40/$Z40)&gt;0.15,(S40/$Z40)&lt;0.25)</f>
        <v>0</v>
      </c>
      <c r="AU40" s="1" t="b">
        <f>AND((T40/$Z40)&gt;0.25,(T40/$Z40)&lt;0.35)</f>
        <v>0</v>
      </c>
      <c r="AX40" s="1" t="b">
        <f t="shared" ref="AX40:AX48" si="7">AND((W40/$Z40)&gt;0.15,(W40/$Z40)&lt;0.25)</f>
        <v>0</v>
      </c>
      <c r="AZ40" s="1" t="b">
        <f>AND((Y40/$Z40)&gt;0.25,(Y40/$Z40)&lt;0.35)</f>
        <v>0</v>
      </c>
      <c r="BA40" s="1" t="b">
        <f>AND((Z40/$Z40)&gt;0.999,(Z40/$Z40)&lt;1.01)</f>
        <v>1</v>
      </c>
      <c r="BC40">
        <f>AS40</f>
        <v>1990</v>
      </c>
      <c r="BD40" s="2">
        <f t="shared" ref="BD40:BE50" si="8">$BK40*BD$39</f>
        <v>58141.163999999997</v>
      </c>
      <c r="BE40" s="2">
        <f t="shared" si="8"/>
        <v>0</v>
      </c>
      <c r="BF40" s="2"/>
      <c r="BG40" s="2"/>
      <c r="BH40" s="2">
        <f t="shared" ref="BH40:BH48" si="9">$BK40*BH$39</f>
        <v>0</v>
      </c>
      <c r="BI40" s="2"/>
      <c r="BJ40" s="2">
        <f t="shared" ref="BJ40:BJ64" si="10">$BK40*BJ$39</f>
        <v>38760.776000000005</v>
      </c>
      <c r="BK40" s="2">
        <f>Z40</f>
        <v>96901.94</v>
      </c>
      <c r="BL40" s="2">
        <f>SUM(BD40:BJ40)-Z40</f>
        <v>0</v>
      </c>
      <c r="BM40" s="2"/>
    </row>
    <row r="41" spans="1:65" x14ac:dyDescent="0.2">
      <c r="A41">
        <f t="shared" si="6"/>
        <v>1991</v>
      </c>
      <c r="B41" s="2">
        <f t="shared" ref="B41:C56" si="11">BD40*(1+(B5/100))</f>
        <v>75711.423760799997</v>
      </c>
      <c r="C41" s="2">
        <f t="shared" si="11"/>
        <v>0</v>
      </c>
      <c r="D41" s="2"/>
      <c r="E41" s="2"/>
      <c r="F41" s="2">
        <f t="shared" ref="F41:F48" si="12">BH40*(1+(F5/100))</f>
        <v>0</v>
      </c>
      <c r="G41" s="2"/>
      <c r="H41" s="2">
        <f t="shared" ref="H41:H64" si="13">BJ40*(1+(H5/100))</f>
        <v>44671.794340000008</v>
      </c>
      <c r="I41" s="2">
        <f>SUM(B41:H41)</f>
        <v>120383.2181008</v>
      </c>
      <c r="J41" s="2">
        <f t="shared" ref="J41:J64" si="14">I41-I40</f>
        <v>18915.218100800004</v>
      </c>
      <c r="K41" s="6">
        <f t="shared" ref="K41:K64" si="15">(J41/I40)</f>
        <v>0.18641560000000004</v>
      </c>
      <c r="L41" s="7">
        <f t="shared" ref="L41:L64" si="16">K41+1</f>
        <v>1.1864156000000001</v>
      </c>
      <c r="N41">
        <f t="shared" ref="N41:N64" si="17">A41</f>
        <v>1991</v>
      </c>
      <c r="O41" s="2">
        <f t="shared" ref="O41:O64" si="18">O40*(1+O5)</f>
        <v>4853.7217799999989</v>
      </c>
      <c r="P41" s="2"/>
      <c r="Q41" s="2">
        <f>Q40+P40</f>
        <v>4566.0599999999995</v>
      </c>
      <c r="R41">
        <f t="shared" ref="R41:R64" si="19">A41</f>
        <v>1991</v>
      </c>
      <c r="S41" s="2">
        <f t="shared" ref="S41:S64" si="20">B41-(O41*0.6)</f>
        <v>72799.190692799995</v>
      </c>
      <c r="T41" s="2"/>
      <c r="U41" s="2"/>
      <c r="V41" s="2"/>
      <c r="W41" s="2"/>
      <c r="X41" s="2"/>
      <c r="Y41" s="2">
        <f t="shared" ref="Y41:Y64" si="21">H41-(O41*0.4)</f>
        <v>42730.305628000009</v>
      </c>
      <c r="Z41" s="2">
        <f t="shared" ref="Z41:Z64" si="22">SUM(S41:Y41)</f>
        <v>115529.49632080001</v>
      </c>
      <c r="AA41" s="2">
        <f t="shared" ref="AA41:AA55" si="23">Z41-Z40</f>
        <v>18627.556320800009</v>
      </c>
      <c r="AB41" s="6">
        <f t="shared" ref="AB41:AB55" si="24">(AA41/Z40)</f>
        <v>0.19223099476439801</v>
      </c>
      <c r="AC41" s="7">
        <f t="shared" ref="AC41:AC64" si="25">AB41+1</f>
        <v>1.1922309947643981</v>
      </c>
      <c r="AD41" s="2">
        <f t="shared" ref="AD41:AD64" si="26">Z41-(I41-O41)</f>
        <v>0</v>
      </c>
      <c r="AE41" s="2"/>
      <c r="AG41">
        <f t="shared" ref="AG41:AG64" si="27">A41</f>
        <v>1991</v>
      </c>
      <c r="AH41" s="6">
        <f t="shared" si="5"/>
        <v>0.63013509979003668</v>
      </c>
      <c r="AI41" s="6">
        <f t="shared" si="5"/>
        <v>0</v>
      </c>
      <c r="AJ41" s="7"/>
      <c r="AK41" s="7"/>
      <c r="AL41" s="6">
        <f t="shared" ref="AL41:AM56" si="28">W41/$Z41</f>
        <v>0</v>
      </c>
      <c r="AM41" s="7"/>
      <c r="AN41" s="6">
        <f t="shared" ref="AN41:AN64" si="29">Y41/$Z41</f>
        <v>0.36986490020996321</v>
      </c>
      <c r="AO41" s="6">
        <f t="shared" ref="AO41:AO64" si="30">SUM(AH41:AN41)</f>
        <v>0.99999999999999989</v>
      </c>
      <c r="AP41" s="7">
        <f t="shared" ref="AP41:AP64" si="31">SUM(AH41:AM41)</f>
        <v>0.63013509979003668</v>
      </c>
      <c r="AQ41" s="7">
        <f t="shared" ref="AQ41:AQ64" si="32">AO41-(AP41+AN41)</f>
        <v>0</v>
      </c>
      <c r="AR41" s="24"/>
      <c r="AS41">
        <f t="shared" ref="AS41:AS64" si="33">AG41</f>
        <v>1991</v>
      </c>
      <c r="AT41" s="1" t="b">
        <f t="shared" ref="AT41:AT64" si="34">AND((S41/$Z41)&gt;0.15,(S41/$Z41)&lt;0.25)</f>
        <v>0</v>
      </c>
      <c r="AU41" s="1" t="b">
        <f t="shared" ref="AU41:AU50" si="35">AND((T41/$Z41)&gt;0.25,(T41/$Z41)&lt;0.35)</f>
        <v>0</v>
      </c>
      <c r="AX41" s="1" t="b">
        <f t="shared" si="7"/>
        <v>0</v>
      </c>
      <c r="AZ41" s="1" t="b">
        <f t="shared" ref="AZ41:AZ64" si="36">AND((Y41/$Z41)&gt;0.25,(Y41/$Z41)&lt;0.35)</f>
        <v>0</v>
      </c>
      <c r="BA41" s="1" t="b">
        <f t="shared" ref="BA41:BA64" si="37">AND((Z41/$Z41)&gt;0.999,(Z41/$Z41)&lt;1.01)</f>
        <v>1</v>
      </c>
      <c r="BC41">
        <f t="shared" ref="BC41:BC64" si="38">AS41</f>
        <v>1991</v>
      </c>
      <c r="BD41" s="2">
        <f t="shared" si="8"/>
        <v>69317.697792480001</v>
      </c>
      <c r="BE41" s="2">
        <f t="shared" si="8"/>
        <v>0</v>
      </c>
      <c r="BF41" s="2"/>
      <c r="BG41" s="2"/>
      <c r="BH41" s="2">
        <f t="shared" si="9"/>
        <v>0</v>
      </c>
      <c r="BI41" s="2"/>
      <c r="BJ41" s="2">
        <f t="shared" si="10"/>
        <v>46211.798528320011</v>
      </c>
      <c r="BK41" s="2">
        <f t="shared" ref="BK41:BK64" si="39">Z41</f>
        <v>115529.49632080001</v>
      </c>
      <c r="BL41" s="2">
        <f t="shared" ref="BL41:BL64" si="40">SUM(BD41:BJ41)-Z41</f>
        <v>0</v>
      </c>
      <c r="BM41" s="2"/>
    </row>
    <row r="42" spans="1:65" x14ac:dyDescent="0.2">
      <c r="A42">
        <f t="shared" si="6"/>
        <v>1992</v>
      </c>
      <c r="B42" s="2">
        <f t="shared" si="11"/>
        <v>74461.070968682019</v>
      </c>
      <c r="C42" s="2">
        <f t="shared" si="11"/>
        <v>0</v>
      </c>
      <c r="D42" s="2"/>
      <c r="E42" s="2"/>
      <c r="F42" s="2">
        <f t="shared" si="12"/>
        <v>0</v>
      </c>
      <c r="G42" s="2"/>
      <c r="H42" s="2">
        <f t="shared" si="13"/>
        <v>49511.320943242055</v>
      </c>
      <c r="I42" s="2">
        <f t="shared" ref="I42:I64" si="41">SUM(B42:H42)</f>
        <v>123972.39191192407</v>
      </c>
      <c r="J42" s="2">
        <f t="shared" si="14"/>
        <v>3589.1738111240702</v>
      </c>
      <c r="K42" s="6">
        <f t="shared" si="15"/>
        <v>2.9814569403841334E-2</v>
      </c>
      <c r="L42" s="7">
        <f t="shared" si="16"/>
        <v>1.0298145694038414</v>
      </c>
      <c r="N42">
        <f t="shared" si="17"/>
        <v>1992</v>
      </c>
      <c r="O42" s="2">
        <f t="shared" si="18"/>
        <v>4999.3334333999992</v>
      </c>
      <c r="P42" s="2"/>
      <c r="Q42" s="2"/>
      <c r="R42">
        <f t="shared" si="19"/>
        <v>1992</v>
      </c>
      <c r="S42" s="2">
        <f t="shared" si="20"/>
        <v>71461.470908642019</v>
      </c>
      <c r="T42" s="2"/>
      <c r="U42" s="2"/>
      <c r="V42" s="2"/>
      <c r="W42" s="2"/>
      <c r="X42" s="2"/>
      <c r="Y42" s="2">
        <f t="shared" si="21"/>
        <v>47511.587569882053</v>
      </c>
      <c r="Z42" s="2">
        <f t="shared" si="22"/>
        <v>118973.05847852406</v>
      </c>
      <c r="AA42" s="2">
        <f t="shared" si="23"/>
        <v>3443.5621577240527</v>
      </c>
      <c r="AB42" s="6">
        <f t="shared" si="24"/>
        <v>2.9806778938618737E-2</v>
      </c>
      <c r="AC42" s="7">
        <f t="shared" si="25"/>
        <v>1.0298067789386187</v>
      </c>
      <c r="AD42" s="2">
        <f t="shared" si="26"/>
        <v>0</v>
      </c>
      <c r="AE42" s="2"/>
      <c r="AG42">
        <f t="shared" si="27"/>
        <v>1992</v>
      </c>
      <c r="AH42" s="6">
        <f t="shared" si="5"/>
        <v>0.60065254959837477</v>
      </c>
      <c r="AI42" s="6">
        <f t="shared" si="5"/>
        <v>0</v>
      </c>
      <c r="AJ42" s="7"/>
      <c r="AK42" s="7"/>
      <c r="AL42" s="6">
        <f t="shared" si="28"/>
        <v>0</v>
      </c>
      <c r="AM42" s="7"/>
      <c r="AN42" s="6">
        <f t="shared" si="29"/>
        <v>0.39934745040162528</v>
      </c>
      <c r="AO42" s="6">
        <f t="shared" si="30"/>
        <v>1</v>
      </c>
      <c r="AP42" s="7">
        <f t="shared" si="31"/>
        <v>0.60065254959837477</v>
      </c>
      <c r="AQ42" s="7">
        <f t="shared" si="32"/>
        <v>0</v>
      </c>
      <c r="AR42" s="24"/>
      <c r="AS42">
        <f t="shared" si="33"/>
        <v>1992</v>
      </c>
      <c r="AT42" s="1" t="b">
        <f t="shared" si="34"/>
        <v>0</v>
      </c>
      <c r="AU42" s="1" t="b">
        <f t="shared" si="35"/>
        <v>0</v>
      </c>
      <c r="AX42" s="1" t="b">
        <f t="shared" si="7"/>
        <v>0</v>
      </c>
      <c r="AZ42" s="1" t="b">
        <f t="shared" si="36"/>
        <v>0</v>
      </c>
      <c r="BA42" s="1" t="b">
        <f t="shared" si="37"/>
        <v>1</v>
      </c>
      <c r="BC42">
        <f t="shared" si="38"/>
        <v>1992</v>
      </c>
      <c r="BD42" s="2">
        <f t="shared" si="8"/>
        <v>71383.835087114436</v>
      </c>
      <c r="BE42" s="2">
        <f t="shared" si="8"/>
        <v>0</v>
      </c>
      <c r="BF42" s="2"/>
      <c r="BG42" s="2"/>
      <c r="BH42" s="2">
        <f t="shared" si="9"/>
        <v>0</v>
      </c>
      <c r="BI42" s="2"/>
      <c r="BJ42" s="2">
        <f t="shared" si="10"/>
        <v>47589.223391409629</v>
      </c>
      <c r="BK42" s="2">
        <f t="shared" si="39"/>
        <v>118973.05847852406</v>
      </c>
      <c r="BL42" s="2">
        <f t="shared" si="40"/>
        <v>0</v>
      </c>
      <c r="BM42" s="2"/>
    </row>
    <row r="43" spans="1:65" x14ac:dyDescent="0.2">
      <c r="A43">
        <f t="shared" si="6"/>
        <v>1993</v>
      </c>
      <c r="B43" s="2">
        <f t="shared" si="11"/>
        <v>78443.696377230051</v>
      </c>
      <c r="C43" s="2">
        <f t="shared" si="11"/>
        <v>0</v>
      </c>
      <c r="D43" s="2"/>
      <c r="E43" s="2"/>
      <c r="F43" s="2">
        <f t="shared" si="12"/>
        <v>0</v>
      </c>
      <c r="G43" s="2"/>
      <c r="H43" s="2">
        <f t="shared" si="13"/>
        <v>52195.860215698078</v>
      </c>
      <c r="I43" s="2">
        <f t="shared" si="41"/>
        <v>130639.55659292813</v>
      </c>
      <c r="J43" s="2">
        <f t="shared" si="14"/>
        <v>6667.1646810040547</v>
      </c>
      <c r="K43" s="6">
        <f t="shared" si="15"/>
        <v>5.3779430873131237E-2</v>
      </c>
      <c r="L43" s="7">
        <f t="shared" si="16"/>
        <v>1.0537794308731312</v>
      </c>
      <c r="N43">
        <f t="shared" si="17"/>
        <v>1993</v>
      </c>
      <c r="O43" s="2">
        <f t="shared" si="18"/>
        <v>5149.3134364019998</v>
      </c>
      <c r="P43" s="2"/>
      <c r="Q43" s="2"/>
      <c r="R43">
        <f t="shared" si="19"/>
        <v>1993</v>
      </c>
      <c r="S43" s="2">
        <f t="shared" si="20"/>
        <v>75354.108315388847</v>
      </c>
      <c r="T43" s="2"/>
      <c r="U43" s="2"/>
      <c r="V43" s="2"/>
      <c r="W43" s="2"/>
      <c r="X43" s="2"/>
      <c r="Y43" s="2">
        <f t="shared" si="21"/>
        <v>50136.134841137275</v>
      </c>
      <c r="Z43" s="2">
        <f t="shared" si="22"/>
        <v>125490.24315652612</v>
      </c>
      <c r="AA43" s="2">
        <f t="shared" si="23"/>
        <v>6517.1846780020569</v>
      </c>
      <c r="AB43" s="6">
        <f t="shared" si="24"/>
        <v>5.4778659650734959E-2</v>
      </c>
      <c r="AC43" s="7">
        <f t="shared" si="25"/>
        <v>1.0547786596507349</v>
      </c>
      <c r="AD43" s="2">
        <f t="shared" si="26"/>
        <v>0</v>
      </c>
      <c r="AE43" s="2"/>
      <c r="AG43">
        <f t="shared" si="27"/>
        <v>1993</v>
      </c>
      <c r="AH43" s="6">
        <f t="shared" si="5"/>
        <v>0.60047782536685645</v>
      </c>
      <c r="AI43" s="6">
        <f t="shared" si="5"/>
        <v>0</v>
      </c>
      <c r="AJ43" s="7"/>
      <c r="AK43" s="7"/>
      <c r="AL43" s="6">
        <f t="shared" si="28"/>
        <v>0</v>
      </c>
      <c r="AM43" s="7"/>
      <c r="AN43" s="6">
        <f t="shared" si="29"/>
        <v>0.39952217463314355</v>
      </c>
      <c r="AO43" s="6">
        <f t="shared" si="30"/>
        <v>1</v>
      </c>
      <c r="AP43" s="7">
        <f t="shared" si="31"/>
        <v>0.60047782536685645</v>
      </c>
      <c r="AQ43" s="7">
        <f t="shared" si="32"/>
        <v>0</v>
      </c>
      <c r="AR43" s="24"/>
      <c r="AS43">
        <f t="shared" si="33"/>
        <v>1993</v>
      </c>
      <c r="AT43" s="1" t="b">
        <f t="shared" si="34"/>
        <v>0</v>
      </c>
      <c r="AU43" s="1" t="b">
        <f t="shared" si="35"/>
        <v>0</v>
      </c>
      <c r="AX43" s="1" t="b">
        <f t="shared" si="7"/>
        <v>0</v>
      </c>
      <c r="AZ43" s="1" t="b">
        <f t="shared" si="36"/>
        <v>0</v>
      </c>
      <c r="BA43" s="1" t="b">
        <f t="shared" si="37"/>
        <v>1</v>
      </c>
      <c r="BC43">
        <f t="shared" si="38"/>
        <v>1993</v>
      </c>
      <c r="BD43" s="2">
        <f t="shared" si="8"/>
        <v>75294.145893915673</v>
      </c>
      <c r="BE43" s="2">
        <f t="shared" si="8"/>
        <v>0</v>
      </c>
      <c r="BF43" s="2"/>
      <c r="BG43" s="2"/>
      <c r="BH43" s="2">
        <f t="shared" si="9"/>
        <v>0</v>
      </c>
      <c r="BI43" s="2"/>
      <c r="BJ43" s="2">
        <f t="shared" si="10"/>
        <v>50196.097262610449</v>
      </c>
      <c r="BK43" s="2">
        <f t="shared" si="39"/>
        <v>125490.24315652612</v>
      </c>
      <c r="BL43" s="2">
        <f t="shared" si="40"/>
        <v>0</v>
      </c>
      <c r="BM43" s="2"/>
    </row>
    <row r="44" spans="1:65" x14ac:dyDescent="0.2">
      <c r="A44">
        <f t="shared" si="6"/>
        <v>1994</v>
      </c>
      <c r="B44" s="2">
        <f t="shared" si="11"/>
        <v>76182.616815463887</v>
      </c>
      <c r="C44" s="2">
        <f t="shared" si="11"/>
        <v>0</v>
      </c>
      <c r="D44" s="2"/>
      <c r="E44" s="2"/>
      <c r="F44" s="2">
        <f t="shared" si="12"/>
        <v>0</v>
      </c>
      <c r="G44" s="2"/>
      <c r="H44" s="2">
        <f t="shared" si="13"/>
        <v>48860.881075425015</v>
      </c>
      <c r="I44" s="2">
        <f t="shared" si="41"/>
        <v>125043.4978908889</v>
      </c>
      <c r="J44" s="2">
        <f t="shared" si="14"/>
        <v>-5596.0587020392268</v>
      </c>
      <c r="K44" s="6">
        <f t="shared" si="15"/>
        <v>-4.2835867236418315E-2</v>
      </c>
      <c r="L44" s="7">
        <f t="shared" si="16"/>
        <v>0.9571641327635817</v>
      </c>
      <c r="N44">
        <f t="shared" si="17"/>
        <v>1994</v>
      </c>
      <c r="O44" s="2">
        <f t="shared" si="18"/>
        <v>5293.4942126212554</v>
      </c>
      <c r="P44" s="2"/>
      <c r="Q44" s="2"/>
      <c r="R44">
        <f t="shared" si="19"/>
        <v>1994</v>
      </c>
      <c r="S44" s="2">
        <f t="shared" si="20"/>
        <v>73006.520287891137</v>
      </c>
      <c r="T44" s="2"/>
      <c r="U44" s="2"/>
      <c r="V44" s="2"/>
      <c r="W44" s="2"/>
      <c r="X44" s="2"/>
      <c r="Y44" s="2">
        <f t="shared" si="21"/>
        <v>46743.48339037651</v>
      </c>
      <c r="Z44" s="2">
        <f t="shared" si="22"/>
        <v>119750.00367826765</v>
      </c>
      <c r="AA44" s="2">
        <f t="shared" si="23"/>
        <v>-5740.2394782584743</v>
      </c>
      <c r="AB44" s="6">
        <f t="shared" si="24"/>
        <v>-4.5742516181904086E-2</v>
      </c>
      <c r="AC44" s="7">
        <f t="shared" si="25"/>
        <v>0.95425748381809594</v>
      </c>
      <c r="AD44" s="2">
        <f t="shared" si="26"/>
        <v>0</v>
      </c>
      <c r="AE44" s="2"/>
      <c r="AG44">
        <f t="shared" si="27"/>
        <v>1994</v>
      </c>
      <c r="AH44" s="6">
        <f t="shared" si="5"/>
        <v>0.609657770734085</v>
      </c>
      <c r="AI44" s="38">
        <f t="shared" si="5"/>
        <v>0</v>
      </c>
      <c r="AJ44" s="7"/>
      <c r="AK44" s="7"/>
      <c r="AL44" s="38">
        <f t="shared" si="28"/>
        <v>0</v>
      </c>
      <c r="AM44" s="7"/>
      <c r="AN44" s="6">
        <f t="shared" si="29"/>
        <v>0.39034222926591494</v>
      </c>
      <c r="AO44" s="6">
        <f t="shared" si="30"/>
        <v>1</v>
      </c>
      <c r="AP44" s="7">
        <f t="shared" si="31"/>
        <v>0.609657770734085</v>
      </c>
      <c r="AQ44" s="7">
        <f t="shared" si="32"/>
        <v>0</v>
      </c>
      <c r="AR44" s="24"/>
      <c r="AS44">
        <f t="shared" si="33"/>
        <v>1994</v>
      </c>
      <c r="AT44" s="1" t="b">
        <f t="shared" si="34"/>
        <v>0</v>
      </c>
      <c r="AU44" s="1" t="b">
        <f t="shared" si="35"/>
        <v>0</v>
      </c>
      <c r="AV44" s="1"/>
      <c r="AW44" s="1"/>
      <c r="AX44" s="1" t="b">
        <f t="shared" si="7"/>
        <v>0</v>
      </c>
      <c r="AY44" s="1"/>
      <c r="AZ44" s="1" t="b">
        <f t="shared" si="36"/>
        <v>0</v>
      </c>
      <c r="BA44" s="1" t="b">
        <f t="shared" si="37"/>
        <v>1</v>
      </c>
      <c r="BC44">
        <f t="shared" si="38"/>
        <v>1994</v>
      </c>
      <c r="BD44" s="2">
        <f t="shared" si="8"/>
        <v>71850.002206960591</v>
      </c>
      <c r="BE44" s="2">
        <f t="shared" si="8"/>
        <v>0</v>
      </c>
      <c r="BF44" s="2"/>
      <c r="BG44" s="2"/>
      <c r="BH44" s="2">
        <f t="shared" si="9"/>
        <v>0</v>
      </c>
      <c r="BI44" s="2"/>
      <c r="BJ44" s="2">
        <f t="shared" si="10"/>
        <v>47900.001471307063</v>
      </c>
      <c r="BK44" s="2">
        <f t="shared" si="39"/>
        <v>119750.00367826765</v>
      </c>
      <c r="BL44" s="2">
        <f t="shared" si="40"/>
        <v>0</v>
      </c>
      <c r="BM44" s="2"/>
    </row>
    <row r="45" spans="1:65" x14ac:dyDescent="0.2">
      <c r="A45">
        <f t="shared" si="6"/>
        <v>1995</v>
      </c>
      <c r="B45" s="2">
        <f t="shared" si="11"/>
        <v>98757.828033467333</v>
      </c>
      <c r="C45" s="2">
        <f t="shared" si="11"/>
        <v>0</v>
      </c>
      <c r="D45" s="2"/>
      <c r="E45" s="2"/>
      <c r="F45" s="2">
        <f t="shared" si="12"/>
        <v>0</v>
      </c>
      <c r="G45" s="2"/>
      <c r="H45" s="2">
        <f t="shared" si="13"/>
        <v>56608.221738790686</v>
      </c>
      <c r="I45" s="2">
        <f t="shared" si="41"/>
        <v>155366.04977225803</v>
      </c>
      <c r="J45" s="2">
        <f t="shared" si="14"/>
        <v>30322.551881369131</v>
      </c>
      <c r="K45" s="6">
        <f t="shared" si="15"/>
        <v>0.24249603052393925</v>
      </c>
      <c r="L45" s="7">
        <f t="shared" si="16"/>
        <v>1.2424960305239392</v>
      </c>
      <c r="N45">
        <f t="shared" si="17"/>
        <v>1995</v>
      </c>
      <c r="O45" s="2">
        <f t="shared" si="18"/>
        <v>5431.1250621494082</v>
      </c>
      <c r="P45" s="2"/>
      <c r="Q45" s="2"/>
      <c r="R45">
        <f t="shared" si="19"/>
        <v>1995</v>
      </c>
      <c r="S45" s="2">
        <f t="shared" si="20"/>
        <v>95499.152996177683</v>
      </c>
      <c r="T45" s="2"/>
      <c r="U45" s="2"/>
      <c r="V45" s="2"/>
      <c r="W45" s="2"/>
      <c r="X45" s="2"/>
      <c r="Y45" s="2">
        <f t="shared" si="21"/>
        <v>54435.771713930924</v>
      </c>
      <c r="Z45" s="2">
        <f t="shared" si="22"/>
        <v>149934.92471010861</v>
      </c>
      <c r="AA45" s="2">
        <f t="shared" si="23"/>
        <v>30184.92103184096</v>
      </c>
      <c r="AB45" s="6">
        <f t="shared" si="24"/>
        <v>0.25206613866116273</v>
      </c>
      <c r="AC45" s="7">
        <f t="shared" si="25"/>
        <v>1.2520661386611627</v>
      </c>
      <c r="AD45" s="2">
        <f t="shared" si="26"/>
        <v>0</v>
      </c>
      <c r="AE45" s="2"/>
      <c r="AG45">
        <f t="shared" si="27"/>
        <v>1995</v>
      </c>
      <c r="AH45" s="6">
        <f t="shared" si="5"/>
        <v>0.63693734585734674</v>
      </c>
      <c r="AI45" s="6">
        <f t="shared" si="5"/>
        <v>0</v>
      </c>
      <c r="AJ45" s="7"/>
      <c r="AK45" s="7"/>
      <c r="AL45" s="6">
        <f t="shared" si="28"/>
        <v>0</v>
      </c>
      <c r="AM45" s="7"/>
      <c r="AN45" s="6">
        <f t="shared" si="29"/>
        <v>0.36306265414265332</v>
      </c>
      <c r="AO45" s="6">
        <f t="shared" si="30"/>
        <v>1</v>
      </c>
      <c r="AP45" s="7">
        <f t="shared" si="31"/>
        <v>0.63693734585734674</v>
      </c>
      <c r="AQ45" s="7">
        <f t="shared" si="32"/>
        <v>0</v>
      </c>
      <c r="AR45" s="24"/>
      <c r="AS45">
        <f t="shared" si="33"/>
        <v>1995</v>
      </c>
      <c r="AT45" s="1" t="b">
        <f t="shared" si="34"/>
        <v>0</v>
      </c>
      <c r="AU45" s="1" t="b">
        <f t="shared" si="35"/>
        <v>0</v>
      </c>
      <c r="AV45" s="1"/>
      <c r="AW45" s="1"/>
      <c r="AX45" s="1" t="b">
        <f t="shared" si="7"/>
        <v>0</v>
      </c>
      <c r="AY45" s="1"/>
      <c r="AZ45" s="1" t="b">
        <f t="shared" si="36"/>
        <v>0</v>
      </c>
      <c r="BA45" s="1" t="b">
        <f t="shared" si="37"/>
        <v>1</v>
      </c>
      <c r="BC45">
        <f t="shared" si="38"/>
        <v>1995</v>
      </c>
      <c r="BD45" s="2">
        <f t="shared" si="8"/>
        <v>89960.954826065165</v>
      </c>
      <c r="BE45" s="2">
        <f t="shared" si="8"/>
        <v>0</v>
      </c>
      <c r="BF45" s="2"/>
      <c r="BG45" s="2"/>
      <c r="BH45" s="2">
        <f t="shared" si="9"/>
        <v>0</v>
      </c>
      <c r="BI45" s="2"/>
      <c r="BJ45" s="2">
        <f t="shared" si="10"/>
        <v>59973.969884043443</v>
      </c>
      <c r="BK45" s="2">
        <f t="shared" si="39"/>
        <v>149934.92471010861</v>
      </c>
      <c r="BL45" s="2">
        <f t="shared" si="40"/>
        <v>0</v>
      </c>
      <c r="BM45" s="2"/>
    </row>
    <row r="46" spans="1:65" x14ac:dyDescent="0.2">
      <c r="A46">
        <f t="shared" si="6"/>
        <v>1996</v>
      </c>
      <c r="B46" s="2">
        <f t="shared" si="11"/>
        <v>110544.02129026888</v>
      </c>
      <c r="C46" s="2">
        <f t="shared" si="11"/>
        <v>0</v>
      </c>
      <c r="D46" s="2"/>
      <c r="E46" s="2"/>
      <c r="F46" s="2">
        <f t="shared" si="12"/>
        <v>0</v>
      </c>
      <c r="G46" s="2"/>
      <c r="H46" s="2">
        <f t="shared" si="13"/>
        <v>62121.038005892202</v>
      </c>
      <c r="I46" s="2">
        <f t="shared" si="41"/>
        <v>172665.05929616108</v>
      </c>
      <c r="J46" s="2">
        <f t="shared" si="14"/>
        <v>17299.009523903049</v>
      </c>
      <c r="K46" s="6">
        <f t="shared" si="15"/>
        <v>0.11134356282637456</v>
      </c>
      <c r="L46" s="7">
        <f t="shared" si="16"/>
        <v>1.1113435628263746</v>
      </c>
      <c r="N46">
        <f t="shared" si="17"/>
        <v>1996</v>
      </c>
      <c r="O46" s="2">
        <f t="shared" si="18"/>
        <v>5566.9031887031433</v>
      </c>
      <c r="P46" s="2"/>
      <c r="Q46" s="2"/>
      <c r="R46">
        <f t="shared" si="19"/>
        <v>1996</v>
      </c>
      <c r="S46" s="2">
        <f t="shared" si="20"/>
        <v>107203.87937704699</v>
      </c>
      <c r="T46" s="2"/>
      <c r="U46" s="2"/>
      <c r="V46" s="2"/>
      <c r="W46" s="2"/>
      <c r="X46" s="2"/>
      <c r="Y46" s="2">
        <f t="shared" si="21"/>
        <v>59894.276730410944</v>
      </c>
      <c r="Z46" s="2">
        <f t="shared" si="22"/>
        <v>167098.15610745794</v>
      </c>
      <c r="AA46" s="2">
        <f t="shared" si="23"/>
        <v>17163.231397349329</v>
      </c>
      <c r="AB46" s="6">
        <f t="shared" si="24"/>
        <v>0.11447120429435334</v>
      </c>
      <c r="AC46" s="7">
        <f t="shared" si="25"/>
        <v>1.1144712042943534</v>
      </c>
      <c r="AD46" s="2">
        <f t="shared" si="26"/>
        <v>0</v>
      </c>
      <c r="AE46" s="2"/>
      <c r="AG46">
        <f t="shared" si="27"/>
        <v>1996</v>
      </c>
      <c r="AH46" s="6">
        <f t="shared" si="5"/>
        <v>0.64156231208264225</v>
      </c>
      <c r="AI46" s="6">
        <f t="shared" si="5"/>
        <v>0</v>
      </c>
      <c r="AJ46" s="7"/>
      <c r="AK46" s="7"/>
      <c r="AL46" s="6">
        <f t="shared" si="28"/>
        <v>0</v>
      </c>
      <c r="AM46" s="7"/>
      <c r="AN46" s="6">
        <f t="shared" si="29"/>
        <v>0.35843768791735781</v>
      </c>
      <c r="AO46" s="6">
        <f t="shared" si="30"/>
        <v>1</v>
      </c>
      <c r="AP46" s="7">
        <f t="shared" si="31"/>
        <v>0.64156231208264225</v>
      </c>
      <c r="AQ46" s="7">
        <f t="shared" si="32"/>
        <v>0</v>
      </c>
      <c r="AR46" s="24"/>
      <c r="AS46">
        <f t="shared" si="33"/>
        <v>1996</v>
      </c>
      <c r="AT46" s="1" t="b">
        <f t="shared" si="34"/>
        <v>0</v>
      </c>
      <c r="AU46" s="1" t="b">
        <f t="shared" si="35"/>
        <v>0</v>
      </c>
      <c r="AV46" s="1"/>
      <c r="AW46" s="1"/>
      <c r="AX46" s="1" t="b">
        <f t="shared" si="7"/>
        <v>0</v>
      </c>
      <c r="AY46" s="1"/>
      <c r="AZ46" s="1" t="b">
        <f t="shared" si="36"/>
        <v>0</v>
      </c>
      <c r="BA46" s="1" t="b">
        <f t="shared" si="37"/>
        <v>1</v>
      </c>
      <c r="BC46">
        <f t="shared" si="38"/>
        <v>1996</v>
      </c>
      <c r="BD46" s="2">
        <f t="shared" si="8"/>
        <v>100258.89366447476</v>
      </c>
      <c r="BE46" s="2">
        <f t="shared" si="8"/>
        <v>0</v>
      </c>
      <c r="BF46" s="2"/>
      <c r="BG46" s="2"/>
      <c r="BH46" s="2">
        <f t="shared" si="9"/>
        <v>0</v>
      </c>
      <c r="BI46" s="2"/>
      <c r="BJ46" s="2">
        <f t="shared" si="10"/>
        <v>66839.262442983178</v>
      </c>
      <c r="BK46" s="2">
        <f t="shared" si="39"/>
        <v>167098.15610745794</v>
      </c>
      <c r="BL46" s="2">
        <f t="shared" si="40"/>
        <v>0</v>
      </c>
      <c r="BM46" s="2"/>
    </row>
    <row r="47" spans="1:65" x14ac:dyDescent="0.2">
      <c r="A47">
        <f t="shared" si="6"/>
        <v>1997</v>
      </c>
      <c r="B47" s="2">
        <f t="shared" si="11"/>
        <v>133534.82047171393</v>
      </c>
      <c r="C47" s="2">
        <f t="shared" si="11"/>
        <v>0</v>
      </c>
      <c r="D47" s="2"/>
      <c r="E47" s="2"/>
      <c r="F47" s="2">
        <f t="shared" si="12"/>
        <v>0</v>
      </c>
      <c r="G47" s="2"/>
      <c r="H47" s="2">
        <f t="shared" si="13"/>
        <v>73148.888817600789</v>
      </c>
      <c r="I47" s="2">
        <f t="shared" si="41"/>
        <v>206683.70928931472</v>
      </c>
      <c r="J47" s="2">
        <f t="shared" si="14"/>
        <v>34018.649993153638</v>
      </c>
      <c r="K47" s="6">
        <f t="shared" si="15"/>
        <v>0.19702104254227645</v>
      </c>
      <c r="L47" s="7">
        <f t="shared" si="16"/>
        <v>1.1970210425422765</v>
      </c>
      <c r="N47">
        <f t="shared" si="17"/>
        <v>1997</v>
      </c>
      <c r="O47" s="2">
        <f t="shared" si="18"/>
        <v>5756.1778971190506</v>
      </c>
      <c r="P47" s="2"/>
      <c r="Q47" s="2"/>
      <c r="R47">
        <f t="shared" si="19"/>
        <v>1997</v>
      </c>
      <c r="S47" s="2">
        <f t="shared" si="20"/>
        <v>130081.1137334425</v>
      </c>
      <c r="T47" s="2"/>
      <c r="U47" s="2"/>
      <c r="V47" s="2"/>
      <c r="W47" s="2"/>
      <c r="X47" s="2"/>
      <c r="Y47" s="2">
        <f t="shared" si="21"/>
        <v>70846.417658753169</v>
      </c>
      <c r="Z47" s="2">
        <f t="shared" si="22"/>
        <v>200927.53139219567</v>
      </c>
      <c r="AA47" s="2">
        <f t="shared" si="23"/>
        <v>33829.375284737733</v>
      </c>
      <c r="AB47" s="6">
        <f t="shared" si="24"/>
        <v>0.20245211600649049</v>
      </c>
      <c r="AC47" s="7">
        <f t="shared" si="25"/>
        <v>1.2024521160064905</v>
      </c>
      <c r="AD47" s="2">
        <f t="shared" si="26"/>
        <v>0</v>
      </c>
      <c r="AE47" s="2"/>
      <c r="AG47">
        <f t="shared" si="27"/>
        <v>1997</v>
      </c>
      <c r="AH47" s="6">
        <f t="shared" si="5"/>
        <v>0.64740313501156688</v>
      </c>
      <c r="AI47" s="6">
        <f t="shared" si="5"/>
        <v>0</v>
      </c>
      <c r="AJ47" s="7"/>
      <c r="AK47" s="7"/>
      <c r="AL47" s="6">
        <f t="shared" si="28"/>
        <v>0</v>
      </c>
      <c r="AM47" s="7"/>
      <c r="AN47" s="6">
        <f t="shared" si="29"/>
        <v>0.35259686498843312</v>
      </c>
      <c r="AO47" s="6">
        <f t="shared" si="30"/>
        <v>1</v>
      </c>
      <c r="AP47" s="7">
        <f t="shared" si="31"/>
        <v>0.64740313501156688</v>
      </c>
      <c r="AQ47" s="7">
        <f t="shared" si="32"/>
        <v>0</v>
      </c>
      <c r="AR47" s="24"/>
      <c r="AS47">
        <f t="shared" si="33"/>
        <v>1997</v>
      </c>
      <c r="AT47" s="1" t="b">
        <f t="shared" si="34"/>
        <v>0</v>
      </c>
      <c r="AU47" s="1" t="b">
        <f t="shared" si="35"/>
        <v>0</v>
      </c>
      <c r="AV47" s="1"/>
      <c r="AW47" s="1"/>
      <c r="AX47" s="1" t="b">
        <f t="shared" si="7"/>
        <v>0</v>
      </c>
      <c r="AY47" s="1"/>
      <c r="AZ47" s="1" t="b">
        <f t="shared" si="36"/>
        <v>0</v>
      </c>
      <c r="BA47" s="1" t="b">
        <f t="shared" si="37"/>
        <v>1</v>
      </c>
      <c r="BC47">
        <f t="shared" si="38"/>
        <v>1997</v>
      </c>
      <c r="BD47" s="2">
        <f t="shared" si="8"/>
        <v>120556.5188353174</v>
      </c>
      <c r="BE47" s="2">
        <f t="shared" si="8"/>
        <v>0</v>
      </c>
      <c r="BF47" s="2"/>
      <c r="BG47" s="2"/>
      <c r="BH47" s="2">
        <f t="shared" si="9"/>
        <v>0</v>
      </c>
      <c r="BI47" s="2"/>
      <c r="BJ47" s="2">
        <f t="shared" si="10"/>
        <v>80371.012556878268</v>
      </c>
      <c r="BK47" s="2">
        <f t="shared" si="39"/>
        <v>200927.53139219567</v>
      </c>
      <c r="BL47" s="2">
        <f t="shared" si="40"/>
        <v>0</v>
      </c>
      <c r="BM47" s="2"/>
    </row>
    <row r="48" spans="1:65" x14ac:dyDescent="0.2">
      <c r="A48">
        <f t="shared" si="6"/>
        <v>1998</v>
      </c>
      <c r="B48" s="2">
        <f t="shared" si="11"/>
        <v>155108.01713351937</v>
      </c>
      <c r="C48" s="2">
        <f t="shared" si="11"/>
        <v>0</v>
      </c>
      <c r="D48" s="2"/>
      <c r="E48" s="2"/>
      <c r="F48" s="2">
        <f t="shared" si="12"/>
        <v>0</v>
      </c>
      <c r="G48" s="2"/>
      <c r="H48" s="2">
        <f t="shared" si="13"/>
        <v>87266.84543425843</v>
      </c>
      <c r="I48" s="2">
        <f t="shared" si="41"/>
        <v>242374.8625677778</v>
      </c>
      <c r="J48" s="2">
        <f t="shared" si="14"/>
        <v>35691.153278463084</v>
      </c>
      <c r="K48" s="6">
        <f t="shared" si="15"/>
        <v>0.17268488842777058</v>
      </c>
      <c r="L48" s="7">
        <f t="shared" si="16"/>
        <v>1.1726848884277705</v>
      </c>
      <c r="N48">
        <f t="shared" si="17"/>
        <v>1998</v>
      </c>
      <c r="O48" s="2">
        <f t="shared" si="18"/>
        <v>5854.0329213700743</v>
      </c>
      <c r="P48" s="2"/>
      <c r="Q48" s="2"/>
      <c r="R48">
        <f t="shared" si="19"/>
        <v>1998</v>
      </c>
      <c r="S48" s="2">
        <f t="shared" si="20"/>
        <v>151595.59738069732</v>
      </c>
      <c r="T48" s="2"/>
      <c r="U48" s="2"/>
      <c r="V48" s="2"/>
      <c r="W48" s="2"/>
      <c r="X48" s="2"/>
      <c r="Y48" s="2">
        <f t="shared" si="21"/>
        <v>84925.232265710394</v>
      </c>
      <c r="Z48" s="2">
        <f t="shared" si="22"/>
        <v>236520.82964640771</v>
      </c>
      <c r="AA48" s="2">
        <f t="shared" si="23"/>
        <v>35593.298254212044</v>
      </c>
      <c r="AB48" s="6">
        <f t="shared" si="24"/>
        <v>0.17714495374323075</v>
      </c>
      <c r="AC48" s="7">
        <f t="shared" si="25"/>
        <v>1.1771449537432308</v>
      </c>
      <c r="AD48" s="2">
        <f t="shared" si="26"/>
        <v>0</v>
      </c>
      <c r="AE48" s="2"/>
      <c r="AG48">
        <f t="shared" si="27"/>
        <v>1998</v>
      </c>
      <c r="AH48" s="6">
        <f t="shared" si="5"/>
        <v>0.64093973290778938</v>
      </c>
      <c r="AI48" s="6">
        <f t="shared" si="5"/>
        <v>0</v>
      </c>
      <c r="AJ48" s="7"/>
      <c r="AK48" s="7"/>
      <c r="AL48" s="6">
        <f t="shared" si="28"/>
        <v>0</v>
      </c>
      <c r="AM48" s="6"/>
      <c r="AN48" s="38">
        <f t="shared" si="29"/>
        <v>0.35906026709221056</v>
      </c>
      <c r="AO48" s="6">
        <f t="shared" si="30"/>
        <v>1</v>
      </c>
      <c r="AP48" s="7">
        <f t="shared" si="31"/>
        <v>0.64093973290778938</v>
      </c>
      <c r="AQ48" s="7">
        <f t="shared" si="32"/>
        <v>0</v>
      </c>
      <c r="AR48" s="24"/>
      <c r="AS48">
        <f t="shared" si="33"/>
        <v>1998</v>
      </c>
      <c r="AT48" s="1" t="b">
        <f t="shared" si="34"/>
        <v>0</v>
      </c>
      <c r="AU48" s="1" t="b">
        <f t="shared" si="35"/>
        <v>0</v>
      </c>
      <c r="AV48" s="1"/>
      <c r="AW48" s="1"/>
      <c r="AX48" s="1" t="b">
        <f t="shared" si="7"/>
        <v>0</v>
      </c>
      <c r="AY48" s="1"/>
      <c r="AZ48" s="1" t="b">
        <f t="shared" si="36"/>
        <v>0</v>
      </c>
      <c r="BA48" s="1" t="b">
        <f t="shared" si="37"/>
        <v>1</v>
      </c>
      <c r="BC48">
        <f t="shared" si="38"/>
        <v>1998</v>
      </c>
      <c r="BD48" s="2">
        <f t="shared" si="8"/>
        <v>141912.49778784462</v>
      </c>
      <c r="BE48" s="2">
        <f t="shared" si="8"/>
        <v>0</v>
      </c>
      <c r="BF48" s="2"/>
      <c r="BG48" s="2"/>
      <c r="BH48" s="2">
        <f t="shared" si="9"/>
        <v>0</v>
      </c>
      <c r="BI48" s="2"/>
      <c r="BJ48" s="2">
        <f t="shared" si="10"/>
        <v>94608.331858563091</v>
      </c>
      <c r="BK48" s="2">
        <f t="shared" si="39"/>
        <v>236520.82964640771</v>
      </c>
      <c r="BL48" s="2">
        <f t="shared" si="40"/>
        <v>0</v>
      </c>
      <c r="BM48" s="2"/>
    </row>
    <row r="49" spans="1:65" x14ac:dyDescent="0.2">
      <c r="A49">
        <f t="shared" si="6"/>
        <v>1999</v>
      </c>
      <c r="B49" s="2">
        <f t="shared" si="11"/>
        <v>171813.46107174351</v>
      </c>
      <c r="C49" s="2">
        <f t="shared" si="11"/>
        <v>0</v>
      </c>
      <c r="D49" s="2"/>
      <c r="E49" s="2"/>
      <c r="F49" s="2"/>
      <c r="G49" s="2">
        <f>BH48*(1+(G13/100))</f>
        <v>0</v>
      </c>
      <c r="H49" s="2">
        <f t="shared" si="13"/>
        <v>93889.308536438009</v>
      </c>
      <c r="I49" s="2">
        <f t="shared" si="41"/>
        <v>265702.76960818155</v>
      </c>
      <c r="J49" s="2">
        <f t="shared" si="14"/>
        <v>23327.907040403748</v>
      </c>
      <c r="K49" s="6">
        <f t="shared" si="15"/>
        <v>9.6247221321808171E-2</v>
      </c>
      <c r="L49" s="7">
        <f t="shared" si="16"/>
        <v>1.0962472213218082</v>
      </c>
      <c r="N49">
        <f t="shared" si="17"/>
        <v>1999</v>
      </c>
      <c r="O49" s="2">
        <f t="shared" si="18"/>
        <v>5947.697448111996</v>
      </c>
      <c r="P49" s="2"/>
      <c r="Q49" s="2"/>
      <c r="R49">
        <f t="shared" si="19"/>
        <v>1999</v>
      </c>
      <c r="S49" s="2">
        <f t="shared" si="20"/>
        <v>168244.84260287631</v>
      </c>
      <c r="T49" s="2"/>
      <c r="U49" s="2"/>
      <c r="V49" s="2"/>
      <c r="W49" s="2"/>
      <c r="X49" s="2"/>
      <c r="Y49" s="2">
        <f t="shared" si="21"/>
        <v>91510.229557193205</v>
      </c>
      <c r="Z49" s="2">
        <f t="shared" si="22"/>
        <v>259755.07216006951</v>
      </c>
      <c r="AA49" s="2">
        <f t="shared" si="23"/>
        <v>23234.242513661797</v>
      </c>
      <c r="AB49" s="6">
        <f t="shared" si="24"/>
        <v>9.8233388359056428E-2</v>
      </c>
      <c r="AC49" s="7">
        <f t="shared" si="25"/>
        <v>1.0982333883590565</v>
      </c>
      <c r="AD49" s="2">
        <f t="shared" si="26"/>
        <v>0</v>
      </c>
      <c r="AE49" s="2"/>
      <c r="AG49">
        <f t="shared" si="27"/>
        <v>1999</v>
      </c>
      <c r="AH49" s="6">
        <f t="shared" si="5"/>
        <v>0.64770570677903205</v>
      </c>
      <c r="AI49" s="6">
        <f t="shared" si="5"/>
        <v>0</v>
      </c>
      <c r="AJ49" s="7"/>
      <c r="AK49" s="7"/>
      <c r="AL49" s="6"/>
      <c r="AM49" s="6">
        <f t="shared" si="28"/>
        <v>0</v>
      </c>
      <c r="AN49" s="6">
        <f t="shared" si="29"/>
        <v>0.35229429322096789</v>
      </c>
      <c r="AO49" s="6">
        <f t="shared" si="30"/>
        <v>1</v>
      </c>
      <c r="AP49" s="7">
        <f t="shared" si="31"/>
        <v>0.64770570677903205</v>
      </c>
      <c r="AQ49" s="7">
        <f t="shared" si="32"/>
        <v>0</v>
      </c>
      <c r="AR49" s="24"/>
      <c r="AS49">
        <f t="shared" si="33"/>
        <v>1999</v>
      </c>
      <c r="AT49" s="1" t="b">
        <f t="shared" si="34"/>
        <v>0</v>
      </c>
      <c r="AU49" s="1" t="b">
        <f t="shared" si="35"/>
        <v>0</v>
      </c>
      <c r="AV49" s="1"/>
      <c r="AW49" s="1"/>
      <c r="AX49" s="1"/>
      <c r="AY49" s="1" t="b">
        <f t="shared" ref="AY49:AY64" si="42">AND((X49/$Z49)&gt;0.15,(X49/$Z49)&lt;0.25)</f>
        <v>0</v>
      </c>
      <c r="AZ49" s="1" t="b">
        <f t="shared" si="36"/>
        <v>0</v>
      </c>
      <c r="BA49" s="1" t="b">
        <f t="shared" si="37"/>
        <v>1</v>
      </c>
      <c r="BC49">
        <f t="shared" si="38"/>
        <v>1999</v>
      </c>
      <c r="BD49" s="2">
        <f t="shared" si="8"/>
        <v>155853.04329604169</v>
      </c>
      <c r="BE49" s="2">
        <f t="shared" si="8"/>
        <v>0</v>
      </c>
      <c r="BF49" s="2"/>
      <c r="BG49" s="2"/>
      <c r="BH49" s="2"/>
      <c r="BI49" s="2">
        <f>$BK49*BI$39</f>
        <v>0</v>
      </c>
      <c r="BJ49" s="2">
        <f t="shared" si="10"/>
        <v>103902.02886402782</v>
      </c>
      <c r="BK49" s="2">
        <f t="shared" si="39"/>
        <v>259755.07216006951</v>
      </c>
      <c r="BL49" s="2">
        <f t="shared" si="40"/>
        <v>0</v>
      </c>
      <c r="BM49" s="2"/>
    </row>
    <row r="50" spans="1:65" x14ac:dyDescent="0.2">
      <c r="A50">
        <f t="shared" si="6"/>
        <v>2000</v>
      </c>
      <c r="B50" s="2">
        <f t="shared" si="11"/>
        <v>141732.75757342033</v>
      </c>
      <c r="C50" s="2">
        <f t="shared" si="11"/>
        <v>0</v>
      </c>
      <c r="D50" s="2"/>
      <c r="E50" s="2"/>
      <c r="F50" s="2"/>
      <c r="G50" s="2">
        <f t="shared" ref="G50:G64" si="43">BI49*(1+(G14/100))</f>
        <v>0</v>
      </c>
      <c r="H50" s="2">
        <f t="shared" si="13"/>
        <v>115736.4699516406</v>
      </c>
      <c r="I50" s="2">
        <f t="shared" si="41"/>
        <v>257469.22752506094</v>
      </c>
      <c r="J50" s="2">
        <f t="shared" si="14"/>
        <v>-8233.5420831206138</v>
      </c>
      <c r="K50" s="6">
        <f t="shared" si="15"/>
        <v>-3.0987791716519185E-2</v>
      </c>
      <c r="L50" s="7">
        <f t="shared" si="16"/>
        <v>0.96901220828348078</v>
      </c>
      <c r="N50">
        <f t="shared" si="17"/>
        <v>2000</v>
      </c>
      <c r="O50" s="2">
        <f t="shared" si="18"/>
        <v>6108.2852792110198</v>
      </c>
      <c r="P50" s="2"/>
      <c r="Q50" s="2"/>
      <c r="R50">
        <f t="shared" si="19"/>
        <v>2000</v>
      </c>
      <c r="S50" s="2">
        <f t="shared" si="20"/>
        <v>138067.78640589371</v>
      </c>
      <c r="T50" s="2"/>
      <c r="U50" s="2"/>
      <c r="V50" s="2"/>
      <c r="W50" s="2"/>
      <c r="X50" s="2"/>
      <c r="Y50" s="2">
        <f t="shared" si="21"/>
        <v>113293.15583995619</v>
      </c>
      <c r="Z50" s="2">
        <f t="shared" si="22"/>
        <v>251360.9422458499</v>
      </c>
      <c r="AA50" s="2">
        <f t="shared" si="23"/>
        <v>-8394.1299142196076</v>
      </c>
      <c r="AB50" s="6">
        <f t="shared" si="24"/>
        <v>-3.2315557284082107E-2</v>
      </c>
      <c r="AC50" s="7">
        <f t="shared" si="25"/>
        <v>0.96768444271591791</v>
      </c>
      <c r="AD50" s="2">
        <f t="shared" si="26"/>
        <v>0</v>
      </c>
      <c r="AE50" s="2"/>
      <c r="AG50">
        <f t="shared" si="27"/>
        <v>2000</v>
      </c>
      <c r="AH50" s="38">
        <f t="shared" si="5"/>
        <v>0.54928098682432946</v>
      </c>
      <c r="AI50" s="6">
        <f t="shared" si="5"/>
        <v>0</v>
      </c>
      <c r="AJ50" s="7"/>
      <c r="AK50" s="7"/>
      <c r="AL50" s="7"/>
      <c r="AM50" s="6">
        <f t="shared" si="28"/>
        <v>0</v>
      </c>
      <c r="AN50" s="6">
        <f t="shared" si="29"/>
        <v>0.45071901317567059</v>
      </c>
      <c r="AO50" s="6">
        <f t="shared" si="30"/>
        <v>1</v>
      </c>
      <c r="AP50" s="7">
        <f t="shared" si="31"/>
        <v>0.54928098682432946</v>
      </c>
      <c r="AQ50" s="7">
        <f t="shared" si="32"/>
        <v>0</v>
      </c>
      <c r="AR50" s="24"/>
      <c r="AS50">
        <f t="shared" si="33"/>
        <v>2000</v>
      </c>
      <c r="AT50" s="1" t="b">
        <f t="shared" si="34"/>
        <v>0</v>
      </c>
      <c r="AU50" s="1" t="b">
        <f t="shared" si="35"/>
        <v>0</v>
      </c>
      <c r="AV50" s="1"/>
      <c r="AW50" s="1"/>
      <c r="AX50" s="1"/>
      <c r="AY50" s="1" t="b">
        <f t="shared" si="42"/>
        <v>0</v>
      </c>
      <c r="AZ50" s="1" t="b">
        <f t="shared" si="36"/>
        <v>0</v>
      </c>
      <c r="BA50" s="1" t="b">
        <f t="shared" si="37"/>
        <v>1</v>
      </c>
      <c r="BC50">
        <f t="shared" si="38"/>
        <v>2000</v>
      </c>
      <c r="BD50" s="2">
        <f t="shared" si="8"/>
        <v>150816.56534750992</v>
      </c>
      <c r="BE50" s="2">
        <f t="shared" si="8"/>
        <v>0</v>
      </c>
      <c r="BF50" s="2"/>
      <c r="BG50" s="2"/>
      <c r="BH50" s="2"/>
      <c r="BI50" s="2">
        <f>$BK50*BI$39</f>
        <v>0</v>
      </c>
      <c r="BJ50" s="2">
        <f t="shared" si="10"/>
        <v>100544.37689833996</v>
      </c>
      <c r="BK50" s="2">
        <f t="shared" si="39"/>
        <v>251360.9422458499</v>
      </c>
      <c r="BL50" s="2">
        <f t="shared" si="40"/>
        <v>0</v>
      </c>
      <c r="BM50" s="2"/>
    </row>
    <row r="51" spans="1:65" x14ac:dyDescent="0.2">
      <c r="A51">
        <f t="shared" si="6"/>
        <v>2001</v>
      </c>
      <c r="B51" s="2">
        <f t="shared" si="11"/>
        <v>132688.41419273923</v>
      </c>
      <c r="C51" s="2"/>
      <c r="D51" s="2">
        <f>($BE50*0.67)*(1+(D15/100))</f>
        <v>0</v>
      </c>
      <c r="E51" s="2">
        <f>($BE50*0.33)*(1+(E15/100))</f>
        <v>0</v>
      </c>
      <c r="F51" s="2"/>
      <c r="G51" s="2">
        <f t="shared" si="43"/>
        <v>0</v>
      </c>
      <c r="H51" s="2">
        <f t="shared" si="13"/>
        <v>109020.26787087003</v>
      </c>
      <c r="I51" s="2">
        <f t="shared" si="41"/>
        <v>241708.68206360925</v>
      </c>
      <c r="J51" s="2">
        <f t="shared" si="14"/>
        <v>-15760.545461451693</v>
      </c>
      <c r="K51" s="6">
        <f t="shared" si="15"/>
        <v>-6.1213317074630326E-2</v>
      </c>
      <c r="L51" s="7">
        <f t="shared" si="16"/>
        <v>0.93878668292536971</v>
      </c>
      <c r="N51">
        <f t="shared" si="17"/>
        <v>2001</v>
      </c>
      <c r="O51" s="2">
        <f t="shared" si="18"/>
        <v>6315.9669787041948</v>
      </c>
      <c r="P51" s="2"/>
      <c r="Q51" s="2"/>
      <c r="R51">
        <f t="shared" si="19"/>
        <v>2001</v>
      </c>
      <c r="S51" s="2">
        <f t="shared" si="20"/>
        <v>128898.83400551672</v>
      </c>
      <c r="T51" s="2"/>
      <c r="U51" s="2"/>
      <c r="V51" s="2"/>
      <c r="W51" s="2"/>
      <c r="X51" s="2"/>
      <c r="Y51" s="2">
        <f t="shared" si="21"/>
        <v>106493.88107938835</v>
      </c>
      <c r="Z51" s="2">
        <f t="shared" si="22"/>
        <v>235392.71508490507</v>
      </c>
      <c r="AA51" s="2">
        <f t="shared" si="23"/>
        <v>-15968.227160944836</v>
      </c>
      <c r="AB51" s="6">
        <f t="shared" si="24"/>
        <v>-6.3527081885803527E-2</v>
      </c>
      <c r="AC51" s="7">
        <f t="shared" si="25"/>
        <v>0.93647291811419642</v>
      </c>
      <c r="AD51" s="2">
        <f t="shared" si="26"/>
        <v>0</v>
      </c>
      <c r="AE51" s="2"/>
      <c r="AG51">
        <f t="shared" si="27"/>
        <v>2001</v>
      </c>
      <c r="AH51" s="6">
        <f t="shared" si="5"/>
        <v>0.54759058265258342</v>
      </c>
      <c r="AI51" s="7"/>
      <c r="AJ51" s="6">
        <f t="shared" ref="AJ51:AK64" si="44">U51/$Z51</f>
        <v>0</v>
      </c>
      <c r="AK51" s="6">
        <f t="shared" si="44"/>
        <v>0</v>
      </c>
      <c r="AL51" s="7"/>
      <c r="AM51" s="6">
        <f t="shared" si="28"/>
        <v>0</v>
      </c>
      <c r="AN51" s="6">
        <f t="shared" si="29"/>
        <v>0.45240941734741663</v>
      </c>
      <c r="AO51" s="6">
        <f t="shared" si="30"/>
        <v>1</v>
      </c>
      <c r="AP51" s="7">
        <f t="shared" si="31"/>
        <v>0.54759058265258342</v>
      </c>
      <c r="AQ51" s="7">
        <f t="shared" si="32"/>
        <v>0</v>
      </c>
      <c r="AR51" s="24"/>
      <c r="AS51">
        <f t="shared" si="33"/>
        <v>2001</v>
      </c>
      <c r="AT51" s="1" t="b">
        <f t="shared" si="34"/>
        <v>0</v>
      </c>
      <c r="AU51" s="1"/>
      <c r="AV51" s="1" t="b">
        <f>AND((U51/$Z51)&gt;0.15,(U51/$Z51)&lt;0.25)</f>
        <v>0</v>
      </c>
      <c r="AW51" s="1" t="b">
        <f>AND((V51/$Z51)&gt;0.05,(V51/$Z51)&lt;0.15)</f>
        <v>0</v>
      </c>
      <c r="AX51" s="1"/>
      <c r="AY51" s="1" t="b">
        <f t="shared" si="42"/>
        <v>0</v>
      </c>
      <c r="AZ51" s="1" t="b">
        <f t="shared" si="36"/>
        <v>0</v>
      </c>
      <c r="BA51" s="1" t="b">
        <f t="shared" si="37"/>
        <v>1</v>
      </c>
      <c r="BC51">
        <f t="shared" si="38"/>
        <v>2001</v>
      </c>
      <c r="BD51" s="2">
        <f>$BK51*BD$39</f>
        <v>141235.62905094304</v>
      </c>
      <c r="BE51" s="2"/>
      <c r="BF51" s="2">
        <f t="shared" ref="BF51:BG64" si="45">$BK51*BF$39</f>
        <v>0</v>
      </c>
      <c r="BG51" s="2">
        <f t="shared" si="45"/>
        <v>0</v>
      </c>
      <c r="BH51" s="2"/>
      <c r="BI51" s="2">
        <f>$BK51*BI$39</f>
        <v>0</v>
      </c>
      <c r="BJ51" s="2">
        <f t="shared" si="10"/>
        <v>94157.086033962027</v>
      </c>
      <c r="BK51" s="2">
        <f t="shared" si="39"/>
        <v>235392.71508490507</v>
      </c>
      <c r="BL51" s="2">
        <f t="shared" si="40"/>
        <v>0</v>
      </c>
      <c r="BM51" s="2"/>
    </row>
    <row r="52" spans="1:65" x14ac:dyDescent="0.2">
      <c r="A52">
        <f t="shared" si="6"/>
        <v>2002</v>
      </c>
      <c r="B52" s="2">
        <f t="shared" si="11"/>
        <v>109951.93721615915</v>
      </c>
      <c r="C52" s="2"/>
      <c r="D52" s="2">
        <f t="shared" ref="D52:E64" si="46">BF51*(1+(D16/100))</f>
        <v>0</v>
      </c>
      <c r="E52" s="2">
        <f t="shared" si="46"/>
        <v>0</v>
      </c>
      <c r="F52" s="2"/>
      <c r="G52" s="2">
        <f t="shared" si="43"/>
        <v>0</v>
      </c>
      <c r="H52" s="2">
        <f t="shared" si="13"/>
        <v>101934.46134036728</v>
      </c>
      <c r="I52" s="2">
        <f t="shared" si="41"/>
        <v>211886.39855652643</v>
      </c>
      <c r="J52" s="2">
        <f t="shared" si="14"/>
        <v>-29822.283507082815</v>
      </c>
      <c r="K52" s="6">
        <f t="shared" si="15"/>
        <v>-0.12338110179771961</v>
      </c>
      <c r="L52" s="7">
        <f t="shared" si="16"/>
        <v>0.87661889820228045</v>
      </c>
      <c r="N52">
        <f t="shared" si="17"/>
        <v>2002</v>
      </c>
      <c r="O52" s="2">
        <f t="shared" si="18"/>
        <v>6417.0224503634618</v>
      </c>
      <c r="P52" s="2"/>
      <c r="Q52" s="2"/>
      <c r="R52">
        <f t="shared" si="19"/>
        <v>2002</v>
      </c>
      <c r="S52" s="2">
        <f t="shared" si="20"/>
        <v>106101.72374594107</v>
      </c>
      <c r="T52" s="2"/>
      <c r="U52" s="2"/>
      <c r="V52" s="2"/>
      <c r="W52" s="2"/>
      <c r="X52" s="2"/>
      <c r="Y52" s="2">
        <f t="shared" si="21"/>
        <v>99367.652360221895</v>
      </c>
      <c r="Z52" s="2">
        <f t="shared" si="22"/>
        <v>205469.37610616296</v>
      </c>
      <c r="AA52" s="2">
        <f t="shared" si="23"/>
        <v>-29923.338978742104</v>
      </c>
      <c r="AB52" s="6">
        <f t="shared" si="24"/>
        <v>-0.12712092202152006</v>
      </c>
      <c r="AC52" s="7">
        <f t="shared" si="25"/>
        <v>0.87287907797847997</v>
      </c>
      <c r="AD52" s="2">
        <f t="shared" si="26"/>
        <v>0</v>
      </c>
      <c r="AE52" s="2"/>
      <c r="AG52">
        <f t="shared" si="27"/>
        <v>2002</v>
      </c>
      <c r="AH52" s="6">
        <f t="shared" si="5"/>
        <v>0.51638704393164603</v>
      </c>
      <c r="AI52" s="7"/>
      <c r="AJ52" s="6">
        <f t="shared" si="44"/>
        <v>0</v>
      </c>
      <c r="AK52" s="6">
        <f t="shared" si="44"/>
        <v>0</v>
      </c>
      <c r="AL52" s="7"/>
      <c r="AM52" s="6">
        <f t="shared" si="28"/>
        <v>0</v>
      </c>
      <c r="AN52" s="6">
        <f t="shared" si="29"/>
        <v>0.48361295606835403</v>
      </c>
      <c r="AO52" s="6">
        <f t="shared" si="30"/>
        <v>1</v>
      </c>
      <c r="AP52" s="7">
        <f t="shared" si="31"/>
        <v>0.51638704393164603</v>
      </c>
      <c r="AQ52" s="7">
        <f t="shared" si="32"/>
        <v>0</v>
      </c>
      <c r="AR52" s="24"/>
      <c r="AS52">
        <f t="shared" si="33"/>
        <v>2002</v>
      </c>
      <c r="AT52" s="1" t="b">
        <f t="shared" si="34"/>
        <v>0</v>
      </c>
      <c r="AU52" s="1"/>
      <c r="AV52" s="1" t="b">
        <f t="shared" ref="AV52:AV64" si="47">AND((U52/$Z52)&gt;0.15,(U52/$Z52)&lt;0.25)</f>
        <v>0</v>
      </c>
      <c r="AW52" s="1" t="b">
        <f t="shared" ref="AW52:AW64" si="48">AND((V52/$Z52)&gt;0.05,(V52/$Z52)&lt;0.15)</f>
        <v>0</v>
      </c>
      <c r="AX52" s="1"/>
      <c r="AY52" s="1" t="b">
        <f t="shared" si="42"/>
        <v>0</v>
      </c>
      <c r="AZ52" s="1" t="b">
        <f t="shared" si="36"/>
        <v>0</v>
      </c>
      <c r="BA52" s="1" t="b">
        <f t="shared" si="37"/>
        <v>1</v>
      </c>
      <c r="BC52">
        <f t="shared" si="38"/>
        <v>2002</v>
      </c>
      <c r="BD52" s="2">
        <f>$BK52*BD$39</f>
        <v>123281.62566369778</v>
      </c>
      <c r="BE52" s="2"/>
      <c r="BF52" s="2">
        <f t="shared" si="45"/>
        <v>0</v>
      </c>
      <c r="BG52" s="2">
        <f t="shared" si="45"/>
        <v>0</v>
      </c>
      <c r="BH52" s="2"/>
      <c r="BI52" s="2">
        <f>$BK52*BI$39</f>
        <v>0</v>
      </c>
      <c r="BJ52" s="2">
        <f t="shared" si="10"/>
        <v>82187.750442465185</v>
      </c>
      <c r="BK52" s="2">
        <f t="shared" si="39"/>
        <v>205469.37610616296</v>
      </c>
      <c r="BL52" s="2">
        <f t="shared" si="40"/>
        <v>0</v>
      </c>
      <c r="BM52" s="2"/>
    </row>
    <row r="53" spans="1:65" x14ac:dyDescent="0.2">
      <c r="A53">
        <f t="shared" si="6"/>
        <v>2003</v>
      </c>
      <c r="B53" s="2">
        <f t="shared" si="11"/>
        <v>158416.88897785163</v>
      </c>
      <c r="C53" s="2"/>
      <c r="D53" s="2">
        <f t="shared" si="46"/>
        <v>0</v>
      </c>
      <c r="E53" s="2">
        <f t="shared" si="46"/>
        <v>0</v>
      </c>
      <c r="F53" s="2"/>
      <c r="G53" s="2">
        <f t="shared" si="43"/>
        <v>0</v>
      </c>
      <c r="H53" s="2">
        <f t="shared" si="13"/>
        <v>85450.604135031055</v>
      </c>
      <c r="I53" s="2">
        <f t="shared" si="41"/>
        <v>243867.49311288269</v>
      </c>
      <c r="J53" s="2">
        <f t="shared" si="14"/>
        <v>31981.094556356256</v>
      </c>
      <c r="K53" s="6">
        <f t="shared" si="15"/>
        <v>0.15093509906358824</v>
      </c>
      <c r="L53" s="7">
        <f t="shared" si="16"/>
        <v>1.1509350990635883</v>
      </c>
      <c r="N53">
        <f t="shared" si="17"/>
        <v>2003</v>
      </c>
      <c r="O53" s="2">
        <f t="shared" si="18"/>
        <v>6577.4480116225477</v>
      </c>
      <c r="P53" s="2"/>
      <c r="Q53" s="2"/>
      <c r="R53">
        <f t="shared" si="19"/>
        <v>2003</v>
      </c>
      <c r="S53" s="2">
        <f t="shared" si="20"/>
        <v>154470.42017087809</v>
      </c>
      <c r="T53" s="2"/>
      <c r="U53" s="2"/>
      <c r="V53" s="2"/>
      <c r="W53" s="2"/>
      <c r="X53" s="2"/>
      <c r="Y53" s="2">
        <f t="shared" si="21"/>
        <v>82819.624930382037</v>
      </c>
      <c r="Z53" s="2">
        <f t="shared" si="22"/>
        <v>237290.04510126013</v>
      </c>
      <c r="AA53" s="2">
        <f t="shared" si="23"/>
        <v>31820.668995097163</v>
      </c>
      <c r="AB53" s="6">
        <f t="shared" si="24"/>
        <v>0.15486818326958807</v>
      </c>
      <c r="AC53" s="7">
        <f t="shared" si="25"/>
        <v>1.154868183269588</v>
      </c>
      <c r="AD53" s="2">
        <f t="shared" si="26"/>
        <v>0</v>
      </c>
      <c r="AE53" s="2"/>
      <c r="AG53">
        <f t="shared" si="27"/>
        <v>2003</v>
      </c>
      <c r="AH53" s="6">
        <f t="shared" si="5"/>
        <v>0.65097724645363886</v>
      </c>
      <c r="AI53" s="7"/>
      <c r="AJ53" s="6">
        <f t="shared" si="44"/>
        <v>0</v>
      </c>
      <c r="AK53" s="6">
        <f t="shared" si="44"/>
        <v>0</v>
      </c>
      <c r="AL53" s="7"/>
      <c r="AM53" s="6">
        <f t="shared" si="28"/>
        <v>0</v>
      </c>
      <c r="AN53" s="59">
        <f t="shared" si="29"/>
        <v>0.34902275354636114</v>
      </c>
      <c r="AO53" s="6">
        <f t="shared" si="30"/>
        <v>1</v>
      </c>
      <c r="AP53" s="7">
        <f t="shared" si="31"/>
        <v>0.65097724645363886</v>
      </c>
      <c r="AQ53" s="7">
        <f t="shared" si="32"/>
        <v>0</v>
      </c>
      <c r="AR53" s="24"/>
      <c r="AS53">
        <f t="shared" si="33"/>
        <v>2003</v>
      </c>
      <c r="AT53" s="1" t="b">
        <f t="shared" si="34"/>
        <v>0</v>
      </c>
      <c r="AU53" s="1"/>
      <c r="AV53" s="1" t="b">
        <f t="shared" si="47"/>
        <v>0</v>
      </c>
      <c r="AW53" s="1" t="b">
        <f t="shared" si="48"/>
        <v>0</v>
      </c>
      <c r="AX53" s="1"/>
      <c r="AY53" s="1" t="b">
        <f t="shared" si="42"/>
        <v>0</v>
      </c>
      <c r="AZ53" s="1" t="b">
        <f t="shared" si="36"/>
        <v>1</v>
      </c>
      <c r="BA53" s="1" t="b">
        <f t="shared" si="37"/>
        <v>1</v>
      </c>
      <c r="BC53">
        <f t="shared" si="38"/>
        <v>2003</v>
      </c>
      <c r="BD53" s="2">
        <f t="shared" ref="BD53:BD64" si="49">$BK53*BD$39</f>
        <v>142374.02706075608</v>
      </c>
      <c r="BE53" s="2"/>
      <c r="BF53" s="2">
        <f t="shared" si="45"/>
        <v>0</v>
      </c>
      <c r="BG53" s="2">
        <f t="shared" si="45"/>
        <v>0</v>
      </c>
      <c r="BH53" s="2"/>
      <c r="BI53" s="2">
        <f t="shared" ref="BI53:BI64" si="50">$BK53*BI$39</f>
        <v>0</v>
      </c>
      <c r="BJ53" s="2">
        <f t="shared" si="10"/>
        <v>94916.018040504059</v>
      </c>
      <c r="BK53" s="2">
        <f t="shared" si="39"/>
        <v>237290.04510126013</v>
      </c>
      <c r="BL53" s="2">
        <f t="shared" si="40"/>
        <v>0</v>
      </c>
      <c r="BM53" s="2"/>
    </row>
    <row r="54" spans="1:65" x14ac:dyDescent="0.2">
      <c r="A54">
        <f t="shared" si="6"/>
        <v>2004</v>
      </c>
      <c r="B54" s="2">
        <f t="shared" si="11"/>
        <v>157664.99756708127</v>
      </c>
      <c r="C54" s="2"/>
      <c r="D54" s="2">
        <f t="shared" si="46"/>
        <v>0</v>
      </c>
      <c r="E54" s="2">
        <f t="shared" si="46"/>
        <v>0</v>
      </c>
      <c r="F54" s="2"/>
      <c r="G54" s="2">
        <f t="shared" si="43"/>
        <v>0</v>
      </c>
      <c r="H54" s="2">
        <f t="shared" si="13"/>
        <v>98940.457205421437</v>
      </c>
      <c r="I54" s="2">
        <f t="shared" si="41"/>
        <v>256605.45477250271</v>
      </c>
      <c r="J54" s="2">
        <f t="shared" si="14"/>
        <v>12737.961659620021</v>
      </c>
      <c r="K54" s="6">
        <f t="shared" si="15"/>
        <v>5.22331266747545E-2</v>
      </c>
      <c r="L54" s="7">
        <f t="shared" si="16"/>
        <v>1.0522331266747544</v>
      </c>
      <c r="N54">
        <f t="shared" si="17"/>
        <v>2004</v>
      </c>
      <c r="O54" s="2">
        <f t="shared" si="18"/>
        <v>6708.9969718549992</v>
      </c>
      <c r="P54" s="2"/>
      <c r="Q54" s="2"/>
      <c r="R54">
        <f t="shared" si="19"/>
        <v>2004</v>
      </c>
      <c r="S54" s="2">
        <f t="shared" si="20"/>
        <v>153639.59938396828</v>
      </c>
      <c r="T54" s="2"/>
      <c r="U54" s="2"/>
      <c r="V54" s="2"/>
      <c r="W54" s="2"/>
      <c r="X54" s="2"/>
      <c r="Y54" s="2">
        <f t="shared" si="21"/>
        <v>96256.858416679432</v>
      </c>
      <c r="Z54" s="2">
        <f t="shared" si="22"/>
        <v>249896.45780064771</v>
      </c>
      <c r="AA54" s="2">
        <f t="shared" si="23"/>
        <v>12606.412699387583</v>
      </c>
      <c r="AB54" s="6">
        <f t="shared" si="24"/>
        <v>5.3126597426402689E-2</v>
      </c>
      <c r="AC54" s="7">
        <f t="shared" si="25"/>
        <v>1.0531265974264028</v>
      </c>
      <c r="AD54" s="2">
        <f t="shared" si="26"/>
        <v>0</v>
      </c>
      <c r="AE54" s="2"/>
      <c r="AG54">
        <f t="shared" si="27"/>
        <v>2004</v>
      </c>
      <c r="AH54" s="6">
        <f t="shared" si="5"/>
        <v>0.61481303391075937</v>
      </c>
      <c r="AI54" s="7"/>
      <c r="AJ54" s="6">
        <f t="shared" si="44"/>
        <v>0</v>
      </c>
      <c r="AK54" s="6">
        <f t="shared" si="44"/>
        <v>0</v>
      </c>
      <c r="AL54" s="7"/>
      <c r="AM54" s="38">
        <f t="shared" si="28"/>
        <v>0</v>
      </c>
      <c r="AN54" s="38">
        <f t="shared" si="29"/>
        <v>0.38518696608924058</v>
      </c>
      <c r="AO54" s="6">
        <f t="shared" si="30"/>
        <v>1</v>
      </c>
      <c r="AP54" s="7">
        <f t="shared" si="31"/>
        <v>0.61481303391075937</v>
      </c>
      <c r="AQ54" s="7">
        <f t="shared" si="32"/>
        <v>0</v>
      </c>
      <c r="AR54" s="24"/>
      <c r="AS54">
        <f t="shared" si="33"/>
        <v>2004</v>
      </c>
      <c r="AT54" s="1" t="b">
        <f t="shared" si="34"/>
        <v>0</v>
      </c>
      <c r="AU54" s="1"/>
      <c r="AV54" s="1" t="b">
        <f t="shared" si="47"/>
        <v>0</v>
      </c>
      <c r="AW54" s="1" t="b">
        <f t="shared" si="48"/>
        <v>0</v>
      </c>
      <c r="AX54" s="1"/>
      <c r="AY54" s="1" t="b">
        <f t="shared" si="42"/>
        <v>0</v>
      </c>
      <c r="AZ54" s="39" t="b">
        <f t="shared" si="36"/>
        <v>0</v>
      </c>
      <c r="BA54" s="1" t="b">
        <f t="shared" si="37"/>
        <v>1</v>
      </c>
      <c r="BC54">
        <f t="shared" si="38"/>
        <v>2004</v>
      </c>
      <c r="BD54" s="2">
        <f t="shared" si="49"/>
        <v>149937.87468038863</v>
      </c>
      <c r="BE54" s="2"/>
      <c r="BF54" s="2">
        <f t="shared" si="45"/>
        <v>0</v>
      </c>
      <c r="BG54" s="2">
        <f t="shared" si="45"/>
        <v>0</v>
      </c>
      <c r="BH54" s="2"/>
      <c r="BI54" s="2">
        <f t="shared" si="50"/>
        <v>0</v>
      </c>
      <c r="BJ54" s="2">
        <f t="shared" si="10"/>
        <v>99958.583120259093</v>
      </c>
      <c r="BK54" s="2">
        <f t="shared" si="39"/>
        <v>249896.45780064771</v>
      </c>
      <c r="BL54" s="2">
        <f t="shared" si="40"/>
        <v>0</v>
      </c>
      <c r="BM54" s="2"/>
    </row>
    <row r="55" spans="1:65" x14ac:dyDescent="0.2">
      <c r="A55">
        <f t="shared" si="6"/>
        <v>2005</v>
      </c>
      <c r="B55" s="2">
        <f t="shared" si="11"/>
        <v>157089.91130264319</v>
      </c>
      <c r="C55" s="2"/>
      <c r="D55" s="2">
        <f t="shared" si="46"/>
        <v>0</v>
      </c>
      <c r="E55" s="2">
        <f t="shared" si="46"/>
        <v>0</v>
      </c>
      <c r="F55" s="2"/>
      <c r="G55" s="2">
        <f t="shared" si="43"/>
        <v>0</v>
      </c>
      <c r="H55" s="2">
        <f t="shared" si="13"/>
        <v>102357.58911514531</v>
      </c>
      <c r="I55" s="2">
        <f t="shared" si="41"/>
        <v>259447.50041778851</v>
      </c>
      <c r="J55" s="2">
        <f t="shared" si="14"/>
        <v>2842.0456452858052</v>
      </c>
      <c r="K55" s="6">
        <f t="shared" si="15"/>
        <v>1.1075546495320851E-2</v>
      </c>
      <c r="L55" s="7">
        <f t="shared" si="16"/>
        <v>1.0110755464953209</v>
      </c>
      <c r="N55">
        <f t="shared" si="17"/>
        <v>2005</v>
      </c>
      <c r="O55" s="2">
        <f t="shared" si="18"/>
        <v>6930.3938719262133</v>
      </c>
      <c r="P55" s="2"/>
      <c r="Q55" s="2"/>
      <c r="R55">
        <f t="shared" si="19"/>
        <v>2005</v>
      </c>
      <c r="S55" s="2">
        <f t="shared" si="20"/>
        <v>152931.67497948746</v>
      </c>
      <c r="T55" s="2"/>
      <c r="U55" s="2"/>
      <c r="V55" s="2"/>
      <c r="W55" s="2"/>
      <c r="X55" s="2"/>
      <c r="Y55" s="2">
        <f t="shared" si="21"/>
        <v>99585.431566374828</v>
      </c>
      <c r="Z55" s="2">
        <f t="shared" si="22"/>
        <v>252517.10654586228</v>
      </c>
      <c r="AA55" s="2">
        <f t="shared" si="23"/>
        <v>2620.6487452145666</v>
      </c>
      <c r="AB55" s="6">
        <f t="shared" si="24"/>
        <v>1.0486938343500498E-2</v>
      </c>
      <c r="AC55" s="7">
        <f t="shared" si="25"/>
        <v>1.0104869383435005</v>
      </c>
      <c r="AD55" s="2">
        <f t="shared" si="26"/>
        <v>0</v>
      </c>
      <c r="AE55" s="2"/>
      <c r="AG55">
        <f t="shared" si="27"/>
        <v>2005</v>
      </c>
      <c r="AH55" s="6">
        <f t="shared" ref="AH55:AH64" si="51">S55/$Z55</f>
        <v>0.60562896934553601</v>
      </c>
      <c r="AI55" s="7"/>
      <c r="AJ55" s="6">
        <f t="shared" si="44"/>
        <v>0</v>
      </c>
      <c r="AK55" s="6">
        <f t="shared" si="44"/>
        <v>0</v>
      </c>
      <c r="AL55" s="7"/>
      <c r="AM55" s="6">
        <f t="shared" si="28"/>
        <v>0</v>
      </c>
      <c r="AN55" s="38">
        <f t="shared" si="29"/>
        <v>0.39437103065446411</v>
      </c>
      <c r="AO55" s="6">
        <f t="shared" si="30"/>
        <v>1</v>
      </c>
      <c r="AP55" s="7">
        <f t="shared" si="31"/>
        <v>0.60562896934553601</v>
      </c>
      <c r="AQ55" s="7">
        <f t="shared" si="32"/>
        <v>0</v>
      </c>
      <c r="AR55" s="24"/>
      <c r="AS55">
        <f t="shared" si="33"/>
        <v>2005</v>
      </c>
      <c r="AT55" s="1" t="b">
        <f t="shared" si="34"/>
        <v>0</v>
      </c>
      <c r="AV55" s="1" t="b">
        <f t="shared" si="47"/>
        <v>0</v>
      </c>
      <c r="AW55" s="1" t="b">
        <f t="shared" si="48"/>
        <v>0</v>
      </c>
      <c r="AY55" s="1" t="b">
        <f t="shared" si="42"/>
        <v>0</v>
      </c>
      <c r="AZ55" s="39" t="b">
        <f t="shared" si="36"/>
        <v>0</v>
      </c>
      <c r="BA55" s="1" t="b">
        <f t="shared" si="37"/>
        <v>1</v>
      </c>
      <c r="BC55">
        <f t="shared" si="38"/>
        <v>2005</v>
      </c>
      <c r="BD55" s="2">
        <f t="shared" si="49"/>
        <v>151510.26392751737</v>
      </c>
      <c r="BE55" s="2"/>
      <c r="BF55" s="2">
        <f t="shared" si="45"/>
        <v>0</v>
      </c>
      <c r="BG55" s="2">
        <f t="shared" si="45"/>
        <v>0</v>
      </c>
      <c r="BH55" s="2"/>
      <c r="BI55" s="2">
        <f t="shared" si="50"/>
        <v>0</v>
      </c>
      <c r="BJ55" s="2">
        <f t="shared" si="10"/>
        <v>101006.84261834492</v>
      </c>
      <c r="BK55" s="2">
        <f t="shared" si="39"/>
        <v>252517.10654586228</v>
      </c>
      <c r="BL55" s="2">
        <f t="shared" si="40"/>
        <v>0</v>
      </c>
      <c r="BM55" s="2"/>
    </row>
    <row r="56" spans="1:65" x14ac:dyDescent="0.2">
      <c r="A56">
        <f t="shared" si="6"/>
        <v>2006</v>
      </c>
      <c r="B56" s="2">
        <f t="shared" si="11"/>
        <v>175206.46920578109</v>
      </c>
      <c r="C56" s="2"/>
      <c r="D56" s="2">
        <f t="shared" si="46"/>
        <v>0</v>
      </c>
      <c r="E56" s="2">
        <f t="shared" si="46"/>
        <v>0</v>
      </c>
      <c r="F56" s="2"/>
      <c r="G56" s="2">
        <f t="shared" si="43"/>
        <v>0</v>
      </c>
      <c r="H56" s="2">
        <f t="shared" si="13"/>
        <v>105319.83479814824</v>
      </c>
      <c r="I56" s="2">
        <f t="shared" si="41"/>
        <v>280526.30400392931</v>
      </c>
      <c r="J56" s="2">
        <f>I56-I55</f>
        <v>21078.803586140799</v>
      </c>
      <c r="K56" s="6">
        <f>(J56/I55)</f>
        <v>8.1244966909288327E-2</v>
      </c>
      <c r="L56" s="7">
        <f t="shared" si="16"/>
        <v>1.0812449669092883</v>
      </c>
      <c r="N56">
        <f t="shared" si="17"/>
        <v>2006</v>
      </c>
      <c r="O56" s="2">
        <f t="shared" si="18"/>
        <v>7159.0968696997779</v>
      </c>
      <c r="P56" s="2"/>
      <c r="Q56" s="2"/>
      <c r="R56">
        <f t="shared" si="19"/>
        <v>2006</v>
      </c>
      <c r="S56" s="2">
        <f t="shared" si="20"/>
        <v>170911.01108396123</v>
      </c>
      <c r="T56" s="2"/>
      <c r="U56" s="2"/>
      <c r="V56" s="2"/>
      <c r="W56" s="2"/>
      <c r="X56" s="2"/>
      <c r="Y56" s="2">
        <f t="shared" si="21"/>
        <v>102456.19605026832</v>
      </c>
      <c r="Z56" s="2">
        <f t="shared" si="22"/>
        <v>273367.20713422954</v>
      </c>
      <c r="AA56" s="2">
        <f>Z56-Z55</f>
        <v>20850.100588367262</v>
      </c>
      <c r="AB56" s="6">
        <f>(AA56/Z55)</f>
        <v>8.2569061849203693E-2</v>
      </c>
      <c r="AC56" s="7">
        <f t="shared" si="25"/>
        <v>1.0825690618492037</v>
      </c>
      <c r="AD56" s="2">
        <f t="shared" si="26"/>
        <v>0</v>
      </c>
      <c r="AE56" s="2"/>
      <c r="AG56">
        <f t="shared" si="27"/>
        <v>2006</v>
      </c>
      <c r="AH56" s="6">
        <f t="shared" si="51"/>
        <v>0.62520670593836092</v>
      </c>
      <c r="AI56" s="7"/>
      <c r="AJ56" s="6">
        <f t="shared" si="44"/>
        <v>0</v>
      </c>
      <c r="AK56" s="6">
        <f t="shared" si="44"/>
        <v>0</v>
      </c>
      <c r="AL56" s="7"/>
      <c r="AM56" s="6">
        <f t="shared" si="28"/>
        <v>0</v>
      </c>
      <c r="AN56" s="6">
        <f t="shared" si="29"/>
        <v>0.37479329406163919</v>
      </c>
      <c r="AO56" s="6">
        <f t="shared" si="30"/>
        <v>1</v>
      </c>
      <c r="AP56" s="7">
        <f t="shared" si="31"/>
        <v>0.62520670593836092</v>
      </c>
      <c r="AQ56" s="7">
        <f t="shared" si="32"/>
        <v>0</v>
      </c>
      <c r="AR56" s="24"/>
      <c r="AS56">
        <f t="shared" si="33"/>
        <v>2006</v>
      </c>
      <c r="AT56" s="1" t="b">
        <f t="shared" si="34"/>
        <v>0</v>
      </c>
      <c r="AV56" s="1" t="b">
        <f t="shared" si="47"/>
        <v>0</v>
      </c>
      <c r="AW56" s="1" t="b">
        <f t="shared" si="48"/>
        <v>0</v>
      </c>
      <c r="AY56" s="1" t="b">
        <f t="shared" si="42"/>
        <v>0</v>
      </c>
      <c r="AZ56" s="1" t="b">
        <f t="shared" si="36"/>
        <v>0</v>
      </c>
      <c r="BA56" s="1" t="b">
        <f t="shared" si="37"/>
        <v>1</v>
      </c>
      <c r="BC56">
        <f t="shared" si="38"/>
        <v>2006</v>
      </c>
      <c r="BD56" s="2">
        <f t="shared" si="49"/>
        <v>164020.32428053772</v>
      </c>
      <c r="BE56" s="2"/>
      <c r="BF56" s="2">
        <f t="shared" si="45"/>
        <v>0</v>
      </c>
      <c r="BG56" s="2">
        <f t="shared" si="45"/>
        <v>0</v>
      </c>
      <c r="BH56" s="2"/>
      <c r="BI56" s="2">
        <f t="shared" si="50"/>
        <v>0</v>
      </c>
      <c r="BJ56" s="2">
        <f t="shared" si="10"/>
        <v>109346.88285369182</v>
      </c>
      <c r="BK56" s="2">
        <f t="shared" si="39"/>
        <v>273367.20713422954</v>
      </c>
      <c r="BL56" s="2">
        <f t="shared" si="40"/>
        <v>0</v>
      </c>
      <c r="BM56" s="2"/>
    </row>
    <row r="57" spans="1:65" x14ac:dyDescent="0.2">
      <c r="A57">
        <f t="shared" si="6"/>
        <v>2007</v>
      </c>
      <c r="B57" s="2">
        <f t="shared" ref="B57:B64" si="52">BD56*(1+(B21/100))</f>
        <v>172861.01975925872</v>
      </c>
      <c r="C57" s="2"/>
      <c r="D57" s="2">
        <f t="shared" si="46"/>
        <v>0</v>
      </c>
      <c r="E57" s="2">
        <f t="shared" si="46"/>
        <v>0</v>
      </c>
      <c r="F57" s="2"/>
      <c r="G57" s="2">
        <f t="shared" si="43"/>
        <v>0</v>
      </c>
      <c r="H57" s="2">
        <f t="shared" si="13"/>
        <v>116913.68714716728</v>
      </c>
      <c r="I57" s="2">
        <f t="shared" si="41"/>
        <v>289774.706906426</v>
      </c>
      <c r="J57" s="2">
        <f t="shared" si="14"/>
        <v>9248.4029024966876</v>
      </c>
      <c r="K57" s="6">
        <f t="shared" si="15"/>
        <v>3.2968041750434732E-2</v>
      </c>
      <c r="L57" s="7">
        <f t="shared" si="16"/>
        <v>1.0329680417504348</v>
      </c>
      <c r="N57">
        <f t="shared" si="17"/>
        <v>2007</v>
      </c>
      <c r="O57" s="2">
        <f t="shared" si="18"/>
        <v>7338.0742914422717</v>
      </c>
      <c r="P57" s="2"/>
      <c r="Q57" s="2"/>
      <c r="R57">
        <f t="shared" si="19"/>
        <v>2007</v>
      </c>
      <c r="S57" s="2">
        <f t="shared" si="20"/>
        <v>168458.17518439336</v>
      </c>
      <c r="T57" s="2"/>
      <c r="U57" s="2"/>
      <c r="V57" s="2"/>
      <c r="W57" s="2"/>
      <c r="X57" s="2"/>
      <c r="Y57" s="2">
        <f t="shared" si="21"/>
        <v>113978.45743059037</v>
      </c>
      <c r="Z57" s="2">
        <f t="shared" si="22"/>
        <v>282436.63261498371</v>
      </c>
      <c r="AA57" s="2">
        <f t="shared" ref="AA57:AA64" si="53">Z57-Z56</f>
        <v>9069.4254807541729</v>
      </c>
      <c r="AB57" s="6">
        <f t="shared" ref="AB57:AB64" si="54">(AA57/Z56)</f>
        <v>3.317671338794078E-2</v>
      </c>
      <c r="AC57" s="7">
        <f t="shared" si="25"/>
        <v>1.0331767133879408</v>
      </c>
      <c r="AD57" s="2">
        <f t="shared" si="26"/>
        <v>0</v>
      </c>
      <c r="AE57" s="2"/>
      <c r="AG57">
        <f t="shared" si="27"/>
        <v>2007</v>
      </c>
      <c r="AH57" s="6">
        <f t="shared" si="51"/>
        <v>0.59644591292813898</v>
      </c>
      <c r="AI57" s="7"/>
      <c r="AJ57" s="6">
        <f t="shared" si="44"/>
        <v>0</v>
      </c>
      <c r="AK57" s="6">
        <f t="shared" si="44"/>
        <v>0</v>
      </c>
      <c r="AL57" s="7"/>
      <c r="AM57" s="6">
        <f t="shared" ref="AM57:AM64" si="55">X57/$Z57</f>
        <v>0</v>
      </c>
      <c r="AN57" s="6">
        <f t="shared" si="29"/>
        <v>0.40355408707186102</v>
      </c>
      <c r="AO57" s="6">
        <f t="shared" si="30"/>
        <v>1</v>
      </c>
      <c r="AP57" s="7">
        <f t="shared" si="31"/>
        <v>0.59644591292813898</v>
      </c>
      <c r="AQ57" s="7">
        <f t="shared" si="32"/>
        <v>0</v>
      </c>
      <c r="AR57" s="24"/>
      <c r="AS57">
        <f t="shared" si="33"/>
        <v>2007</v>
      </c>
      <c r="AT57" s="1" t="b">
        <f t="shared" si="34"/>
        <v>0</v>
      </c>
      <c r="AV57" s="1" t="b">
        <f t="shared" si="47"/>
        <v>0</v>
      </c>
      <c r="AW57" s="1" t="b">
        <f t="shared" si="48"/>
        <v>0</v>
      </c>
      <c r="AY57" s="1" t="b">
        <f t="shared" si="42"/>
        <v>0</v>
      </c>
      <c r="AZ57" s="1" t="b">
        <f t="shared" si="36"/>
        <v>0</v>
      </c>
      <c r="BA57" s="1" t="b">
        <f t="shared" si="37"/>
        <v>1</v>
      </c>
      <c r="BC57">
        <f t="shared" si="38"/>
        <v>2007</v>
      </c>
      <c r="BD57" s="2">
        <f t="shared" si="49"/>
        <v>169461.97956899021</v>
      </c>
      <c r="BE57" s="2"/>
      <c r="BF57" s="2">
        <f t="shared" si="45"/>
        <v>0</v>
      </c>
      <c r="BG57" s="2">
        <f t="shared" si="45"/>
        <v>0</v>
      </c>
      <c r="BH57" s="2"/>
      <c r="BI57" s="2">
        <f t="shared" si="50"/>
        <v>0</v>
      </c>
      <c r="BJ57" s="2">
        <f t="shared" si="10"/>
        <v>112974.65304599349</v>
      </c>
      <c r="BK57" s="2">
        <f t="shared" si="39"/>
        <v>282436.63261498371</v>
      </c>
      <c r="BL57" s="2">
        <f t="shared" si="40"/>
        <v>0</v>
      </c>
      <c r="BM57" s="2"/>
    </row>
    <row r="58" spans="1:65" x14ac:dyDescent="0.2">
      <c r="A58">
        <f t="shared" si="6"/>
        <v>2008</v>
      </c>
      <c r="B58" s="2">
        <f t="shared" si="52"/>
        <v>106727.15473255001</v>
      </c>
      <c r="C58" s="2"/>
      <c r="D58" s="2">
        <f t="shared" si="46"/>
        <v>0</v>
      </c>
      <c r="E58" s="2">
        <f t="shared" si="46"/>
        <v>0</v>
      </c>
      <c r="F58" s="2"/>
      <c r="G58" s="2">
        <f t="shared" si="43"/>
        <v>0</v>
      </c>
      <c r="H58" s="2">
        <f t="shared" si="13"/>
        <v>118679.87302481616</v>
      </c>
      <c r="I58" s="2">
        <f t="shared" si="41"/>
        <v>225407.02775736619</v>
      </c>
      <c r="J58" s="2">
        <f t="shared" si="14"/>
        <v>-64367.679149059812</v>
      </c>
      <c r="K58" s="6">
        <f t="shared" si="15"/>
        <v>-0.22213008111106611</v>
      </c>
      <c r="L58" s="7">
        <f t="shared" si="16"/>
        <v>0.77786991888893386</v>
      </c>
      <c r="N58">
        <f t="shared" si="17"/>
        <v>2008</v>
      </c>
      <c r="O58" s="2">
        <f t="shared" si="18"/>
        <v>7638.9353373914046</v>
      </c>
      <c r="P58" s="2"/>
      <c r="Q58" s="2"/>
      <c r="R58">
        <f t="shared" si="19"/>
        <v>2008</v>
      </c>
      <c r="S58" s="2">
        <f t="shared" si="20"/>
        <v>102143.79353011517</v>
      </c>
      <c r="T58" s="2"/>
      <c r="U58" s="2"/>
      <c r="V58" s="2"/>
      <c r="W58" s="2"/>
      <c r="X58" s="2"/>
      <c r="Y58" s="2">
        <f t="shared" si="21"/>
        <v>115624.29888985959</v>
      </c>
      <c r="Z58" s="2">
        <f t="shared" si="22"/>
        <v>217768.09241997477</v>
      </c>
      <c r="AA58" s="2">
        <f t="shared" si="53"/>
        <v>-64668.540195008944</v>
      </c>
      <c r="AB58" s="6">
        <f t="shared" si="54"/>
        <v>-0.22896654586292561</v>
      </c>
      <c r="AC58" s="7">
        <f t="shared" si="25"/>
        <v>0.77103345413707436</v>
      </c>
      <c r="AD58" s="2">
        <f t="shared" si="26"/>
        <v>0</v>
      </c>
      <c r="AE58" s="2"/>
      <c r="AG58">
        <f t="shared" si="27"/>
        <v>2008</v>
      </c>
      <c r="AH58" s="6">
        <f t="shared" si="51"/>
        <v>0.46904848361864993</v>
      </c>
      <c r="AI58" s="7"/>
      <c r="AJ58" s="6">
        <f t="shared" si="44"/>
        <v>0</v>
      </c>
      <c r="AK58" s="6">
        <f t="shared" si="44"/>
        <v>0</v>
      </c>
      <c r="AL58" s="7"/>
      <c r="AM58" s="38">
        <f t="shared" si="55"/>
        <v>0</v>
      </c>
      <c r="AN58" s="38">
        <f t="shared" si="29"/>
        <v>0.53095151638135007</v>
      </c>
      <c r="AO58" s="6">
        <f t="shared" si="30"/>
        <v>1</v>
      </c>
      <c r="AP58" s="7">
        <f t="shared" si="31"/>
        <v>0.46904848361864993</v>
      </c>
      <c r="AQ58" s="7">
        <f t="shared" si="32"/>
        <v>0</v>
      </c>
      <c r="AR58" s="24"/>
      <c r="AS58">
        <f t="shared" si="33"/>
        <v>2008</v>
      </c>
      <c r="AT58" s="1" t="b">
        <f t="shared" si="34"/>
        <v>0</v>
      </c>
      <c r="AV58" s="1" t="b">
        <f t="shared" si="47"/>
        <v>0</v>
      </c>
      <c r="AW58" s="1" t="b">
        <f t="shared" si="48"/>
        <v>0</v>
      </c>
      <c r="AY58" s="1" t="b">
        <f t="shared" si="42"/>
        <v>0</v>
      </c>
      <c r="AZ58" s="1" t="b">
        <f t="shared" si="36"/>
        <v>0</v>
      </c>
      <c r="BA58" s="1" t="b">
        <f t="shared" si="37"/>
        <v>1</v>
      </c>
      <c r="BC58">
        <f t="shared" si="38"/>
        <v>2008</v>
      </c>
      <c r="BD58" s="2">
        <f t="shared" si="49"/>
        <v>130660.85545198485</v>
      </c>
      <c r="BE58" s="2"/>
      <c r="BF58" s="2">
        <f t="shared" si="45"/>
        <v>0</v>
      </c>
      <c r="BG58" s="2">
        <f t="shared" si="45"/>
        <v>0</v>
      </c>
      <c r="BH58" s="2"/>
      <c r="BI58" s="2">
        <f t="shared" si="50"/>
        <v>0</v>
      </c>
      <c r="BJ58" s="2">
        <f t="shared" si="10"/>
        <v>87107.236967989913</v>
      </c>
      <c r="BK58" s="2">
        <f t="shared" si="39"/>
        <v>217768.09241997477</v>
      </c>
      <c r="BL58" s="2">
        <f t="shared" si="40"/>
        <v>0</v>
      </c>
      <c r="BM58" s="2"/>
    </row>
    <row r="59" spans="1:65" x14ac:dyDescent="0.2">
      <c r="A59">
        <f t="shared" si="6"/>
        <v>2009</v>
      </c>
      <c r="B59" s="2">
        <f t="shared" si="52"/>
        <v>165272.91606121563</v>
      </c>
      <c r="C59" s="2"/>
      <c r="D59" s="2">
        <f t="shared" si="46"/>
        <v>0</v>
      </c>
      <c r="E59" s="2">
        <f t="shared" si="46"/>
        <v>0</v>
      </c>
      <c r="F59" s="2"/>
      <c r="G59" s="2">
        <f t="shared" si="43"/>
        <v>0</v>
      </c>
      <c r="H59" s="2">
        <f t="shared" si="13"/>
        <v>92272.6961201917</v>
      </c>
      <c r="I59" s="2">
        <f t="shared" si="41"/>
        <v>257545.61218140734</v>
      </c>
      <c r="J59" s="2">
        <f t="shared" si="14"/>
        <v>32138.584424041153</v>
      </c>
      <c r="K59" s="6">
        <f t="shared" si="15"/>
        <v>0.14258022362388778</v>
      </c>
      <c r="L59" s="7">
        <f t="shared" si="16"/>
        <v>1.1425802236238878</v>
      </c>
      <c r="N59">
        <f t="shared" si="17"/>
        <v>2009</v>
      </c>
      <c r="O59" s="2">
        <f t="shared" si="18"/>
        <v>7638.9353373914046</v>
      </c>
      <c r="P59" s="2"/>
      <c r="Q59" s="2"/>
      <c r="R59">
        <f t="shared" si="19"/>
        <v>2009</v>
      </c>
      <c r="S59" s="2">
        <f t="shared" si="20"/>
        <v>160689.55485878079</v>
      </c>
      <c r="T59" s="2"/>
      <c r="U59" s="2"/>
      <c r="V59" s="2"/>
      <c r="W59" s="2"/>
      <c r="X59" s="2"/>
      <c r="Y59" s="2">
        <f t="shared" si="21"/>
        <v>89217.121985235135</v>
      </c>
      <c r="Z59" s="2">
        <f t="shared" si="22"/>
        <v>249906.67684401592</v>
      </c>
      <c r="AA59" s="2">
        <f t="shared" si="53"/>
        <v>32138.584424041153</v>
      </c>
      <c r="AB59" s="6">
        <f t="shared" si="54"/>
        <v>0.14758169604599633</v>
      </c>
      <c r="AC59" s="7">
        <f t="shared" si="25"/>
        <v>1.1475816960459964</v>
      </c>
      <c r="AD59" s="2">
        <f t="shared" si="26"/>
        <v>0</v>
      </c>
      <c r="AE59" s="2"/>
      <c r="AG59">
        <f t="shared" si="27"/>
        <v>2009</v>
      </c>
      <c r="AH59" s="6">
        <f t="shared" si="51"/>
        <v>0.64299824593753563</v>
      </c>
      <c r="AI59" s="7"/>
      <c r="AJ59" s="6">
        <f t="shared" si="44"/>
        <v>0</v>
      </c>
      <c r="AK59" s="6">
        <f t="shared" si="44"/>
        <v>0</v>
      </c>
      <c r="AL59" s="7"/>
      <c r="AM59" s="6">
        <f t="shared" si="55"/>
        <v>0</v>
      </c>
      <c r="AN59" s="6">
        <f t="shared" si="29"/>
        <v>0.35700175406246437</v>
      </c>
      <c r="AO59" s="6">
        <f t="shared" si="30"/>
        <v>1</v>
      </c>
      <c r="AP59" s="7">
        <f t="shared" si="31"/>
        <v>0.64299824593753563</v>
      </c>
      <c r="AQ59" s="7">
        <f t="shared" si="32"/>
        <v>0</v>
      </c>
      <c r="AR59" s="24"/>
      <c r="AS59">
        <f t="shared" si="33"/>
        <v>2009</v>
      </c>
      <c r="AT59" s="1" t="b">
        <f t="shared" si="34"/>
        <v>0</v>
      </c>
      <c r="AV59" s="1" t="b">
        <f t="shared" si="47"/>
        <v>0</v>
      </c>
      <c r="AW59" s="1" t="b">
        <f t="shared" si="48"/>
        <v>0</v>
      </c>
      <c r="AY59" s="1" t="b">
        <f t="shared" si="42"/>
        <v>0</v>
      </c>
      <c r="AZ59" s="1" t="b">
        <f t="shared" si="36"/>
        <v>0</v>
      </c>
      <c r="BA59" s="1" t="b">
        <f t="shared" si="37"/>
        <v>1</v>
      </c>
      <c r="BC59">
        <f t="shared" si="38"/>
        <v>2009</v>
      </c>
      <c r="BD59" s="2">
        <f t="shared" si="49"/>
        <v>149944.00610640954</v>
      </c>
      <c r="BE59" s="2"/>
      <c r="BF59" s="2">
        <f t="shared" si="45"/>
        <v>0</v>
      </c>
      <c r="BG59" s="2">
        <f t="shared" si="45"/>
        <v>0</v>
      </c>
      <c r="BH59" s="2"/>
      <c r="BI59" s="2">
        <f t="shared" si="50"/>
        <v>0</v>
      </c>
      <c r="BJ59" s="2">
        <f t="shared" si="10"/>
        <v>99962.670737606371</v>
      </c>
      <c r="BK59" s="2">
        <f t="shared" si="39"/>
        <v>249906.67684401592</v>
      </c>
      <c r="BL59" s="2">
        <f t="shared" si="40"/>
        <v>0</v>
      </c>
      <c r="BM59" s="2"/>
    </row>
    <row r="60" spans="1:65" x14ac:dyDescent="0.2">
      <c r="A60">
        <f t="shared" si="6"/>
        <v>2010</v>
      </c>
      <c r="B60" s="2">
        <f t="shared" si="52"/>
        <v>172300.65741687521</v>
      </c>
      <c r="C60" s="2"/>
      <c r="D60" s="2">
        <f t="shared" si="46"/>
        <v>0</v>
      </c>
      <c r="E60" s="2">
        <f t="shared" si="46"/>
        <v>0</v>
      </c>
      <c r="F60" s="2"/>
      <c r="G60" s="2">
        <f t="shared" si="43"/>
        <v>0</v>
      </c>
      <c r="H60" s="2">
        <f t="shared" si="13"/>
        <v>106380.2741989607</v>
      </c>
      <c r="I60" s="2">
        <f t="shared" si="41"/>
        <v>278680.93161583593</v>
      </c>
      <c r="J60" s="2">
        <f t="shared" si="14"/>
        <v>21135.319434428588</v>
      </c>
      <c r="K60" s="6">
        <f t="shared" si="15"/>
        <v>8.2064373977924765E-2</v>
      </c>
      <c r="L60" s="7">
        <f t="shared" si="16"/>
        <v>1.0820643739779248</v>
      </c>
      <c r="N60">
        <f t="shared" si="17"/>
        <v>2010</v>
      </c>
      <c r="O60" s="2">
        <f t="shared" si="18"/>
        <v>7852.8255268383637</v>
      </c>
      <c r="P60" s="2"/>
      <c r="Q60" s="2"/>
      <c r="R60">
        <f t="shared" si="19"/>
        <v>2010</v>
      </c>
      <c r="S60" s="2">
        <f t="shared" si="20"/>
        <v>167588.96210077219</v>
      </c>
      <c r="T60" s="2"/>
      <c r="U60" s="2"/>
      <c r="V60" s="2"/>
      <c r="W60" s="2"/>
      <c r="X60" s="2"/>
      <c r="Y60" s="2">
        <f t="shared" si="21"/>
        <v>103239.14398822536</v>
      </c>
      <c r="Z60" s="2">
        <f t="shared" si="22"/>
        <v>270828.10608899756</v>
      </c>
      <c r="AA60" s="2">
        <f t="shared" si="53"/>
        <v>20921.429244981642</v>
      </c>
      <c r="AB60" s="6">
        <f t="shared" si="54"/>
        <v>8.3716967906544398E-2</v>
      </c>
      <c r="AC60" s="7">
        <f t="shared" si="25"/>
        <v>1.0837169679065444</v>
      </c>
      <c r="AD60" s="2">
        <f t="shared" si="26"/>
        <v>0</v>
      </c>
      <c r="AE60" s="2"/>
      <c r="AG60">
        <f t="shared" si="27"/>
        <v>2010</v>
      </c>
      <c r="AH60" s="6">
        <f t="shared" si="51"/>
        <v>0.61880195715617614</v>
      </c>
      <c r="AI60" s="7"/>
      <c r="AJ60" s="6">
        <f t="shared" si="44"/>
        <v>0</v>
      </c>
      <c r="AK60" s="6">
        <f t="shared" si="44"/>
        <v>0</v>
      </c>
      <c r="AL60" s="7"/>
      <c r="AM60" s="6">
        <f t="shared" si="55"/>
        <v>0</v>
      </c>
      <c r="AN60" s="38">
        <f t="shared" si="29"/>
        <v>0.38119804284382386</v>
      </c>
      <c r="AO60" s="6">
        <f t="shared" si="30"/>
        <v>1</v>
      </c>
      <c r="AP60" s="7">
        <f t="shared" si="31"/>
        <v>0.61880195715617614</v>
      </c>
      <c r="AQ60" s="7">
        <f t="shared" si="32"/>
        <v>0</v>
      </c>
      <c r="AR60" s="24"/>
      <c r="AS60">
        <f t="shared" si="33"/>
        <v>2010</v>
      </c>
      <c r="AT60" s="1" t="b">
        <f t="shared" si="34"/>
        <v>0</v>
      </c>
      <c r="AV60" s="1" t="b">
        <f t="shared" si="47"/>
        <v>0</v>
      </c>
      <c r="AW60" s="1" t="b">
        <f t="shared" si="48"/>
        <v>0</v>
      </c>
      <c r="AY60" s="1" t="b">
        <f t="shared" si="42"/>
        <v>0</v>
      </c>
      <c r="AZ60" s="39" t="b">
        <f t="shared" si="36"/>
        <v>0</v>
      </c>
      <c r="BA60" s="1" t="b">
        <f t="shared" si="37"/>
        <v>1</v>
      </c>
      <c r="BC60">
        <f t="shared" si="38"/>
        <v>2010</v>
      </c>
      <c r="BD60" s="2">
        <f t="shared" si="49"/>
        <v>162496.86365339853</v>
      </c>
      <c r="BE60" s="2"/>
      <c r="BF60" s="2">
        <f t="shared" si="45"/>
        <v>0</v>
      </c>
      <c r="BG60" s="2">
        <f t="shared" si="45"/>
        <v>0</v>
      </c>
      <c r="BH60" s="2"/>
      <c r="BI60" s="2">
        <f t="shared" si="50"/>
        <v>0</v>
      </c>
      <c r="BJ60" s="2">
        <f t="shared" si="10"/>
        <v>108331.24243559904</v>
      </c>
      <c r="BK60" s="2">
        <f t="shared" si="39"/>
        <v>270828.10608899756</v>
      </c>
      <c r="BL60" s="2">
        <f t="shared" si="40"/>
        <v>0</v>
      </c>
      <c r="BM60" s="2"/>
    </row>
    <row r="61" spans="1:65" x14ac:dyDescent="0.2">
      <c r="A61">
        <f t="shared" si="6"/>
        <v>2011</v>
      </c>
      <c r="B61" s="2">
        <f t="shared" si="52"/>
        <v>165698.05186737049</v>
      </c>
      <c r="C61" s="2"/>
      <c r="D61" s="2">
        <f t="shared" si="46"/>
        <v>0</v>
      </c>
      <c r="E61" s="2">
        <f t="shared" si="46"/>
        <v>0</v>
      </c>
      <c r="F61" s="2"/>
      <c r="G61" s="2">
        <f t="shared" si="43"/>
        <v>0</v>
      </c>
      <c r="H61" s="2">
        <f t="shared" si="13"/>
        <v>116521.08436373033</v>
      </c>
      <c r="I61" s="2">
        <f t="shared" si="41"/>
        <v>282219.13623110083</v>
      </c>
      <c r="J61" s="2">
        <f t="shared" si="14"/>
        <v>3538.2046152648982</v>
      </c>
      <c r="K61" s="6">
        <f t="shared" si="15"/>
        <v>1.2696256592619489E-2</v>
      </c>
      <c r="L61" s="7">
        <f t="shared" si="16"/>
        <v>1.0126962565926194</v>
      </c>
      <c r="N61">
        <f t="shared" si="17"/>
        <v>2011</v>
      </c>
      <c r="O61" s="2">
        <f t="shared" si="18"/>
        <v>7962.7650842141011</v>
      </c>
      <c r="P61" s="2"/>
      <c r="Q61" s="2"/>
      <c r="R61">
        <f t="shared" si="19"/>
        <v>2011</v>
      </c>
      <c r="S61" s="2">
        <f t="shared" si="20"/>
        <v>160920.39281684204</v>
      </c>
      <c r="T61" s="2"/>
      <c r="U61" s="2"/>
      <c r="V61" s="2"/>
      <c r="W61" s="2"/>
      <c r="X61" s="2"/>
      <c r="Y61" s="2">
        <f t="shared" si="21"/>
        <v>113335.97833004469</v>
      </c>
      <c r="Z61" s="2">
        <f t="shared" si="22"/>
        <v>274256.37114688673</v>
      </c>
      <c r="AA61" s="2">
        <f t="shared" si="53"/>
        <v>3428.2650578891626</v>
      </c>
      <c r="AB61" s="6">
        <f t="shared" si="54"/>
        <v>1.265845376019648E-2</v>
      </c>
      <c r="AC61" s="7">
        <f t="shared" si="25"/>
        <v>1.0126584537601966</v>
      </c>
      <c r="AD61" s="2">
        <f t="shared" si="26"/>
        <v>0</v>
      </c>
      <c r="AE61" s="2"/>
      <c r="AG61">
        <f t="shared" si="27"/>
        <v>2011</v>
      </c>
      <c r="AH61" s="6">
        <f t="shared" si="51"/>
        <v>0.58675170295553869</v>
      </c>
      <c r="AI61" s="7"/>
      <c r="AJ61" s="6">
        <f t="shared" si="44"/>
        <v>0</v>
      </c>
      <c r="AK61" s="6">
        <f t="shared" si="44"/>
        <v>0</v>
      </c>
      <c r="AL61" s="7"/>
      <c r="AM61" s="6">
        <f t="shared" si="55"/>
        <v>0</v>
      </c>
      <c r="AN61" s="6">
        <f t="shared" si="29"/>
        <v>0.41324829704446137</v>
      </c>
      <c r="AO61" s="6">
        <f t="shared" si="30"/>
        <v>1</v>
      </c>
      <c r="AP61" s="7">
        <f t="shared" si="31"/>
        <v>0.58675170295553869</v>
      </c>
      <c r="AQ61" s="7">
        <f t="shared" si="32"/>
        <v>0</v>
      </c>
      <c r="AR61" s="24"/>
      <c r="AS61">
        <f t="shared" si="33"/>
        <v>2011</v>
      </c>
      <c r="AT61" s="1" t="b">
        <f t="shared" si="34"/>
        <v>0</v>
      </c>
      <c r="AV61" s="1" t="b">
        <f t="shared" si="47"/>
        <v>0</v>
      </c>
      <c r="AW61" s="1" t="b">
        <f t="shared" si="48"/>
        <v>0</v>
      </c>
      <c r="AY61" s="1" t="b">
        <f t="shared" si="42"/>
        <v>0</v>
      </c>
      <c r="AZ61" s="1" t="b">
        <f t="shared" si="36"/>
        <v>0</v>
      </c>
      <c r="BA61" s="1" t="b">
        <f t="shared" si="37"/>
        <v>1</v>
      </c>
      <c r="BC61">
        <f t="shared" si="38"/>
        <v>2011</v>
      </c>
      <c r="BD61" s="2">
        <f t="shared" si="49"/>
        <v>164553.82268813203</v>
      </c>
      <c r="BE61" s="2"/>
      <c r="BF61" s="2">
        <f t="shared" si="45"/>
        <v>0</v>
      </c>
      <c r="BG61" s="2">
        <f t="shared" si="45"/>
        <v>0</v>
      </c>
      <c r="BH61" s="2"/>
      <c r="BI61" s="2">
        <f t="shared" si="50"/>
        <v>0</v>
      </c>
      <c r="BJ61" s="2">
        <f t="shared" si="10"/>
        <v>109702.5484587547</v>
      </c>
      <c r="BK61" s="2">
        <f t="shared" si="39"/>
        <v>274256.37114688673</v>
      </c>
      <c r="BL61" s="2">
        <f t="shared" si="40"/>
        <v>0</v>
      </c>
      <c r="BM61" s="2"/>
    </row>
    <row r="62" spans="1:65" x14ac:dyDescent="0.2">
      <c r="A62">
        <f t="shared" si="6"/>
        <v>2012</v>
      </c>
      <c r="B62" s="2">
        <f t="shared" si="52"/>
        <v>190586.23743739451</v>
      </c>
      <c r="C62" s="2"/>
      <c r="D62" s="2">
        <f t="shared" si="46"/>
        <v>0</v>
      </c>
      <c r="E62" s="2">
        <f t="shared" si="46"/>
        <v>0</v>
      </c>
      <c r="F62" s="2"/>
      <c r="G62" s="2">
        <f t="shared" si="43"/>
        <v>0</v>
      </c>
      <c r="H62" s="2">
        <f t="shared" si="13"/>
        <v>114145.50167133426</v>
      </c>
      <c r="I62" s="2">
        <f t="shared" si="41"/>
        <v>304731.73910872877</v>
      </c>
      <c r="J62" s="2">
        <f t="shared" si="14"/>
        <v>22512.602877627942</v>
      </c>
      <c r="K62" s="6">
        <f t="shared" si="15"/>
        <v>7.9769937567922555E-2</v>
      </c>
      <c r="L62" s="7">
        <f t="shared" si="16"/>
        <v>1.0797699375679226</v>
      </c>
      <c r="N62">
        <f t="shared" si="17"/>
        <v>2012</v>
      </c>
      <c r="O62" s="2">
        <f t="shared" si="18"/>
        <v>8201.6480367405238</v>
      </c>
      <c r="P62" s="2"/>
      <c r="Q62" s="2"/>
      <c r="R62">
        <f t="shared" si="19"/>
        <v>2012</v>
      </c>
      <c r="S62" s="2">
        <f t="shared" si="20"/>
        <v>185665.2486153502</v>
      </c>
      <c r="T62" s="2"/>
      <c r="U62" s="2"/>
      <c r="V62" s="2"/>
      <c r="W62" s="2"/>
      <c r="X62" s="2"/>
      <c r="Y62" s="2">
        <f t="shared" si="21"/>
        <v>110864.84245663806</v>
      </c>
      <c r="Z62" s="2">
        <f t="shared" si="22"/>
        <v>296530.09107198822</v>
      </c>
      <c r="AA62" s="2">
        <f t="shared" si="53"/>
        <v>22273.719925101497</v>
      </c>
      <c r="AB62" s="6">
        <f t="shared" si="54"/>
        <v>8.1214958952301228E-2</v>
      </c>
      <c r="AC62" s="7">
        <f t="shared" si="25"/>
        <v>1.0812149589523012</v>
      </c>
      <c r="AD62" s="2">
        <f t="shared" si="26"/>
        <v>0</v>
      </c>
      <c r="AE62" s="2"/>
      <c r="AG62">
        <f t="shared" si="27"/>
        <v>2012</v>
      </c>
      <c r="AH62" s="6">
        <f t="shared" si="51"/>
        <v>0.62612616461334603</v>
      </c>
      <c r="AI62" s="7"/>
      <c r="AJ62" s="6">
        <f t="shared" si="44"/>
        <v>0</v>
      </c>
      <c r="AK62" s="6">
        <f t="shared" si="44"/>
        <v>0</v>
      </c>
      <c r="AL62" s="7"/>
      <c r="AM62" s="6">
        <f t="shared" si="55"/>
        <v>0</v>
      </c>
      <c r="AN62" s="38">
        <f t="shared" si="29"/>
        <v>0.37387383538665403</v>
      </c>
      <c r="AO62" s="6">
        <f t="shared" si="30"/>
        <v>1</v>
      </c>
      <c r="AP62" s="7">
        <f t="shared" si="31"/>
        <v>0.62612616461334603</v>
      </c>
      <c r="AQ62" s="7">
        <f t="shared" si="32"/>
        <v>0</v>
      </c>
      <c r="AR62" s="24"/>
      <c r="AS62">
        <f t="shared" si="33"/>
        <v>2012</v>
      </c>
      <c r="AT62" s="1" t="b">
        <f t="shared" si="34"/>
        <v>0</v>
      </c>
      <c r="AV62" s="1" t="b">
        <f t="shared" si="47"/>
        <v>0</v>
      </c>
      <c r="AW62" s="1" t="b">
        <f t="shared" si="48"/>
        <v>0</v>
      </c>
      <c r="AY62" s="1" t="b">
        <f t="shared" si="42"/>
        <v>0</v>
      </c>
      <c r="AZ62" s="1" t="b">
        <f t="shared" si="36"/>
        <v>0</v>
      </c>
      <c r="BA62" s="1" t="b">
        <f t="shared" si="37"/>
        <v>1</v>
      </c>
      <c r="BC62">
        <f t="shared" si="38"/>
        <v>2012</v>
      </c>
      <c r="BD62" s="2">
        <f t="shared" si="49"/>
        <v>177918.05464319294</v>
      </c>
      <c r="BE62" s="2"/>
      <c r="BF62" s="2">
        <f t="shared" si="45"/>
        <v>0</v>
      </c>
      <c r="BG62" s="2">
        <f t="shared" si="45"/>
        <v>0</v>
      </c>
      <c r="BH62" s="2"/>
      <c r="BI62" s="2">
        <f t="shared" si="50"/>
        <v>0</v>
      </c>
      <c r="BJ62" s="2">
        <f t="shared" si="10"/>
        <v>118612.0364287953</v>
      </c>
      <c r="BK62" s="2">
        <f t="shared" si="39"/>
        <v>296530.09107198822</v>
      </c>
      <c r="BL62" s="2">
        <f t="shared" si="40"/>
        <v>0</v>
      </c>
      <c r="BM62" s="2"/>
    </row>
    <row r="63" spans="1:65" x14ac:dyDescent="0.2">
      <c r="A63">
        <f t="shared" si="6"/>
        <v>2013</v>
      </c>
      <c r="B63" s="2">
        <f t="shared" si="52"/>
        <v>235172.08462737245</v>
      </c>
      <c r="C63" s="2"/>
      <c r="D63" s="2">
        <f t="shared" si="46"/>
        <v>0</v>
      </c>
      <c r="E63" s="2">
        <f t="shared" si="46"/>
        <v>0</v>
      </c>
      <c r="F63" s="2"/>
      <c r="G63" s="2">
        <f t="shared" si="43"/>
        <v>0</v>
      </c>
      <c r="H63" s="2">
        <f t="shared" si="13"/>
        <v>115931.40440550452</v>
      </c>
      <c r="I63" s="2">
        <f t="shared" si="41"/>
        <v>351103.48903287697</v>
      </c>
      <c r="J63" s="2">
        <f t="shared" si="14"/>
        <v>46371.7499241482</v>
      </c>
      <c r="K63" s="6">
        <f t="shared" si="15"/>
        <v>0.15217236661916167</v>
      </c>
      <c r="L63" s="7">
        <f t="shared" si="16"/>
        <v>1.1521723666191617</v>
      </c>
      <c r="N63">
        <f t="shared" si="17"/>
        <v>2013</v>
      </c>
      <c r="O63" s="2">
        <f t="shared" si="18"/>
        <v>8349.2777014018538</v>
      </c>
      <c r="P63" s="2"/>
      <c r="Q63" s="2"/>
      <c r="R63">
        <f t="shared" si="19"/>
        <v>2013</v>
      </c>
      <c r="S63" s="2">
        <f t="shared" si="20"/>
        <v>230162.51800653135</v>
      </c>
      <c r="T63" s="2"/>
      <c r="U63" s="2"/>
      <c r="V63" s="2"/>
      <c r="W63" s="2"/>
      <c r="X63" s="2"/>
      <c r="Y63" s="2">
        <f t="shared" si="21"/>
        <v>112591.69332494379</v>
      </c>
      <c r="Z63" s="2">
        <f t="shared" si="22"/>
        <v>342754.21133147512</v>
      </c>
      <c r="AA63" s="2">
        <f t="shared" si="53"/>
        <v>46224.120259486896</v>
      </c>
      <c r="AB63" s="6">
        <f t="shared" si="54"/>
        <v>0.15588340492656824</v>
      </c>
      <c r="AC63" s="7">
        <f t="shared" si="25"/>
        <v>1.1558834049265683</v>
      </c>
      <c r="AD63" s="2">
        <f t="shared" si="26"/>
        <v>0</v>
      </c>
      <c r="AE63" s="2"/>
      <c r="AG63">
        <f t="shared" si="27"/>
        <v>2013</v>
      </c>
      <c r="AH63" s="6">
        <f t="shared" si="51"/>
        <v>0.67150894255225602</v>
      </c>
      <c r="AI63" s="7"/>
      <c r="AJ63" s="6">
        <f t="shared" si="44"/>
        <v>0</v>
      </c>
      <c r="AK63" s="6">
        <f t="shared" si="44"/>
        <v>0</v>
      </c>
      <c r="AL63" s="7"/>
      <c r="AM63" s="6">
        <f t="shared" si="55"/>
        <v>0</v>
      </c>
      <c r="AN63" s="6">
        <f t="shared" si="29"/>
        <v>0.32849105744774404</v>
      </c>
      <c r="AO63" s="6">
        <f t="shared" si="30"/>
        <v>1</v>
      </c>
      <c r="AP63" s="7">
        <f t="shared" si="31"/>
        <v>0.67150894255225602</v>
      </c>
      <c r="AQ63" s="7">
        <f t="shared" si="32"/>
        <v>0</v>
      </c>
      <c r="AR63" s="24"/>
      <c r="AS63">
        <f t="shared" si="33"/>
        <v>2013</v>
      </c>
      <c r="AT63" s="1" t="b">
        <f t="shared" si="34"/>
        <v>0</v>
      </c>
      <c r="AV63" s="1" t="b">
        <f t="shared" si="47"/>
        <v>0</v>
      </c>
      <c r="AW63" s="1" t="b">
        <f t="shared" si="48"/>
        <v>0</v>
      </c>
      <c r="AY63" s="1" t="b">
        <f t="shared" si="42"/>
        <v>0</v>
      </c>
      <c r="AZ63" s="1" t="b">
        <f t="shared" si="36"/>
        <v>1</v>
      </c>
      <c r="BA63" s="1" t="b">
        <f t="shared" si="37"/>
        <v>1</v>
      </c>
      <c r="BC63">
        <f t="shared" si="38"/>
        <v>2013</v>
      </c>
      <c r="BD63" s="2">
        <f t="shared" si="49"/>
        <v>205652.52679888505</v>
      </c>
      <c r="BE63" s="2"/>
      <c r="BF63" s="2">
        <f t="shared" si="45"/>
        <v>0</v>
      </c>
      <c r="BG63" s="2">
        <f t="shared" si="45"/>
        <v>0</v>
      </c>
      <c r="BH63" s="2"/>
      <c r="BI63" s="2">
        <f t="shared" si="50"/>
        <v>0</v>
      </c>
      <c r="BJ63" s="2">
        <f t="shared" si="10"/>
        <v>137101.68453259006</v>
      </c>
      <c r="BK63" s="2">
        <f t="shared" si="39"/>
        <v>342754.21133147512</v>
      </c>
      <c r="BL63" s="2">
        <f t="shared" si="40"/>
        <v>0</v>
      </c>
      <c r="BM63" s="2"/>
    </row>
    <row r="64" spans="1:65" x14ac:dyDescent="0.2">
      <c r="A64">
        <f t="shared" si="6"/>
        <v>2014</v>
      </c>
      <c r="B64" s="2">
        <f t="shared" si="52"/>
        <v>233436.18316941443</v>
      </c>
      <c r="C64" s="2"/>
      <c r="D64" s="2">
        <f t="shared" si="46"/>
        <v>0</v>
      </c>
      <c r="E64" s="2">
        <f t="shared" si="46"/>
        <v>0</v>
      </c>
      <c r="F64" s="2"/>
      <c r="G64" s="2">
        <f t="shared" si="43"/>
        <v>0</v>
      </c>
      <c r="H64" s="2">
        <f t="shared" si="13"/>
        <v>144998.74156166727</v>
      </c>
      <c r="I64" s="2">
        <f t="shared" si="41"/>
        <v>378434.9247310817</v>
      </c>
      <c r="J64" s="2">
        <f t="shared" si="14"/>
        <v>27331.435698204732</v>
      </c>
      <c r="K64" s="6">
        <f t="shared" si="15"/>
        <v>7.7844386489834758E-2</v>
      </c>
      <c r="L64" s="7">
        <f t="shared" si="16"/>
        <v>1.0778443864898348</v>
      </c>
      <c r="N64">
        <f t="shared" si="17"/>
        <v>2014</v>
      </c>
      <c r="O64" s="2">
        <f t="shared" si="18"/>
        <v>8445.7612619760766</v>
      </c>
      <c r="P64" s="2"/>
      <c r="Q64" s="2"/>
      <c r="R64">
        <f t="shared" si="19"/>
        <v>2014</v>
      </c>
      <c r="S64" s="2">
        <f t="shared" si="20"/>
        <v>228368.72641222877</v>
      </c>
      <c r="T64" s="2"/>
      <c r="U64" s="2"/>
      <c r="V64" s="2"/>
      <c r="W64" s="2"/>
      <c r="X64" s="2"/>
      <c r="Y64" s="2">
        <f t="shared" si="21"/>
        <v>141620.43705687684</v>
      </c>
      <c r="Z64" s="2">
        <f t="shared" si="22"/>
        <v>369989.16346910561</v>
      </c>
      <c r="AA64" s="2">
        <f t="shared" si="53"/>
        <v>27234.952137630491</v>
      </c>
      <c r="AB64" s="6">
        <f t="shared" si="54"/>
        <v>7.9459132046350744E-2</v>
      </c>
      <c r="AC64" s="7">
        <f t="shared" si="25"/>
        <v>1.0794591320463507</v>
      </c>
      <c r="AD64" s="2">
        <f t="shared" si="26"/>
        <v>0</v>
      </c>
      <c r="AE64" s="2"/>
      <c r="AG64">
        <f t="shared" si="27"/>
        <v>2014</v>
      </c>
      <c r="AH64" s="6">
        <f t="shared" si="51"/>
        <v>0.61723085149572965</v>
      </c>
      <c r="AI64" s="7"/>
      <c r="AJ64" s="6">
        <f t="shared" si="44"/>
        <v>0</v>
      </c>
      <c r="AK64" s="6">
        <f t="shared" si="44"/>
        <v>0</v>
      </c>
      <c r="AL64" s="7"/>
      <c r="AM64" s="6">
        <f t="shared" si="55"/>
        <v>0</v>
      </c>
      <c r="AN64" s="6">
        <f t="shared" si="29"/>
        <v>0.38276914850427035</v>
      </c>
      <c r="AO64" s="6">
        <f t="shared" si="30"/>
        <v>1</v>
      </c>
      <c r="AP64" s="7">
        <f t="shared" si="31"/>
        <v>0.61723085149572965</v>
      </c>
      <c r="AQ64" s="7">
        <f t="shared" si="32"/>
        <v>0</v>
      </c>
      <c r="AR64" s="24"/>
      <c r="AS64">
        <f t="shared" si="33"/>
        <v>2014</v>
      </c>
      <c r="AT64" s="1" t="b">
        <f t="shared" si="34"/>
        <v>0</v>
      </c>
      <c r="AV64" s="1" t="b">
        <f t="shared" si="47"/>
        <v>0</v>
      </c>
      <c r="AW64" s="1" t="b">
        <f t="shared" si="48"/>
        <v>0</v>
      </c>
      <c r="AY64" s="1" t="b">
        <f t="shared" si="42"/>
        <v>0</v>
      </c>
      <c r="AZ64" s="1" t="b">
        <f t="shared" si="36"/>
        <v>0</v>
      </c>
      <c r="BA64" s="1" t="b">
        <f t="shared" si="37"/>
        <v>1</v>
      </c>
      <c r="BC64">
        <f t="shared" si="38"/>
        <v>2014</v>
      </c>
      <c r="BD64" s="2">
        <f t="shared" si="49"/>
        <v>221993.49808146336</v>
      </c>
      <c r="BE64" s="2"/>
      <c r="BF64" s="2">
        <f t="shared" si="45"/>
        <v>0</v>
      </c>
      <c r="BG64" s="2">
        <f t="shared" si="45"/>
        <v>0</v>
      </c>
      <c r="BH64" s="2"/>
      <c r="BI64" s="2">
        <f t="shared" si="50"/>
        <v>0</v>
      </c>
      <c r="BJ64" s="2">
        <f t="shared" si="10"/>
        <v>147995.66538764225</v>
      </c>
      <c r="BK64" s="2">
        <f t="shared" si="39"/>
        <v>369989.16346910561</v>
      </c>
      <c r="BL64" s="2">
        <f t="shared" si="40"/>
        <v>0</v>
      </c>
      <c r="BM64" s="2"/>
    </row>
    <row r="65" spans="1:62" x14ac:dyDescent="0.2">
      <c r="A65" s="9" t="s">
        <v>78</v>
      </c>
      <c r="B65" s="10">
        <f>BD64</f>
        <v>221993.49808146336</v>
      </c>
      <c r="C65" s="10"/>
      <c r="D65" s="10">
        <f>BF64</f>
        <v>0</v>
      </c>
      <c r="E65" s="10">
        <f>BG64</f>
        <v>0</v>
      </c>
      <c r="F65" s="10"/>
      <c r="G65" s="10">
        <f>BI64</f>
        <v>0</v>
      </c>
      <c r="H65" s="10">
        <f>BJ64</f>
        <v>147995.66538764225</v>
      </c>
      <c r="I65" s="10">
        <f>SUM(B65:H65)</f>
        <v>369989.16346910561</v>
      </c>
      <c r="J65" s="10"/>
      <c r="K65" s="10"/>
      <c r="L65" s="74"/>
      <c r="N65" t="s">
        <v>40</v>
      </c>
      <c r="O65" s="2">
        <f>O64</f>
        <v>8445.7612619760766</v>
      </c>
      <c r="P65" s="2"/>
      <c r="R65" s="9" t="s">
        <v>78</v>
      </c>
      <c r="S65" s="10">
        <f>S64</f>
        <v>228368.72641222877</v>
      </c>
      <c r="T65" s="10"/>
      <c r="U65" s="10">
        <f>U64</f>
        <v>0</v>
      </c>
      <c r="V65" s="10">
        <f>V64</f>
        <v>0</v>
      </c>
      <c r="W65" s="10"/>
      <c r="X65" s="10">
        <f>X64</f>
        <v>0</v>
      </c>
      <c r="Y65" s="10">
        <f>Y64</f>
        <v>141620.43705687684</v>
      </c>
      <c r="Z65" s="10">
        <f>Z64</f>
        <v>369989.16346910561</v>
      </c>
      <c r="AA65" s="10"/>
      <c r="AB65" s="10"/>
      <c r="AC65" s="74"/>
      <c r="AD65" s="10"/>
      <c r="AE65" s="43"/>
      <c r="AK65" s="7"/>
      <c r="BC65" s="21"/>
      <c r="BD65" s="22"/>
      <c r="BF65" s="22"/>
      <c r="BG65" s="22"/>
      <c r="BI65" s="22"/>
      <c r="BJ65" s="22"/>
    </row>
    <row r="66" spans="1:62" x14ac:dyDescent="0.2">
      <c r="A66" s="11" t="s">
        <v>11</v>
      </c>
      <c r="I66" s="6">
        <f>(Z65-Z39)/Z39</f>
        <v>2.6998916346910562</v>
      </c>
      <c r="K66" s="6"/>
      <c r="N66" t="s">
        <v>70</v>
      </c>
      <c r="O66" s="2">
        <f>SUM(O40:O64)</f>
        <v>163063.29239065514</v>
      </c>
      <c r="P66" s="2"/>
      <c r="AB66" s="6"/>
      <c r="BF66" s="22"/>
    </row>
    <row r="67" spans="1:62" x14ac:dyDescent="0.2">
      <c r="A67" s="1" t="s">
        <v>12</v>
      </c>
      <c r="I67" s="12">
        <f>STDEV(AC40:AC64)</f>
        <v>0.10968354039888555</v>
      </c>
    </row>
    <row r="68" spans="1:62" x14ac:dyDescent="0.2">
      <c r="A68" s="1" t="s">
        <v>13</v>
      </c>
      <c r="I68" s="13">
        <f>((1+I66)^(1/I75))-1</f>
        <v>5.372567016079377E-2</v>
      </c>
    </row>
    <row r="69" spans="1:62" x14ac:dyDescent="0.2">
      <c r="A69" s="1" t="s">
        <v>82</v>
      </c>
      <c r="I69" s="31">
        <f>J60</f>
        <v>21135.319434428588</v>
      </c>
      <c r="O69" s="2"/>
      <c r="P69" s="2"/>
    </row>
    <row r="70" spans="1:62" x14ac:dyDescent="0.2">
      <c r="A70" s="1" t="s">
        <v>83</v>
      </c>
      <c r="I70" s="32">
        <f>K60</f>
        <v>8.2064373977924765E-2</v>
      </c>
    </row>
    <row r="71" spans="1:62" x14ac:dyDescent="0.2">
      <c r="A71" s="1" t="s">
        <v>42</v>
      </c>
      <c r="I71" s="2">
        <f>O66</f>
        <v>163063.29239065514</v>
      </c>
    </row>
    <row r="72" spans="1:62" x14ac:dyDescent="0.2">
      <c r="A72" s="3" t="s">
        <v>5</v>
      </c>
      <c r="B72" s="3"/>
      <c r="C72" s="3"/>
      <c r="D72" s="3"/>
      <c r="E72" s="3"/>
      <c r="F72" s="3"/>
      <c r="G72" s="3"/>
      <c r="H72" s="3"/>
      <c r="I72" s="33">
        <f>I65-Z65</f>
        <v>0</v>
      </c>
      <c r="Z72" s="2"/>
    </row>
    <row r="73" spans="1:62" x14ac:dyDescent="0.2">
      <c r="A73" s="3" t="s">
        <v>148</v>
      </c>
      <c r="B73" s="3"/>
      <c r="C73" s="3"/>
      <c r="D73" s="3"/>
      <c r="E73" s="3"/>
      <c r="F73" s="3"/>
      <c r="G73" s="3"/>
      <c r="H73" s="3"/>
      <c r="I73" s="33">
        <f>((SUM(AA40:AA64)))-(I65-I39)</f>
        <v>0</v>
      </c>
    </row>
    <row r="74" spans="1:62" x14ac:dyDescent="0.2">
      <c r="A74" s="3" t="s">
        <v>147</v>
      </c>
      <c r="B74" s="3"/>
      <c r="C74" s="3"/>
      <c r="D74" s="3"/>
      <c r="E74" s="3"/>
      <c r="F74" s="3"/>
      <c r="G74" s="3"/>
      <c r="H74" s="3"/>
      <c r="I74" s="33">
        <f>(SUM(O40:O64))-I71</f>
        <v>0</v>
      </c>
      <c r="Z74" s="73"/>
    </row>
    <row r="75" spans="1:62" x14ac:dyDescent="0.2">
      <c r="A75" s="3" t="s">
        <v>159</v>
      </c>
      <c r="B75" s="3"/>
      <c r="C75" s="3"/>
      <c r="D75" s="3"/>
      <c r="E75" s="3"/>
      <c r="F75" s="3"/>
      <c r="G75" s="3"/>
      <c r="H75" s="3"/>
      <c r="I75" s="75">
        <f>COUNTA(I40:I64)</f>
        <v>25</v>
      </c>
    </row>
    <row r="76" spans="1:62" x14ac:dyDescent="0.2">
      <c r="A76" s="1" t="s">
        <v>105</v>
      </c>
      <c r="B76" s="63"/>
      <c r="C76" s="63"/>
      <c r="D76" s="63"/>
      <c r="E76" s="63"/>
      <c r="G76" s="63"/>
      <c r="H76" s="63"/>
      <c r="I76" s="85">
        <f>(SUM(B65:G65)/I65)</f>
        <v>0.6</v>
      </c>
    </row>
    <row r="77" spans="1:62" x14ac:dyDescent="0.2">
      <c r="A77" s="1" t="s">
        <v>106</v>
      </c>
      <c r="B77" s="63"/>
      <c r="C77" s="63"/>
      <c r="D77" s="63"/>
      <c r="E77" s="63"/>
      <c r="G77" s="63"/>
      <c r="H77" s="63"/>
      <c r="I77" s="85">
        <f>(H65/I65)</f>
        <v>0.4</v>
      </c>
    </row>
    <row r="78" spans="1:62" x14ac:dyDescent="0.2">
      <c r="A78" s="3" t="s">
        <v>107</v>
      </c>
      <c r="I78" s="3">
        <f>100%-(I76+I77)</f>
        <v>0</v>
      </c>
    </row>
  </sheetData>
  <pageMargins left="0.7" right="0.7" top="0.75" bottom="0.75" header="0.3" footer="0.3"/>
  <pageSetup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AEF7A-1F90-46E2-B7D2-E1997346F85C}">
  <dimension ref="A1:AP79"/>
  <sheetViews>
    <sheetView topLeftCell="A64" zoomScaleNormal="100" workbookViewId="0">
      <selection activeCell="A76" sqref="A76:I78"/>
    </sheetView>
  </sheetViews>
  <sheetFormatPr baseColWidth="10" defaultColWidth="8.83203125" defaultRowHeight="15" x14ac:dyDescent="0.2"/>
  <cols>
    <col min="1" max="1" width="25.5" customWidth="1"/>
    <col min="2" max="4" width="9.33203125" bestFit="1" customWidth="1"/>
    <col min="5" max="5" width="9.5" customWidth="1"/>
    <col min="9" max="9" width="11.6640625" customWidth="1"/>
    <col min="10" max="10" width="10" bestFit="1" customWidth="1"/>
    <col min="15" max="15" width="9.83203125" bestFit="1" customWidth="1"/>
    <col min="16" max="16" width="9.83203125" customWidth="1"/>
    <col min="19" max="19" width="10.83203125" bestFit="1" customWidth="1"/>
    <col min="20" max="20" width="9.33203125" bestFit="1" customWidth="1"/>
    <col min="21" max="21" width="11.83203125" bestFit="1" customWidth="1"/>
    <col min="22" max="22" width="10.1640625" customWidth="1"/>
    <col min="24" max="24" width="10.83203125" bestFit="1" customWidth="1"/>
    <col min="26" max="26" width="10.83203125" bestFit="1" customWidth="1"/>
    <col min="27" max="30" width="10.83203125" customWidth="1"/>
  </cols>
  <sheetData>
    <row r="1" spans="1:16" x14ac:dyDescent="0.2">
      <c r="A1" s="20" t="s">
        <v>49</v>
      </c>
      <c r="N1" s="20" t="s">
        <v>144</v>
      </c>
    </row>
    <row r="2" spans="1:16"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'4.5% Withdrawals-No Rebalancing'!N3</f>
        <v>Year</v>
      </c>
      <c r="O3" s="50" t="str">
        <f>'4.5% Withdrawals-No Rebalancing'!O3</f>
        <v>CPI</v>
      </c>
      <c r="P3" s="44"/>
    </row>
    <row r="4" spans="1:16" x14ac:dyDescent="0.2">
      <c r="A4" s="17">
        <f>'Non-Rebalanced Portfolio'!A4</f>
        <v>1990</v>
      </c>
      <c r="B4" s="17">
        <f>'Non-Rebalanced Portfolio'!B4</f>
        <v>-3.32</v>
      </c>
      <c r="C4" s="17">
        <f>'Non-Rebalanced Portfolio'!C4</f>
        <v>-14.045</v>
      </c>
      <c r="D4" s="17"/>
      <c r="E4" s="17"/>
      <c r="F4" s="17">
        <f>'Non-Rebalanced Portfolio'!F4</f>
        <v>-12.26</v>
      </c>
      <c r="G4" s="17"/>
      <c r="H4" s="17">
        <f>'Non-Rebalanced Portfolio'!H4</f>
        <v>8.65</v>
      </c>
      <c r="N4" s="49">
        <f>'4.5% Withdrawals-No Rebalancing'!N4</f>
        <v>1989</v>
      </c>
      <c r="O4" s="50">
        <f>'4.5% Withdrawals-No Rebalancing'!O4</f>
        <v>4.5999999999999999E-2</v>
      </c>
      <c r="P4" s="44"/>
    </row>
    <row r="5" spans="1:16" x14ac:dyDescent="0.2">
      <c r="A5" s="17">
        <f>'Non-Rebalanced Portfolio'!A5</f>
        <v>1991</v>
      </c>
      <c r="B5" s="17">
        <f>'Non-Rebalanced Portfolio'!B5</f>
        <v>30.22</v>
      </c>
      <c r="C5" s="17">
        <f>'Non-Rebalanced Portfolio'!C5</f>
        <v>41.85</v>
      </c>
      <c r="D5" s="17"/>
      <c r="E5" s="17"/>
      <c r="F5" s="17">
        <f>'Non-Rebalanced Portfolio'!F5</f>
        <v>9.9559999999999995</v>
      </c>
      <c r="G5" s="17"/>
      <c r="H5" s="17">
        <f>'Non-Rebalanced Portfolio'!H5</f>
        <v>15.25</v>
      </c>
      <c r="N5" s="49">
        <f>'4.5% Withdrawals-No Rebalancing'!N5</f>
        <v>1990</v>
      </c>
      <c r="O5" s="50">
        <f>'4.5% Withdrawals-No Rebalancing'!O5</f>
        <v>6.3E-2</v>
      </c>
      <c r="P5" s="44"/>
    </row>
    <row r="6" spans="1:16" x14ac:dyDescent="0.2">
      <c r="A6" s="17">
        <f>'Non-Rebalanced Portfolio'!A6</f>
        <v>1992</v>
      </c>
      <c r="B6" s="17">
        <f>'Non-Rebalanced Portfolio'!B6</f>
        <v>7.42</v>
      </c>
      <c r="C6" s="17">
        <f>'Non-Rebalanced Portfolio'!C6</f>
        <v>12.465999999999999</v>
      </c>
      <c r="D6" s="17"/>
      <c r="E6" s="17"/>
      <c r="F6" s="17">
        <f>'Non-Rebalanced Portfolio'!F6</f>
        <v>-8.7210000000000001</v>
      </c>
      <c r="G6" s="17"/>
      <c r="H6" s="17">
        <f>'Non-Rebalanced Portfolio'!H6</f>
        <v>7.14</v>
      </c>
      <c r="N6" s="49">
        <f>'4.5% Withdrawals-No Rebalancing'!N6</f>
        <v>1991</v>
      </c>
      <c r="O6" s="50">
        <f>'4.5% Withdrawals-No Rebalancing'!O6</f>
        <v>0.03</v>
      </c>
      <c r="P6" s="44"/>
    </row>
    <row r="7" spans="1:16" x14ac:dyDescent="0.2">
      <c r="A7" s="17">
        <f>'Non-Rebalanced Portfolio'!A7</f>
        <v>1993</v>
      </c>
      <c r="B7" s="17">
        <f>'Non-Rebalanced Portfolio'!B7</f>
        <v>9.89</v>
      </c>
      <c r="C7" s="17">
        <f>'Non-Rebalanced Portfolio'!C7</f>
        <v>14.49</v>
      </c>
      <c r="D7" s="17"/>
      <c r="E7" s="17"/>
      <c r="F7" s="17">
        <f>'Non-Rebalanced Portfolio'!F7</f>
        <v>30.494</v>
      </c>
      <c r="G7" s="17"/>
      <c r="H7" s="17">
        <f>'Non-Rebalanced Portfolio'!H7</f>
        <v>9.68</v>
      </c>
      <c r="N7" s="49">
        <f>'4.5% Withdrawals-No Rebalancing'!N7</f>
        <v>1992</v>
      </c>
      <c r="O7" s="50">
        <f>'4.5% Withdrawals-No Rebalancing'!O7</f>
        <v>0.03</v>
      </c>
      <c r="P7" s="44"/>
    </row>
    <row r="8" spans="1:16" x14ac:dyDescent="0.2">
      <c r="A8" s="17">
        <f>'Non-Rebalanced Portfolio'!A8</f>
        <v>1994</v>
      </c>
      <c r="B8" s="17">
        <f>'Non-Rebalanced Portfolio'!B8</f>
        <v>1.18</v>
      </c>
      <c r="C8" s="17">
        <f>'Non-Rebalanced Portfolio'!C8</f>
        <v>-1.764</v>
      </c>
      <c r="D8" s="17"/>
      <c r="E8" s="17"/>
      <c r="F8" s="17">
        <f>'Non-Rebalanced Portfolio'!F8</f>
        <v>5.2549999999999999</v>
      </c>
      <c r="G8" s="17"/>
      <c r="H8" s="17">
        <f>'Non-Rebalanced Portfolio'!H8</f>
        <v>-2.66</v>
      </c>
      <c r="N8" s="49">
        <f>'4.5% Withdrawals-No Rebalancing'!N8</f>
        <v>1993</v>
      </c>
      <c r="O8" s="50">
        <f>'4.5% Withdrawals-No Rebalancing'!O8</f>
        <v>2.8000000000000001E-2</v>
      </c>
      <c r="P8" s="44"/>
    </row>
    <row r="9" spans="1:16" x14ac:dyDescent="0.2">
      <c r="A9" s="17">
        <f>'Non-Rebalanced Portfolio'!A9</f>
        <v>1995</v>
      </c>
      <c r="B9" s="17">
        <f>'Non-Rebalanced Portfolio'!B9</f>
        <v>37.450000000000003</v>
      </c>
      <c r="C9" s="17">
        <f>'Non-Rebalanced Portfolio'!C9</f>
        <v>33.796999999999997</v>
      </c>
      <c r="D9" s="17"/>
      <c r="E9" s="17"/>
      <c r="F9" s="17">
        <f>'Non-Rebalanced Portfolio'!F9</f>
        <v>9.6460000000000008</v>
      </c>
      <c r="G9" s="17"/>
      <c r="H9" s="17">
        <f>'Non-Rebalanced Portfolio'!H9</f>
        <v>18.18</v>
      </c>
      <c r="N9" s="49">
        <f>'4.5% Withdrawals-No Rebalancing'!N9</f>
        <v>1994</v>
      </c>
      <c r="O9" s="50">
        <f>'4.5% Withdrawals-No Rebalancing'!O9</f>
        <v>2.5999999999999999E-2</v>
      </c>
      <c r="P9" s="44"/>
    </row>
    <row r="10" spans="1:16" x14ac:dyDescent="0.2">
      <c r="A10" s="17">
        <f>'Non-Rebalanced Portfolio'!A10</f>
        <v>1996</v>
      </c>
      <c r="B10" s="17">
        <f>'Non-Rebalanced Portfolio'!B10</f>
        <v>22.88</v>
      </c>
      <c r="C10" s="17">
        <f>'Non-Rebalanced Portfolio'!C10</f>
        <v>17.646999999999998</v>
      </c>
      <c r="D10" s="17"/>
      <c r="E10" s="17"/>
      <c r="F10" s="17">
        <f>'Non-Rebalanced Portfolio'!F10</f>
        <v>10.218999999999999</v>
      </c>
      <c r="G10" s="17"/>
      <c r="H10" s="17">
        <f>'Non-Rebalanced Portfolio'!H10</f>
        <v>3.58</v>
      </c>
      <c r="N10" s="49">
        <f>'4.5% Withdrawals-No Rebalancing'!N10</f>
        <v>1995</v>
      </c>
      <c r="O10" s="50">
        <f>'4.5% Withdrawals-No Rebalancing'!O10</f>
        <v>2.5000000000000001E-2</v>
      </c>
      <c r="P10" s="44"/>
    </row>
    <row r="11" spans="1:16" x14ac:dyDescent="0.2">
      <c r="A11" s="17">
        <f>'Non-Rebalanced Portfolio'!A11</f>
        <v>1997</v>
      </c>
      <c r="B11" s="17">
        <f>'Non-Rebalanced Portfolio'!B11</f>
        <v>33.19</v>
      </c>
      <c r="C11" s="17">
        <f>'Non-Rebalanced Portfolio'!C11</f>
        <v>26.687000000000001</v>
      </c>
      <c r="D11" s="17"/>
      <c r="E11" s="17"/>
      <c r="F11" s="17">
        <f>'Non-Rebalanced Portfolio'!F11</f>
        <v>0</v>
      </c>
      <c r="G11" s="17"/>
      <c r="H11" s="17">
        <f>'Non-Rebalanced Portfolio'!H11</f>
        <v>9.44</v>
      </c>
      <c r="N11" s="49">
        <f>'4.5% Withdrawals-No Rebalancing'!N11</f>
        <v>1996</v>
      </c>
      <c r="O11" s="50">
        <f>'4.5% Withdrawals-No Rebalancing'!O11</f>
        <v>3.4000000000000002E-2</v>
      </c>
      <c r="P11" s="44"/>
    </row>
    <row r="12" spans="1:16" x14ac:dyDescent="0.2">
      <c r="A12" s="17">
        <f>'Non-Rebalanced Portfolio'!A12</f>
        <v>1998</v>
      </c>
      <c r="B12" s="17">
        <f>'Non-Rebalanced Portfolio'!B12</f>
        <v>28.66</v>
      </c>
      <c r="C12" s="17">
        <f>'Non-Rebalanced Portfolio'!C12</f>
        <v>8.3529999999999998</v>
      </c>
      <c r="D12" s="17"/>
      <c r="E12" s="17"/>
      <c r="F12" s="17">
        <f>'Non-Rebalanced Portfolio'!F12</f>
        <v>0</v>
      </c>
      <c r="G12" s="18">
        <f>'Non-Rebalanced Portfolio'!G12</f>
        <v>15.603</v>
      </c>
      <c r="H12" s="17">
        <f>'Non-Rebalanced Portfolio'!H12</f>
        <v>8.58</v>
      </c>
      <c r="N12" s="49">
        <f>'4.5% Withdrawals-No Rebalancing'!N12</f>
        <v>1997</v>
      </c>
      <c r="O12" s="50">
        <f>'4.5% Withdrawals-No Rebalancing'!O12</f>
        <v>1.7000000000000001E-2</v>
      </c>
      <c r="P12" s="44"/>
    </row>
    <row r="13" spans="1:16" x14ac:dyDescent="0.2">
      <c r="A13" s="17">
        <f>'Non-Rebalanced Portfolio'!A13</f>
        <v>1999</v>
      </c>
      <c r="B13" s="17">
        <f>'Non-Rebalanced Portfolio'!B13</f>
        <v>21.07</v>
      </c>
      <c r="C13" s="17">
        <f>'Non-Rebalanced Portfolio'!C13</f>
        <v>0</v>
      </c>
      <c r="D13" s="17"/>
      <c r="E13" s="17"/>
      <c r="F13" s="17"/>
      <c r="G13" s="18">
        <f>'Non-Rebalanced Portfolio'!G13</f>
        <v>29.919</v>
      </c>
      <c r="H13" s="17">
        <f>'Non-Rebalanced Portfolio'!H13</f>
        <v>-0.76</v>
      </c>
      <c r="N13" s="49">
        <f>'4.5% Withdrawals-No Rebalancing'!N13</f>
        <v>1998</v>
      </c>
      <c r="O13" s="50">
        <f>'4.5% Withdrawals-No Rebalancing'!O13</f>
        <v>1.6E-2</v>
      </c>
      <c r="P13" s="44"/>
    </row>
    <row r="14" spans="1:16" x14ac:dyDescent="0.2">
      <c r="A14" s="17">
        <f>'Non-Rebalanced Portfolio'!A14</f>
        <v>2000</v>
      </c>
      <c r="B14" s="17">
        <f>'Non-Rebalanced Portfolio'!B14</f>
        <v>-9.06</v>
      </c>
      <c r="C14" s="17">
        <f>'Non-Rebalanced Portfolio'!C14</f>
        <v>0</v>
      </c>
      <c r="D14" s="18">
        <f>'Non-Rebalanced Portfolio'!D14</f>
        <v>18.097999999999999</v>
      </c>
      <c r="E14" s="18">
        <f>'Non-Rebalanced Portfolio'!E14</f>
        <v>-2.665</v>
      </c>
      <c r="F14" s="17"/>
      <c r="G14" s="17">
        <f>'Non-Rebalanced Portfolio'!G14</f>
        <v>-15.614000000000001</v>
      </c>
      <c r="H14" s="17">
        <f>'Non-Rebalanced Portfolio'!H14</f>
        <v>11.39</v>
      </c>
      <c r="N14" s="49">
        <f>'4.5% Withdrawals-No Rebalancing'!N14</f>
        <v>1999</v>
      </c>
      <c r="O14" s="50">
        <f>'4.5% Withdrawals-No Rebalancing'!O14</f>
        <v>2.7E-2</v>
      </c>
      <c r="P14" s="44"/>
    </row>
    <row r="15" spans="1:16" x14ac:dyDescent="0.2">
      <c r="A15" s="17">
        <f>'Non-Rebalanced Portfolio'!A15</f>
        <v>2001</v>
      </c>
      <c r="B15" s="17">
        <f>'Non-Rebalanced Portfolio'!B15</f>
        <v>-12.02</v>
      </c>
      <c r="C15" s="17"/>
      <c r="D15" s="18">
        <f>'Non-Rebalanced Portfolio'!D15</f>
        <v>-0.499</v>
      </c>
      <c r="E15" s="18">
        <f>'Non-Rebalanced Portfolio'!E15</f>
        <v>3.1</v>
      </c>
      <c r="F15" s="17"/>
      <c r="G15" s="17">
        <f>'Non-Rebalanced Portfolio'!G15</f>
        <v>-20.152999999999999</v>
      </c>
      <c r="H15" s="17">
        <f>'Non-Rebalanced Portfolio'!H15</f>
        <v>8.43</v>
      </c>
      <c r="N15" s="49">
        <f>'4.5% Withdrawals-No Rebalancing'!N15</f>
        <v>2000</v>
      </c>
      <c r="O15" s="50">
        <f>'4.5% Withdrawals-No Rebalancing'!O15</f>
        <v>3.4000000000000002E-2</v>
      </c>
      <c r="P15" s="44"/>
    </row>
    <row r="16" spans="1:16" x14ac:dyDescent="0.2">
      <c r="A16" s="17">
        <f>'Non-Rebalanced Portfolio'!A16</f>
        <v>2002</v>
      </c>
      <c r="B16" s="17">
        <f>'Non-Rebalanced Portfolio'!B16</f>
        <v>-22.15</v>
      </c>
      <c r="C16" s="17"/>
      <c r="D16" s="17">
        <f>'Non-Rebalanced Portfolio'!D16</f>
        <v>-14.608000000000001</v>
      </c>
      <c r="E16" s="17">
        <f>'Non-Rebalanced Portfolio'!E16</f>
        <v>-20.021999999999998</v>
      </c>
      <c r="F16" s="17"/>
      <c r="G16" s="17">
        <f>'Non-Rebalanced Portfolio'!G16</f>
        <v>-15.083</v>
      </c>
      <c r="H16" s="17">
        <f>'Non-Rebalanced Portfolio'!H16</f>
        <v>8.26</v>
      </c>
      <c r="N16" s="49">
        <f>'4.5% Withdrawals-No Rebalancing'!N16</f>
        <v>2001</v>
      </c>
      <c r="O16" s="50">
        <f>'4.5% Withdrawals-No Rebalancing'!O16</f>
        <v>1.6E-2</v>
      </c>
      <c r="P16" s="44"/>
    </row>
    <row r="17" spans="1:16" x14ac:dyDescent="0.2">
      <c r="A17" s="17">
        <f>'Non-Rebalanced Portfolio'!A17</f>
        <v>2003</v>
      </c>
      <c r="B17" s="17">
        <f>'Non-Rebalanced Portfolio'!B17</f>
        <v>28.5</v>
      </c>
      <c r="C17" s="17"/>
      <c r="D17" s="17">
        <f>'Non-Rebalanced Portfolio'!D17</f>
        <v>34.142000000000003</v>
      </c>
      <c r="E17" s="17">
        <f>'Non-Rebalanced Portfolio'!E17</f>
        <v>45.628</v>
      </c>
      <c r="F17" s="17"/>
      <c r="G17" s="17">
        <f>'Non-Rebalanced Portfolio'!G17</f>
        <v>40.340000000000003</v>
      </c>
      <c r="H17" s="17">
        <f>'Non-Rebalanced Portfolio'!H17</f>
        <v>3.97</v>
      </c>
      <c r="N17" s="49">
        <f>'4.5% Withdrawals-No Rebalancing'!N17</f>
        <v>2002</v>
      </c>
      <c r="O17" s="50">
        <f>'4.5% Withdrawals-No Rebalancing'!O17</f>
        <v>2.5000000000000001E-2</v>
      </c>
      <c r="P17" s="44"/>
    </row>
    <row r="18" spans="1:16" x14ac:dyDescent="0.2">
      <c r="A18" s="17">
        <f>'Non-Rebalanced Portfolio'!A18</f>
        <v>2004</v>
      </c>
      <c r="B18" s="17">
        <f>'Non-Rebalanced Portfolio'!B18</f>
        <v>10.74</v>
      </c>
      <c r="C18" s="17"/>
      <c r="D18" s="17">
        <f>'Non-Rebalanced Portfolio'!D18</f>
        <v>20.353000000000002</v>
      </c>
      <c r="E18" s="17">
        <f>'Non-Rebalanced Portfolio'!E18</f>
        <v>19.896999999999998</v>
      </c>
      <c r="F18" s="17"/>
      <c r="G18" s="17">
        <f>'Non-Rebalanced Portfolio'!G18</f>
        <v>20.837</v>
      </c>
      <c r="H18" s="17">
        <f>'Non-Rebalanced Portfolio'!H18</f>
        <v>4.24</v>
      </c>
      <c r="N18" s="49">
        <f>'4.5% Withdrawals-No Rebalancing'!N18</f>
        <v>2003</v>
      </c>
      <c r="O18" s="50">
        <f>'4.5% Withdrawals-No Rebalancing'!O18</f>
        <v>0.02</v>
      </c>
      <c r="P18" s="44"/>
    </row>
    <row r="19" spans="1:16" x14ac:dyDescent="0.2">
      <c r="A19" s="17">
        <f>'Non-Rebalanced Portfolio'!A19</f>
        <v>2005</v>
      </c>
      <c r="B19" s="17">
        <f>'Non-Rebalanced Portfolio'!B19</f>
        <v>4.7699999999999996</v>
      </c>
      <c r="C19" s="17"/>
      <c r="D19" s="17">
        <f>'Non-Rebalanced Portfolio'!D19</f>
        <v>13.930999999999999</v>
      </c>
      <c r="E19" s="17">
        <f>'Non-Rebalanced Portfolio'!E19</f>
        <v>7.3630000000000004</v>
      </c>
      <c r="F19" s="17"/>
      <c r="G19" s="17">
        <f>'Non-Rebalanced Portfolio'!G19</f>
        <v>15.571</v>
      </c>
      <c r="H19" s="17">
        <f>'Non-Rebalanced Portfolio'!H19</f>
        <v>2.4</v>
      </c>
      <c r="N19" s="49">
        <f>'4.5% Withdrawals-No Rebalancing'!N19</f>
        <v>2004</v>
      </c>
      <c r="O19" s="50">
        <f>'4.5% Withdrawals-No Rebalancing'!O19</f>
        <v>3.3000000000000002E-2</v>
      </c>
      <c r="P19" s="44"/>
    </row>
    <row r="20" spans="1:16" x14ac:dyDescent="0.2">
      <c r="A20" s="17">
        <f>'Non-Rebalanced Portfolio'!A20</f>
        <v>2006</v>
      </c>
      <c r="B20" s="17">
        <f>'Non-Rebalanced Portfolio'!B20</f>
        <v>15.64</v>
      </c>
      <c r="C20" s="17"/>
      <c r="D20" s="17">
        <f>'Non-Rebalanced Portfolio'!D20</f>
        <v>13.597</v>
      </c>
      <c r="E20" s="17">
        <f>'Non-Rebalanced Portfolio'!E20</f>
        <v>15.656000000000001</v>
      </c>
      <c r="F20" s="17"/>
      <c r="G20" s="17">
        <f>'Non-Rebalanced Portfolio'!G20</f>
        <v>26.637</v>
      </c>
      <c r="H20" s="17">
        <f>'Non-Rebalanced Portfolio'!H20</f>
        <v>4.2699999999999996</v>
      </c>
      <c r="N20" s="49">
        <f>'4.5% Withdrawals-No Rebalancing'!N20</f>
        <v>2005</v>
      </c>
      <c r="O20" s="50">
        <f>'4.5% Withdrawals-No Rebalancing'!O20</f>
        <v>3.3000000000000002E-2</v>
      </c>
      <c r="P20" s="44"/>
    </row>
    <row r="21" spans="1:16" x14ac:dyDescent="0.2">
      <c r="A21" s="17">
        <f>'Non-Rebalanced Portfolio'!A21</f>
        <v>2007</v>
      </c>
      <c r="B21" s="17">
        <f>'Non-Rebalanced Portfolio'!B21</f>
        <v>5.39</v>
      </c>
      <c r="C21" s="17"/>
      <c r="D21" s="17">
        <f>'Non-Rebalanced Portfolio'!D21</f>
        <v>6.0209999999999999</v>
      </c>
      <c r="E21" s="17">
        <f>'Non-Rebalanced Portfolio'!E21</f>
        <v>1.1559999999999999</v>
      </c>
      <c r="F21" s="17"/>
      <c r="G21" s="17">
        <f>'Non-Rebalanced Portfolio'!G21</f>
        <v>15.522</v>
      </c>
      <c r="H21" s="17">
        <f>'Non-Rebalanced Portfolio'!H21</f>
        <v>6.92</v>
      </c>
      <c r="N21" s="49">
        <f>'4.5% Withdrawals-No Rebalancing'!N21</f>
        <v>2006</v>
      </c>
      <c r="O21" s="50">
        <f>'4.5% Withdrawals-No Rebalancing'!O21</f>
        <v>2.5000000000000001E-2</v>
      </c>
      <c r="P21" s="44"/>
    </row>
    <row r="22" spans="1:16" x14ac:dyDescent="0.2">
      <c r="A22" s="17">
        <f>'Non-Rebalanced Portfolio'!A22</f>
        <v>2008</v>
      </c>
      <c r="B22" s="17">
        <f>'Non-Rebalanced Portfolio'!B22</f>
        <v>-37.020000000000003</v>
      </c>
      <c r="C22" s="17"/>
      <c r="D22" s="17">
        <f>'Non-Rebalanced Portfolio'!D22</f>
        <v>-41.823999999999998</v>
      </c>
      <c r="E22" s="17">
        <f>'Non-Rebalanced Portfolio'!E22</f>
        <v>-36.07</v>
      </c>
      <c r="F22" s="17"/>
      <c r="G22" s="17">
        <f>'Non-Rebalanced Portfolio'!G22</f>
        <v>-44.100999999999999</v>
      </c>
      <c r="H22" s="17">
        <f>'Non-Rebalanced Portfolio'!H22</f>
        <v>5.05</v>
      </c>
      <c r="N22" s="49">
        <f>'4.5% Withdrawals-No Rebalancing'!N22</f>
        <v>2007</v>
      </c>
      <c r="O22" s="50">
        <f>'4.5% Withdrawals-No Rebalancing'!O22</f>
        <v>4.1000000000000002E-2</v>
      </c>
      <c r="P22" s="44"/>
    </row>
    <row r="23" spans="1:16" x14ac:dyDescent="0.2">
      <c r="A23" s="17">
        <f>'Non-Rebalanced Portfolio'!A23</f>
        <v>2009</v>
      </c>
      <c r="B23" s="17">
        <f>'Non-Rebalanced Portfolio'!B23</f>
        <v>26.49</v>
      </c>
      <c r="C23" s="17"/>
      <c r="D23" s="17">
        <f>'Non-Rebalanced Portfolio'!D23</f>
        <v>40.218000000000004</v>
      </c>
      <c r="E23" s="17">
        <f>'Non-Rebalanced Portfolio'!E23</f>
        <v>36.118000000000002</v>
      </c>
      <c r="F23" s="17"/>
      <c r="G23" s="17">
        <f>'Non-Rebalanced Portfolio'!G23</f>
        <v>36.726999999999997</v>
      </c>
      <c r="H23" s="17">
        <f>'Non-Rebalanced Portfolio'!H23</f>
        <v>5.93</v>
      </c>
      <c r="N23" s="49">
        <f>'4.5% Withdrawals-No Rebalancing'!N23</f>
        <v>2008</v>
      </c>
      <c r="O23" s="50">
        <f>'4.5% Withdrawals-No Rebalancing'!O23</f>
        <v>0</v>
      </c>
      <c r="P23" s="44"/>
    </row>
    <row r="24" spans="1:16" x14ac:dyDescent="0.2">
      <c r="A24" s="17">
        <f>'Non-Rebalanced Portfolio'!A24</f>
        <v>2010</v>
      </c>
      <c r="B24" s="17">
        <f>'Non-Rebalanced Portfolio'!B24</f>
        <v>14.91</v>
      </c>
      <c r="C24" s="17"/>
      <c r="D24" s="17">
        <f>'Non-Rebalanced Portfolio'!D24</f>
        <v>25.46</v>
      </c>
      <c r="E24" s="17">
        <f>'Non-Rebalanced Portfolio'!E24</f>
        <v>27.72</v>
      </c>
      <c r="F24" s="17"/>
      <c r="G24" s="17">
        <f>'Non-Rebalanced Portfolio'!G24</f>
        <v>11.12</v>
      </c>
      <c r="H24" s="17">
        <f>'Non-Rebalanced Portfolio'!H24</f>
        <v>6.42</v>
      </c>
      <c r="N24" s="49">
        <f>'4.5% Withdrawals-No Rebalancing'!N24</f>
        <v>2009</v>
      </c>
      <c r="O24" s="50">
        <f>'4.5% Withdrawals-No Rebalancing'!O24</f>
        <v>2.8000000000000001E-2</v>
      </c>
      <c r="P24" s="44"/>
    </row>
    <row r="25" spans="1:16" x14ac:dyDescent="0.2">
      <c r="A25" s="17">
        <f>'Non-Rebalanced Portfolio'!A25</f>
        <v>2011</v>
      </c>
      <c r="B25" s="17">
        <f>'Non-Rebalanced Portfolio'!B25</f>
        <v>1.97</v>
      </c>
      <c r="C25" s="17"/>
      <c r="D25" s="17">
        <f>'Non-Rebalanced Portfolio'!D25</f>
        <v>-2.11</v>
      </c>
      <c r="E25" s="17">
        <f>'Non-Rebalanced Portfolio'!E25</f>
        <v>-2.8</v>
      </c>
      <c r="F25" s="17"/>
      <c r="G25" s="17">
        <f>'Non-Rebalanced Portfolio'!G25</f>
        <v>-14.56</v>
      </c>
      <c r="H25" s="17">
        <f>'Non-Rebalanced Portfolio'!H25</f>
        <v>7.56</v>
      </c>
      <c r="N25" s="49">
        <f>'4.5% Withdrawals-No Rebalancing'!N25</f>
        <v>2010</v>
      </c>
      <c r="O25" s="50">
        <f>'4.5% Withdrawals-No Rebalancing'!O25</f>
        <v>1.4E-2</v>
      </c>
      <c r="P25" s="44"/>
    </row>
    <row r="26" spans="1:16" x14ac:dyDescent="0.2">
      <c r="A26" s="17">
        <f>'Non-Rebalanced Portfolio'!A26</f>
        <v>2012</v>
      </c>
      <c r="B26" s="17">
        <f>'Non-Rebalanced Portfolio'!B26</f>
        <v>15.82</v>
      </c>
      <c r="C26" s="17"/>
      <c r="D26" s="17">
        <f>'Non-Rebalanced Portfolio'!D26</f>
        <v>15.8</v>
      </c>
      <c r="E26" s="17">
        <f>'Non-Rebalanced Portfolio'!E26</f>
        <v>18.04</v>
      </c>
      <c r="F26" s="17"/>
      <c r="G26" s="17">
        <f>'Non-Rebalanced Portfolio'!G26</f>
        <v>18.14</v>
      </c>
      <c r="H26" s="17">
        <f>'Non-Rebalanced Portfolio'!H26</f>
        <v>4.05</v>
      </c>
      <c r="N26" s="49">
        <f>'4.5% Withdrawals-No Rebalancing'!N26</f>
        <v>2011</v>
      </c>
      <c r="O26" s="50">
        <f>'4.5% Withdrawals-No Rebalancing'!O26</f>
        <v>0.03</v>
      </c>
      <c r="P26" s="44"/>
    </row>
    <row r="27" spans="1:16" x14ac:dyDescent="0.2">
      <c r="A27" s="17">
        <f>'Non-Rebalanced Portfolio'!A27</f>
        <v>2013</v>
      </c>
      <c r="B27" s="17">
        <f>'Non-Rebalanced Portfolio'!B27</f>
        <v>32.18</v>
      </c>
      <c r="C27" s="17"/>
      <c r="D27" s="17">
        <f>'Non-Rebalanced Portfolio'!D27</f>
        <v>35</v>
      </c>
      <c r="E27" s="17">
        <f>'Non-Rebalanced Portfolio'!E27</f>
        <v>37.619999999999997</v>
      </c>
      <c r="F27" s="17"/>
      <c r="G27" s="17">
        <f>'Non-Rebalanced Portfolio'!G27</f>
        <v>15.04</v>
      </c>
      <c r="H27" s="17">
        <f>'Non-Rebalanced Portfolio'!H27</f>
        <v>-2.2599999999999998</v>
      </c>
      <c r="N27" s="49">
        <f>'4.5% Withdrawals-No Rebalancing'!N27</f>
        <v>2012</v>
      </c>
      <c r="O27" s="50">
        <f>'4.5% Withdrawals-No Rebalancing'!O27</f>
        <v>1.7999999999999999E-2</v>
      </c>
    </row>
    <row r="28" spans="1:16" x14ac:dyDescent="0.2">
      <c r="A28" s="17">
        <f>'Non-Rebalanced Portfolio'!A28</f>
        <v>2014</v>
      </c>
      <c r="B28" s="17">
        <f>'Non-Rebalanced Portfolio'!B28</f>
        <v>13.51</v>
      </c>
      <c r="C28" s="19"/>
      <c r="D28" s="17">
        <f>'Non-Rebalanced Portfolio'!D28</f>
        <v>13.6</v>
      </c>
      <c r="E28" s="17">
        <f>'Non-Rebalanced Portfolio'!E28</f>
        <v>7.37</v>
      </c>
      <c r="F28" s="19"/>
      <c r="G28" s="17">
        <f>'Non-Rebalanced Portfolio'!G28</f>
        <v>-4.24</v>
      </c>
      <c r="H28" s="17">
        <f>'Non-Rebalanced Portfolio'!H28</f>
        <v>5.76</v>
      </c>
      <c r="N28" s="49">
        <f>'4.5% Withdrawals-No Rebalancing'!N28</f>
        <v>2013</v>
      </c>
      <c r="O28" s="50">
        <f>'4.5% Withdrawals-No Rebalancing'!O28</f>
        <v>1.15559170535223E-2</v>
      </c>
    </row>
    <row r="29" spans="1:16" x14ac:dyDescent="0.2">
      <c r="A29" s="17">
        <f>'Non-Rebalanced Portfolio'!A29</f>
        <v>2015</v>
      </c>
      <c r="B29" s="17">
        <f>'Non-Rebalanced Portfolio'!B29</f>
        <v>1.25</v>
      </c>
      <c r="C29" s="19"/>
      <c r="D29" s="17">
        <f>'Non-Rebalanced Portfolio'!D29</f>
        <v>-1.46</v>
      </c>
      <c r="E29" s="17">
        <f>'Non-Rebalanced Portfolio'!E29</f>
        <v>-3.78</v>
      </c>
      <c r="F29" s="19"/>
      <c r="G29" s="17">
        <f>'Non-Rebalanced Portfolio'!G29</f>
        <v>-4.37</v>
      </c>
      <c r="H29" s="17">
        <f>'Non-Rebalanced Portfolio'!H29</f>
        <v>0.3</v>
      </c>
      <c r="N29" s="49">
        <f>'4.5% Withdrawals-No Rebalancing'!N29</f>
        <v>2014</v>
      </c>
      <c r="O29" s="50">
        <f>'4.5% Withdrawals-No Rebalancing'!O29</f>
        <v>1.29E-2</v>
      </c>
    </row>
    <row r="30" spans="1:16" x14ac:dyDescent="0.2">
      <c r="A30" s="17">
        <f>'Non-Rebalanced Portfolio'!A30</f>
        <v>2016</v>
      </c>
      <c r="B30" s="17">
        <f>'Non-Rebalanced Portfolio'!B30</f>
        <v>11.82</v>
      </c>
      <c r="C30" s="19"/>
      <c r="D30" s="17">
        <f>'Non-Rebalanced Portfolio'!D30</f>
        <v>11.07</v>
      </c>
      <c r="E30" s="17">
        <f>'Non-Rebalanced Portfolio'!E30</f>
        <v>18.170000000000002</v>
      </c>
      <c r="F30" s="19"/>
      <c r="G30" s="17">
        <f>'Non-Rebalanced Portfolio'!G30</f>
        <v>4.6500000000000004</v>
      </c>
      <c r="H30" s="17">
        <f>'Non-Rebalanced Portfolio'!H30</f>
        <v>2.5</v>
      </c>
      <c r="N30" s="49">
        <f>'4.5% Withdrawals-No Rebalancing'!N30</f>
        <v>2015</v>
      </c>
      <c r="O30" s="50">
        <f>'4.5% Withdrawals-No Rebalancing'!O30</f>
        <v>4.4000000000000003E-3</v>
      </c>
    </row>
    <row r="31" spans="1:16" x14ac:dyDescent="0.2">
      <c r="A31" s="17">
        <f>'Non-Rebalanced Portfolio'!A31</f>
        <v>2017</v>
      </c>
      <c r="B31" s="17">
        <f>'Non-Rebalanced Portfolio'!B31</f>
        <v>21.67</v>
      </c>
      <c r="C31" s="19"/>
      <c r="D31" s="17">
        <f>'Non-Rebalanced Portfolio'!D31</f>
        <v>19.600000000000001</v>
      </c>
      <c r="E31" s="17">
        <f>'Non-Rebalanced Portfolio'!E31</f>
        <v>16.100000000000001</v>
      </c>
      <c r="F31" s="19"/>
      <c r="G31" s="17">
        <f>'Non-Rebalanced Portfolio'!G31</f>
        <v>27.4</v>
      </c>
      <c r="H31" s="17">
        <f>'Non-Rebalanced Portfolio'!H31</f>
        <v>3.46</v>
      </c>
      <c r="N31" s="49">
        <f>'4.5% Withdrawals-No Rebalancing'!N31</f>
        <v>2016</v>
      </c>
      <c r="O31" s="50">
        <f>'4.5% Withdrawals-No Rebalancing'!O31</f>
        <v>1.7000000000000001E-2</v>
      </c>
    </row>
    <row r="32" spans="1:16" x14ac:dyDescent="0.2">
      <c r="A32" s="17">
        <f>'Non-Rebalanced Portfolio'!A32</f>
        <v>2017</v>
      </c>
      <c r="B32" s="17">
        <f>'Non-Rebalanced Portfolio'!B32</f>
        <v>21.67</v>
      </c>
      <c r="C32" s="19"/>
      <c r="D32" s="17">
        <f>'Non-Rebalanced Portfolio'!D32</f>
        <v>19.600000000000001</v>
      </c>
      <c r="E32" s="17">
        <f>'Non-Rebalanced Portfolio'!E32</f>
        <v>16.100000000000001</v>
      </c>
      <c r="F32" s="19"/>
      <c r="G32" s="17">
        <f>'Non-Rebalanced Portfolio'!G32</f>
        <v>27.4</v>
      </c>
      <c r="H32" s="17">
        <f>'Non-Rebalanced Portfolio'!H32</f>
        <v>3.46</v>
      </c>
      <c r="N32" s="49">
        <f>'4.5% Withdrawals-No Rebalancing'!N32</f>
        <v>2017</v>
      </c>
      <c r="O32" s="50">
        <f>'4.5% Withdrawals-No Rebalancing'!O32</f>
        <v>2.23E-2</v>
      </c>
    </row>
    <row r="33" spans="1:42" x14ac:dyDescent="0.2">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9">
        <f>'4.5% Withdrawals-No Rebalancing'!N33</f>
        <v>2017</v>
      </c>
      <c r="O33" s="50">
        <f>'4.5% Withdrawals-No Rebalancing'!O33</f>
        <v>2.23E-2</v>
      </c>
    </row>
    <row r="36" spans="1:42" x14ac:dyDescent="0.2">
      <c r="A36" s="20" t="s">
        <v>123</v>
      </c>
      <c r="N36" s="20" t="s">
        <v>25</v>
      </c>
      <c r="R36" s="20" t="s">
        <v>163</v>
      </c>
      <c r="AF36" s="20" t="s">
        <v>138</v>
      </c>
    </row>
    <row r="37" spans="1:42" x14ac:dyDescent="0.2">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76</v>
      </c>
      <c r="K37" s="5" t="s">
        <v>73</v>
      </c>
      <c r="L37" s="5" t="s">
        <v>74</v>
      </c>
      <c r="O37" s="81">
        <v>4.4999999999999998E-2</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76</v>
      </c>
      <c r="AB37" s="5" t="s">
        <v>73</v>
      </c>
      <c r="AC37" s="5" t="s">
        <v>74</v>
      </c>
      <c r="AD37" s="5" t="s">
        <v>88</v>
      </c>
      <c r="AG37" s="4" t="str">
        <f t="shared" ref="AG37:AM38" si="2">B37</f>
        <v>LC Stocks</v>
      </c>
      <c r="AH37" s="4" t="str">
        <f t="shared" si="2"/>
        <v>Ext Mkt</v>
      </c>
      <c r="AI37" s="4" t="str">
        <f t="shared" si="2"/>
        <v>Mcap Stk</v>
      </c>
      <c r="AJ37" s="4" t="str">
        <f t="shared" si="2"/>
        <v>Small Cap</v>
      </c>
      <c r="AK37" s="4" t="str">
        <f t="shared" si="2"/>
        <v>Intl Val</v>
      </c>
      <c r="AL37" s="4" t="str">
        <f t="shared" si="2"/>
        <v>Tot Int Stk</v>
      </c>
      <c r="AM37" s="4" t="str">
        <f t="shared" si="2"/>
        <v>Bonds</v>
      </c>
      <c r="AN37" s="5"/>
      <c r="AO37" s="5" t="s">
        <v>111</v>
      </c>
      <c r="AP37" s="5" t="s">
        <v>112</v>
      </c>
    </row>
    <row r="38" spans="1:42" x14ac:dyDescent="0.2">
      <c r="A38" t="s">
        <v>72</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70</v>
      </c>
      <c r="J38" s="5" t="s">
        <v>77</v>
      </c>
      <c r="K38" s="5" t="s">
        <v>75</v>
      </c>
      <c r="L38" s="5" t="s">
        <v>75</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77</v>
      </c>
      <c r="AB38" s="5" t="s">
        <v>75</v>
      </c>
      <c r="AC38" s="5" t="s">
        <v>75</v>
      </c>
      <c r="AD38" s="5" t="s">
        <v>87</v>
      </c>
      <c r="AF38" t="s">
        <v>72</v>
      </c>
      <c r="AG38" s="4" t="str">
        <f t="shared" si="2"/>
        <v>VFINX</v>
      </c>
      <c r="AH38" s="4" t="str">
        <f t="shared" si="2"/>
        <v>VEXMX</v>
      </c>
      <c r="AI38" s="4" t="str">
        <f t="shared" si="2"/>
        <v>VIMSX</v>
      </c>
      <c r="AJ38" s="4" t="str">
        <f t="shared" si="2"/>
        <v>NAESX</v>
      </c>
      <c r="AK38" s="4" t="str">
        <f t="shared" si="2"/>
        <v>VTRIX</v>
      </c>
      <c r="AL38" s="4" t="str">
        <f t="shared" si="2"/>
        <v>VGTSX</v>
      </c>
      <c r="AM38" s="4" t="str">
        <f t="shared" si="2"/>
        <v>VBMFX</v>
      </c>
      <c r="AN38" s="5" t="s">
        <v>70</v>
      </c>
      <c r="AO38" s="5" t="s">
        <v>112</v>
      </c>
      <c r="AP38" s="5" t="s">
        <v>87</v>
      </c>
    </row>
    <row r="39" spans="1:42" x14ac:dyDescent="0.2">
      <c r="A39" t="s">
        <v>71</v>
      </c>
      <c r="B39" s="2">
        <v>100000</v>
      </c>
      <c r="C39" s="2">
        <v>0</v>
      </c>
      <c r="F39" s="2">
        <v>0</v>
      </c>
      <c r="H39" s="2">
        <v>0</v>
      </c>
      <c r="I39" s="2">
        <f>SUM(B39:H39)</f>
        <v>100000</v>
      </c>
      <c r="N39" s="21"/>
      <c r="R39" t="str">
        <f>A39</f>
        <v>Stating Balance</v>
      </c>
      <c r="S39" s="2">
        <f>B39</f>
        <v>100000</v>
      </c>
      <c r="T39" s="2">
        <f t="shared" si="1"/>
        <v>0</v>
      </c>
      <c r="U39" s="2">
        <f t="shared" si="1"/>
        <v>0</v>
      </c>
      <c r="V39" s="2">
        <f t="shared" si="1"/>
        <v>0</v>
      </c>
      <c r="W39" s="2">
        <f t="shared" si="1"/>
        <v>0</v>
      </c>
      <c r="X39" s="2">
        <f t="shared" si="1"/>
        <v>0</v>
      </c>
      <c r="Y39" s="2">
        <f t="shared" si="1"/>
        <v>0</v>
      </c>
      <c r="Z39" s="2">
        <f t="shared" si="1"/>
        <v>100000</v>
      </c>
      <c r="AD39" s="2"/>
      <c r="AF39" s="21" t="s">
        <v>86</v>
      </c>
      <c r="AG39" s="6">
        <f t="shared" ref="AG39:AH54" si="3">S39/$Z39</f>
        <v>1</v>
      </c>
      <c r="AH39" s="6">
        <f t="shared" si="3"/>
        <v>0</v>
      </c>
      <c r="AI39" s="23">
        <v>0.2</v>
      </c>
      <c r="AJ39" s="23">
        <v>0.1</v>
      </c>
      <c r="AK39" s="6">
        <f t="shared" ref="AK39:AK48" si="4">W39/$Z39</f>
        <v>0</v>
      </c>
      <c r="AL39" s="23">
        <v>0.2</v>
      </c>
      <c r="AM39" s="6">
        <f>Y39/$Z39</f>
        <v>0</v>
      </c>
      <c r="AN39" s="6">
        <f>Z39/$Z39</f>
        <v>1</v>
      </c>
      <c r="AO39" s="24"/>
    </row>
    <row r="40" spans="1:42" x14ac:dyDescent="0.2">
      <c r="A40">
        <f t="shared" ref="A40:A64" si="5">A4</f>
        <v>1990</v>
      </c>
      <c r="B40" s="2">
        <f>B39*(1+(B4/100))</f>
        <v>96680</v>
      </c>
      <c r="C40" s="2">
        <f>C39*(1+(C4/100))</f>
        <v>0</v>
      </c>
      <c r="D40" s="2"/>
      <c r="E40" s="2"/>
      <c r="F40" s="2">
        <f>F39*(1+(F4/100))</f>
        <v>0</v>
      </c>
      <c r="G40" s="2"/>
      <c r="H40" s="2">
        <f>H39*(1+(H4/100))</f>
        <v>0</v>
      </c>
      <c r="I40" s="2">
        <f>SUM(B40:H40)</f>
        <v>96680</v>
      </c>
      <c r="J40" s="2">
        <f>I40-I39</f>
        <v>-3320</v>
      </c>
      <c r="K40" s="6">
        <f>(J40/I39)</f>
        <v>-3.32E-2</v>
      </c>
      <c r="L40" s="7">
        <f>K40+1</f>
        <v>0.96679999999999999</v>
      </c>
      <c r="N40">
        <f>A40</f>
        <v>1990</v>
      </c>
      <c r="O40" s="2">
        <f>I40*O37</f>
        <v>4350.5999999999995</v>
      </c>
      <c r="P40" s="2"/>
      <c r="Q40" s="2"/>
      <c r="R40">
        <f>A40</f>
        <v>1990</v>
      </c>
      <c r="S40" s="2">
        <f>B40-($O40)</f>
        <v>92329.4</v>
      </c>
      <c r="T40" s="2">
        <f>C40</f>
        <v>0</v>
      </c>
      <c r="U40" s="2"/>
      <c r="V40" s="2"/>
      <c r="W40" s="2">
        <f>F40</f>
        <v>0</v>
      </c>
      <c r="X40" s="2"/>
      <c r="Y40" s="2">
        <f>H40</f>
        <v>0</v>
      </c>
      <c r="Z40" s="2">
        <f>SUM(S40:Y40)</f>
        <v>92329.4</v>
      </c>
      <c r="AA40" s="2">
        <f>Z40-Z39</f>
        <v>-7670.6000000000058</v>
      </c>
      <c r="AB40" s="6">
        <f>(AA40/Z39)</f>
        <v>-7.6706000000000052E-2</v>
      </c>
      <c r="AC40" s="7">
        <f>AB40+1</f>
        <v>0.92329399999999995</v>
      </c>
      <c r="AD40" s="2">
        <f>Z40-(I40-O40)</f>
        <v>0</v>
      </c>
      <c r="AF40">
        <f t="shared" ref="AF40:AF64" si="6">A40</f>
        <v>1990</v>
      </c>
      <c r="AG40" s="6">
        <f t="shared" si="3"/>
        <v>1</v>
      </c>
      <c r="AH40" s="6">
        <f t="shared" si="3"/>
        <v>0</v>
      </c>
      <c r="AI40" s="7"/>
      <c r="AJ40" s="7"/>
      <c r="AK40" s="6">
        <f t="shared" si="4"/>
        <v>0</v>
      </c>
      <c r="AL40" s="7"/>
      <c r="AM40" s="6">
        <f t="shared" ref="AM40:AM64" si="7">Y40/$Z40</f>
        <v>0</v>
      </c>
      <c r="AN40" s="6">
        <f>SUM(AG40:AM40)</f>
        <v>1</v>
      </c>
      <c r="AO40" s="7">
        <f>SUM(AG40:AL40)</f>
        <v>1</v>
      </c>
      <c r="AP40" s="7">
        <f>AN40-(AO40+AM40)</f>
        <v>0</v>
      </c>
    </row>
    <row r="41" spans="1:42" x14ac:dyDescent="0.2">
      <c r="A41">
        <f t="shared" si="5"/>
        <v>1991</v>
      </c>
      <c r="B41" s="2">
        <f t="shared" ref="B41:C56" si="8">S40*(1+(B5/100))</f>
        <v>120231.34467999999</v>
      </c>
      <c r="C41" s="2">
        <f t="shared" si="8"/>
        <v>0</v>
      </c>
      <c r="D41" s="2"/>
      <c r="E41" s="2"/>
      <c r="F41" s="2">
        <f t="shared" ref="F41:F48" si="9">W40*(1+(F5/100))</f>
        <v>0</v>
      </c>
      <c r="G41" s="2"/>
      <c r="H41" s="2">
        <f t="shared" ref="H41:H64" si="10">Y40*(1+(H5/100))</f>
        <v>0</v>
      </c>
      <c r="I41" s="2">
        <f t="shared" ref="I41:I64" si="11">SUM(B41:H41)</f>
        <v>120231.34467999999</v>
      </c>
      <c r="J41" s="2">
        <f t="shared" ref="J41:J64" si="12">I41-I40</f>
        <v>23551.344679999995</v>
      </c>
      <c r="K41" s="6">
        <f t="shared" ref="K41:K64" si="13">(J41/I40)</f>
        <v>0.24360099999999996</v>
      </c>
      <c r="L41" s="7">
        <f t="shared" ref="L41:L64" si="14">K41+1</f>
        <v>1.243601</v>
      </c>
      <c r="N41">
        <f t="shared" ref="N41:N64" si="15">A41</f>
        <v>1991</v>
      </c>
      <c r="O41" s="2">
        <f t="shared" ref="O41:O64" si="16">O40*(1+O5)</f>
        <v>4624.6877999999988</v>
      </c>
      <c r="P41" s="2"/>
      <c r="Q41" s="2"/>
      <c r="R41">
        <f t="shared" ref="R41:R64" si="17">A41</f>
        <v>1991</v>
      </c>
      <c r="S41" s="2">
        <f t="shared" ref="S41:S64" si="18">B41-($O41)</f>
        <v>115606.65687999999</v>
      </c>
      <c r="T41" s="2">
        <f t="shared" ref="T41:T50" si="19">C41</f>
        <v>0</v>
      </c>
      <c r="U41" s="2"/>
      <c r="V41" s="2"/>
      <c r="W41" s="2">
        <f t="shared" ref="W41:W48" si="20">F41</f>
        <v>0</v>
      </c>
      <c r="X41" s="2"/>
      <c r="Y41" s="2">
        <f t="shared" ref="Y41:Y64" si="21">H41</f>
        <v>0</v>
      </c>
      <c r="Z41" s="2">
        <f t="shared" ref="Z41:Z64" si="22">SUM(S41:Y41)</f>
        <v>115606.65687999999</v>
      </c>
      <c r="AA41" s="2">
        <f t="shared" ref="AA41:AA55" si="23">Z41-Z40</f>
        <v>23277.256880000001</v>
      </c>
      <c r="AB41" s="6">
        <f t="shared" ref="AB41:AB55" si="24">(AA41/Z40)</f>
        <v>0.25211099476439791</v>
      </c>
      <c r="AC41" s="7">
        <f t="shared" ref="AC41:AC64" si="25">AB41+1</f>
        <v>1.252110994764398</v>
      </c>
      <c r="AD41" s="2">
        <f t="shared" ref="AD41:AD64" si="26">Z41-(I41-O41)</f>
        <v>0</v>
      </c>
      <c r="AF41">
        <f t="shared" si="6"/>
        <v>1991</v>
      </c>
      <c r="AG41" s="6">
        <f t="shared" si="3"/>
        <v>1</v>
      </c>
      <c r="AH41" s="6">
        <f t="shared" si="3"/>
        <v>0</v>
      </c>
      <c r="AI41" s="7"/>
      <c r="AJ41" s="7"/>
      <c r="AK41" s="6">
        <f t="shared" si="4"/>
        <v>0</v>
      </c>
      <c r="AL41" s="7"/>
      <c r="AM41" s="6">
        <f t="shared" si="7"/>
        <v>0</v>
      </c>
      <c r="AN41" s="6">
        <f t="shared" ref="AN41:AN64" si="27">SUM(AG41:AM41)</f>
        <v>1</v>
      </c>
      <c r="AO41" s="7">
        <f t="shared" ref="AO41:AO64" si="28">SUM(AG41:AL41)</f>
        <v>1</v>
      </c>
      <c r="AP41" s="7">
        <f t="shared" ref="AP41:AP64" si="29">AN41-(AO41+AM41)</f>
        <v>0</v>
      </c>
    </row>
    <row r="42" spans="1:42" x14ac:dyDescent="0.2">
      <c r="A42">
        <f t="shared" si="5"/>
        <v>1992</v>
      </c>
      <c r="B42" s="2">
        <f t="shared" si="8"/>
        <v>124184.670820496</v>
      </c>
      <c r="C42" s="2">
        <f t="shared" si="8"/>
        <v>0</v>
      </c>
      <c r="D42" s="2"/>
      <c r="E42" s="2"/>
      <c r="F42" s="2">
        <f t="shared" si="9"/>
        <v>0</v>
      </c>
      <c r="G42" s="2"/>
      <c r="H42" s="2">
        <f t="shared" si="10"/>
        <v>0</v>
      </c>
      <c r="I42" s="2">
        <f t="shared" ref="I42:I48" si="30">SUM(B42:H42)</f>
        <v>124184.670820496</v>
      </c>
      <c r="J42" s="2">
        <f t="shared" si="12"/>
        <v>3953.3261404960067</v>
      </c>
      <c r="K42" s="6">
        <f t="shared" si="13"/>
        <v>3.2880994145228312E-2</v>
      </c>
      <c r="L42" s="7">
        <f t="shared" si="14"/>
        <v>1.0328809941452284</v>
      </c>
      <c r="N42">
        <f t="shared" si="15"/>
        <v>1992</v>
      </c>
      <c r="O42" s="2">
        <f t="shared" si="16"/>
        <v>4763.4284339999986</v>
      </c>
      <c r="P42" s="2"/>
      <c r="Q42" s="2"/>
      <c r="R42">
        <f t="shared" si="17"/>
        <v>1992</v>
      </c>
      <c r="S42" s="2">
        <f t="shared" si="18"/>
        <v>119421.242386496</v>
      </c>
      <c r="T42" s="2">
        <f t="shared" si="19"/>
        <v>0</v>
      </c>
      <c r="U42" s="2"/>
      <c r="V42" s="2"/>
      <c r="W42" s="2">
        <f t="shared" si="20"/>
        <v>0</v>
      </c>
      <c r="X42" s="2"/>
      <c r="Y42" s="2">
        <f t="shared" si="21"/>
        <v>0</v>
      </c>
      <c r="Z42" s="2">
        <f t="shared" si="22"/>
        <v>119421.242386496</v>
      </c>
      <c r="AA42" s="2">
        <f t="shared" si="23"/>
        <v>3814.5855064960051</v>
      </c>
      <c r="AB42" s="6">
        <f t="shared" si="24"/>
        <v>3.2996244415713485E-2</v>
      </c>
      <c r="AC42" s="7">
        <f t="shared" si="25"/>
        <v>1.0329962444157135</v>
      </c>
      <c r="AD42" s="2">
        <f t="shared" si="26"/>
        <v>0</v>
      </c>
      <c r="AF42">
        <f t="shared" si="6"/>
        <v>1992</v>
      </c>
      <c r="AG42" s="6">
        <f t="shared" si="3"/>
        <v>1</v>
      </c>
      <c r="AH42" s="6">
        <f t="shared" si="3"/>
        <v>0</v>
      </c>
      <c r="AI42" s="7"/>
      <c r="AJ42" s="7"/>
      <c r="AK42" s="6">
        <f t="shared" si="4"/>
        <v>0</v>
      </c>
      <c r="AL42" s="7"/>
      <c r="AM42" s="6">
        <f t="shared" si="7"/>
        <v>0</v>
      </c>
      <c r="AN42" s="6">
        <f t="shared" si="27"/>
        <v>1</v>
      </c>
      <c r="AO42" s="7">
        <f t="shared" si="28"/>
        <v>1</v>
      </c>
      <c r="AP42" s="7">
        <f t="shared" si="29"/>
        <v>0</v>
      </c>
    </row>
    <row r="43" spans="1:42" x14ac:dyDescent="0.2">
      <c r="A43">
        <f t="shared" si="5"/>
        <v>1993</v>
      </c>
      <c r="B43" s="2">
        <f t="shared" si="8"/>
        <v>131232.00325852045</v>
      </c>
      <c r="C43" s="2">
        <f t="shared" si="8"/>
        <v>0</v>
      </c>
      <c r="D43" s="2"/>
      <c r="E43" s="2"/>
      <c r="F43" s="2">
        <f t="shared" si="9"/>
        <v>0</v>
      </c>
      <c r="G43" s="2"/>
      <c r="H43" s="2">
        <f t="shared" si="10"/>
        <v>0</v>
      </c>
      <c r="I43" s="2">
        <f t="shared" si="30"/>
        <v>131232.00325852045</v>
      </c>
      <c r="J43" s="2">
        <f t="shared" si="12"/>
        <v>7047.3324380244449</v>
      </c>
      <c r="K43" s="6">
        <f t="shared" si="13"/>
        <v>5.6748811197567882E-2</v>
      </c>
      <c r="L43" s="7">
        <f t="shared" si="14"/>
        <v>1.0567488111975678</v>
      </c>
      <c r="N43">
        <f t="shared" si="15"/>
        <v>1993</v>
      </c>
      <c r="O43" s="2">
        <f t="shared" si="16"/>
        <v>4906.3312870199989</v>
      </c>
      <c r="P43" s="2"/>
      <c r="Q43" s="2"/>
      <c r="R43">
        <f t="shared" si="17"/>
        <v>1993</v>
      </c>
      <c r="S43" s="2">
        <f t="shared" si="18"/>
        <v>126325.67197150044</v>
      </c>
      <c r="T43" s="2">
        <f t="shared" si="19"/>
        <v>0</v>
      </c>
      <c r="U43" s="2"/>
      <c r="V43" s="2"/>
      <c r="W43" s="2">
        <f t="shared" si="20"/>
        <v>0</v>
      </c>
      <c r="X43" s="2"/>
      <c r="Y43" s="2">
        <f t="shared" si="21"/>
        <v>0</v>
      </c>
      <c r="Z43" s="2">
        <f t="shared" si="22"/>
        <v>126325.67197150044</v>
      </c>
      <c r="AA43" s="2">
        <f t="shared" si="23"/>
        <v>6904.4295850044437</v>
      </c>
      <c r="AB43" s="6">
        <f t="shared" si="24"/>
        <v>5.7815757456775439E-2</v>
      </c>
      <c r="AC43" s="7">
        <f t="shared" si="25"/>
        <v>1.0578157574567755</v>
      </c>
      <c r="AD43" s="2">
        <f t="shared" si="26"/>
        <v>0</v>
      </c>
      <c r="AF43">
        <f t="shared" si="6"/>
        <v>1993</v>
      </c>
      <c r="AG43" s="6">
        <f t="shared" si="3"/>
        <v>1</v>
      </c>
      <c r="AH43" s="6">
        <f t="shared" si="3"/>
        <v>0</v>
      </c>
      <c r="AI43" s="7"/>
      <c r="AJ43" s="7"/>
      <c r="AK43" s="6">
        <f t="shared" si="4"/>
        <v>0</v>
      </c>
      <c r="AL43" s="7"/>
      <c r="AM43" s="6">
        <f t="shared" si="7"/>
        <v>0</v>
      </c>
      <c r="AN43" s="6">
        <f t="shared" si="27"/>
        <v>1</v>
      </c>
      <c r="AO43" s="7">
        <f t="shared" si="28"/>
        <v>1</v>
      </c>
      <c r="AP43" s="7">
        <f t="shared" si="29"/>
        <v>0</v>
      </c>
    </row>
    <row r="44" spans="1:42" x14ac:dyDescent="0.2">
      <c r="A44">
        <f t="shared" si="5"/>
        <v>1994</v>
      </c>
      <c r="B44" s="2">
        <f t="shared" si="8"/>
        <v>127816.31490076415</v>
      </c>
      <c r="C44" s="2">
        <f t="shared" si="8"/>
        <v>0</v>
      </c>
      <c r="D44" s="2"/>
      <c r="E44" s="2"/>
      <c r="F44" s="2">
        <f t="shared" si="9"/>
        <v>0</v>
      </c>
      <c r="G44" s="2"/>
      <c r="H44" s="2">
        <f t="shared" si="10"/>
        <v>0</v>
      </c>
      <c r="I44" s="2">
        <f t="shared" si="30"/>
        <v>127816.31490076415</v>
      </c>
      <c r="J44" s="2">
        <f t="shared" si="12"/>
        <v>-3415.6883577562985</v>
      </c>
      <c r="K44" s="6">
        <f t="shared" si="13"/>
        <v>-2.602786113862458E-2</v>
      </c>
      <c r="L44" s="7">
        <f t="shared" si="14"/>
        <v>0.97397213886137546</v>
      </c>
      <c r="N44">
        <f t="shared" si="15"/>
        <v>1994</v>
      </c>
      <c r="O44" s="2">
        <f t="shared" si="16"/>
        <v>5043.7085630565589</v>
      </c>
      <c r="P44" s="2"/>
      <c r="Q44" s="2"/>
      <c r="R44">
        <f t="shared" si="17"/>
        <v>1994</v>
      </c>
      <c r="S44" s="2">
        <f t="shared" si="18"/>
        <v>122772.60633770759</v>
      </c>
      <c r="T44" s="2">
        <f t="shared" si="19"/>
        <v>0</v>
      </c>
      <c r="U44" s="2"/>
      <c r="V44" s="2"/>
      <c r="W44" s="2">
        <f t="shared" si="20"/>
        <v>0</v>
      </c>
      <c r="X44" s="2"/>
      <c r="Y44" s="2">
        <f t="shared" si="21"/>
        <v>0</v>
      </c>
      <c r="Z44" s="2">
        <f t="shared" si="22"/>
        <v>122772.60633770759</v>
      </c>
      <c r="AA44" s="2">
        <f t="shared" si="23"/>
        <v>-3553.0656337928522</v>
      </c>
      <c r="AB44" s="6">
        <f t="shared" si="24"/>
        <v>-2.812623577094003E-2</v>
      </c>
      <c r="AC44" s="7">
        <f t="shared" si="25"/>
        <v>0.97187376422906002</v>
      </c>
      <c r="AD44" s="2">
        <f t="shared" si="26"/>
        <v>0</v>
      </c>
      <c r="AF44">
        <f t="shared" si="6"/>
        <v>1994</v>
      </c>
      <c r="AG44" s="6">
        <f t="shared" si="3"/>
        <v>1</v>
      </c>
      <c r="AH44" s="6">
        <f t="shared" si="3"/>
        <v>0</v>
      </c>
      <c r="AI44" s="7"/>
      <c r="AJ44" s="7"/>
      <c r="AK44" s="6">
        <f t="shared" si="4"/>
        <v>0</v>
      </c>
      <c r="AL44" s="7"/>
      <c r="AM44" s="6">
        <f t="shared" si="7"/>
        <v>0</v>
      </c>
      <c r="AN44" s="6">
        <f t="shared" si="27"/>
        <v>1</v>
      </c>
      <c r="AO44" s="7">
        <f t="shared" si="28"/>
        <v>1</v>
      </c>
      <c r="AP44" s="7">
        <f t="shared" si="29"/>
        <v>0</v>
      </c>
    </row>
    <row r="45" spans="1:42" x14ac:dyDescent="0.2">
      <c r="A45">
        <f t="shared" si="5"/>
        <v>1995</v>
      </c>
      <c r="B45" s="2">
        <f t="shared" si="8"/>
        <v>168750.94741117908</v>
      </c>
      <c r="C45" s="2">
        <f t="shared" si="8"/>
        <v>0</v>
      </c>
      <c r="D45" s="2"/>
      <c r="E45" s="2"/>
      <c r="F45" s="2">
        <f t="shared" si="9"/>
        <v>0</v>
      </c>
      <c r="G45" s="2"/>
      <c r="H45" s="2">
        <f t="shared" si="10"/>
        <v>0</v>
      </c>
      <c r="I45" s="2">
        <f t="shared" si="30"/>
        <v>168750.94741117908</v>
      </c>
      <c r="J45" s="2">
        <f t="shared" si="12"/>
        <v>40934.632510414929</v>
      </c>
      <c r="K45" s="6">
        <f t="shared" si="13"/>
        <v>0.32026140436137862</v>
      </c>
      <c r="L45" s="7">
        <f t="shared" si="14"/>
        <v>1.3202614043613785</v>
      </c>
      <c r="N45">
        <f t="shared" si="15"/>
        <v>1995</v>
      </c>
      <c r="O45" s="2">
        <f t="shared" si="16"/>
        <v>5174.8449856960297</v>
      </c>
      <c r="P45" s="2"/>
      <c r="Q45" s="2"/>
      <c r="R45">
        <f t="shared" si="17"/>
        <v>1995</v>
      </c>
      <c r="S45" s="2">
        <f t="shared" si="18"/>
        <v>163576.10242548306</v>
      </c>
      <c r="T45" s="2">
        <f t="shared" si="19"/>
        <v>0</v>
      </c>
      <c r="U45" s="2"/>
      <c r="V45" s="2"/>
      <c r="W45" s="2">
        <f t="shared" si="20"/>
        <v>0</v>
      </c>
      <c r="X45" s="2"/>
      <c r="Y45" s="2">
        <f t="shared" si="21"/>
        <v>0</v>
      </c>
      <c r="Z45" s="2">
        <f t="shared" si="22"/>
        <v>163576.10242548306</v>
      </c>
      <c r="AA45" s="2">
        <f t="shared" si="23"/>
        <v>40803.496087775464</v>
      </c>
      <c r="AB45" s="6">
        <f t="shared" si="24"/>
        <v>0.33235016592820626</v>
      </c>
      <c r="AC45" s="7">
        <f t="shared" si="25"/>
        <v>1.3323501659282062</v>
      </c>
      <c r="AD45" s="2">
        <f t="shared" si="26"/>
        <v>0</v>
      </c>
      <c r="AF45">
        <f t="shared" si="6"/>
        <v>1995</v>
      </c>
      <c r="AG45" s="6">
        <f t="shared" si="3"/>
        <v>1</v>
      </c>
      <c r="AH45" s="6">
        <f t="shared" si="3"/>
        <v>0</v>
      </c>
      <c r="AI45" s="7"/>
      <c r="AJ45" s="7"/>
      <c r="AK45" s="6">
        <f t="shared" si="4"/>
        <v>0</v>
      </c>
      <c r="AL45" s="7"/>
      <c r="AM45" s="6">
        <f t="shared" si="7"/>
        <v>0</v>
      </c>
      <c r="AN45" s="6">
        <f t="shared" si="27"/>
        <v>1</v>
      </c>
      <c r="AO45" s="7">
        <f t="shared" si="28"/>
        <v>1</v>
      </c>
      <c r="AP45" s="7">
        <f t="shared" si="29"/>
        <v>0</v>
      </c>
    </row>
    <row r="46" spans="1:42" x14ac:dyDescent="0.2">
      <c r="A46">
        <f t="shared" si="5"/>
        <v>1996</v>
      </c>
      <c r="B46" s="2">
        <f t="shared" si="8"/>
        <v>201002.31466043359</v>
      </c>
      <c r="C46" s="2">
        <f t="shared" si="8"/>
        <v>0</v>
      </c>
      <c r="D46" s="2"/>
      <c r="E46" s="2"/>
      <c r="F46" s="2">
        <f t="shared" si="9"/>
        <v>0</v>
      </c>
      <c r="G46" s="2"/>
      <c r="H46" s="2">
        <f t="shared" si="10"/>
        <v>0</v>
      </c>
      <c r="I46" s="2">
        <f t="shared" si="30"/>
        <v>201002.31466043359</v>
      </c>
      <c r="J46" s="2">
        <f t="shared" si="12"/>
        <v>32251.367249254516</v>
      </c>
      <c r="K46" s="6">
        <f t="shared" si="13"/>
        <v>0.19111814033654423</v>
      </c>
      <c r="L46" s="7">
        <f t="shared" si="14"/>
        <v>1.1911181403365443</v>
      </c>
      <c r="N46">
        <f t="shared" si="15"/>
        <v>1996</v>
      </c>
      <c r="O46" s="2">
        <f t="shared" si="16"/>
        <v>5304.2161103384296</v>
      </c>
      <c r="P46" s="2"/>
      <c r="Q46" s="2"/>
      <c r="R46">
        <f t="shared" si="17"/>
        <v>1996</v>
      </c>
      <c r="S46" s="2">
        <f t="shared" si="18"/>
        <v>195698.09855009516</v>
      </c>
      <c r="T46" s="2">
        <f t="shared" si="19"/>
        <v>0</v>
      </c>
      <c r="U46" s="2"/>
      <c r="V46" s="2"/>
      <c r="W46" s="2">
        <f t="shared" si="20"/>
        <v>0</v>
      </c>
      <c r="X46" s="2"/>
      <c r="Y46" s="2">
        <f t="shared" si="21"/>
        <v>0</v>
      </c>
      <c r="Z46" s="2">
        <f t="shared" si="22"/>
        <v>195698.09855009516</v>
      </c>
      <c r="AA46" s="2">
        <f t="shared" si="23"/>
        <v>32121.996124612109</v>
      </c>
      <c r="AB46" s="6">
        <f t="shared" si="24"/>
        <v>0.19637340447847665</v>
      </c>
      <c r="AC46" s="7">
        <f t="shared" si="25"/>
        <v>1.1963734044784766</v>
      </c>
      <c r="AD46" s="2">
        <f t="shared" si="26"/>
        <v>0</v>
      </c>
      <c r="AF46">
        <f t="shared" si="6"/>
        <v>1996</v>
      </c>
      <c r="AG46" s="6">
        <f t="shared" si="3"/>
        <v>1</v>
      </c>
      <c r="AH46" s="6">
        <f t="shared" si="3"/>
        <v>0</v>
      </c>
      <c r="AI46" s="7"/>
      <c r="AJ46" s="7"/>
      <c r="AK46" s="6">
        <f t="shared" si="4"/>
        <v>0</v>
      </c>
      <c r="AL46" s="7"/>
      <c r="AM46" s="6">
        <f t="shared" si="7"/>
        <v>0</v>
      </c>
      <c r="AN46" s="6">
        <f t="shared" si="27"/>
        <v>1</v>
      </c>
      <c r="AO46" s="7">
        <f t="shared" si="28"/>
        <v>1</v>
      </c>
      <c r="AP46" s="7">
        <f t="shared" si="29"/>
        <v>0</v>
      </c>
    </row>
    <row r="47" spans="1:42" x14ac:dyDescent="0.2">
      <c r="A47">
        <f t="shared" si="5"/>
        <v>1997</v>
      </c>
      <c r="B47" s="2">
        <f t="shared" si="8"/>
        <v>260650.29745887176</v>
      </c>
      <c r="C47" s="2">
        <f t="shared" si="8"/>
        <v>0</v>
      </c>
      <c r="D47" s="2"/>
      <c r="E47" s="2"/>
      <c r="F47" s="2">
        <f t="shared" si="9"/>
        <v>0</v>
      </c>
      <c r="G47" s="2"/>
      <c r="H47" s="2">
        <f t="shared" si="10"/>
        <v>0</v>
      </c>
      <c r="I47" s="2">
        <f t="shared" si="30"/>
        <v>260650.29745887176</v>
      </c>
      <c r="J47" s="2">
        <f t="shared" si="12"/>
        <v>59647.98279843817</v>
      </c>
      <c r="K47" s="6">
        <f t="shared" si="13"/>
        <v>0.29675271600332276</v>
      </c>
      <c r="L47" s="7">
        <f t="shared" si="14"/>
        <v>1.2967527160033228</v>
      </c>
      <c r="N47">
        <f t="shared" si="15"/>
        <v>1997</v>
      </c>
      <c r="O47" s="2">
        <f t="shared" si="16"/>
        <v>5484.559458089936</v>
      </c>
      <c r="P47" s="2"/>
      <c r="Q47" s="2"/>
      <c r="R47">
        <f t="shared" si="17"/>
        <v>1997</v>
      </c>
      <c r="S47" s="2">
        <f t="shared" si="18"/>
        <v>255165.73800078183</v>
      </c>
      <c r="T47" s="2">
        <f t="shared" si="19"/>
        <v>0</v>
      </c>
      <c r="U47" s="2"/>
      <c r="V47" s="2"/>
      <c r="W47" s="2">
        <f t="shared" si="20"/>
        <v>0</v>
      </c>
      <c r="X47" s="2"/>
      <c r="Y47" s="2">
        <f t="shared" si="21"/>
        <v>0</v>
      </c>
      <c r="Z47" s="2">
        <f t="shared" si="22"/>
        <v>255165.73800078183</v>
      </c>
      <c r="AA47" s="2">
        <f t="shared" si="23"/>
        <v>59467.639450686664</v>
      </c>
      <c r="AB47" s="6">
        <f t="shared" si="24"/>
        <v>0.30387438555241775</v>
      </c>
      <c r="AC47" s="7">
        <f t="shared" si="25"/>
        <v>1.3038743855524177</v>
      </c>
      <c r="AD47" s="2">
        <f t="shared" si="26"/>
        <v>0</v>
      </c>
      <c r="AF47">
        <f t="shared" si="6"/>
        <v>1997</v>
      </c>
      <c r="AG47" s="6">
        <f t="shared" si="3"/>
        <v>1</v>
      </c>
      <c r="AH47" s="6">
        <f t="shared" si="3"/>
        <v>0</v>
      </c>
      <c r="AI47" s="7"/>
      <c r="AJ47" s="7"/>
      <c r="AK47" s="6">
        <f t="shared" si="4"/>
        <v>0</v>
      </c>
      <c r="AL47" s="7"/>
      <c r="AM47" s="6">
        <f t="shared" si="7"/>
        <v>0</v>
      </c>
      <c r="AN47" s="6">
        <f t="shared" si="27"/>
        <v>1</v>
      </c>
      <c r="AO47" s="7">
        <f t="shared" si="28"/>
        <v>1</v>
      </c>
      <c r="AP47" s="7">
        <f t="shared" si="29"/>
        <v>0</v>
      </c>
    </row>
    <row r="48" spans="1:42" x14ac:dyDescent="0.2">
      <c r="A48">
        <f t="shared" si="5"/>
        <v>1998</v>
      </c>
      <c r="B48" s="2">
        <f t="shared" si="8"/>
        <v>328296.23851180589</v>
      </c>
      <c r="C48" s="2">
        <f t="shared" si="8"/>
        <v>0</v>
      </c>
      <c r="D48" s="2"/>
      <c r="E48" s="2"/>
      <c r="F48" s="2">
        <f t="shared" si="9"/>
        <v>0</v>
      </c>
      <c r="G48" s="2"/>
      <c r="H48" s="2">
        <f t="shared" si="10"/>
        <v>0</v>
      </c>
      <c r="I48" s="2">
        <f t="shared" si="30"/>
        <v>328296.23851180589</v>
      </c>
      <c r="J48" s="2">
        <f t="shared" si="12"/>
        <v>67645.941052934126</v>
      </c>
      <c r="K48" s="6">
        <f t="shared" si="13"/>
        <v>0.25952758048782981</v>
      </c>
      <c r="L48" s="7">
        <f t="shared" si="14"/>
        <v>1.2595275804878299</v>
      </c>
      <c r="N48">
        <f t="shared" si="15"/>
        <v>1998</v>
      </c>
      <c r="O48" s="2">
        <f t="shared" si="16"/>
        <v>5577.7969688774647</v>
      </c>
      <c r="P48" s="2"/>
      <c r="Q48" s="2"/>
      <c r="R48">
        <f t="shared" si="17"/>
        <v>1998</v>
      </c>
      <c r="S48" s="2">
        <f t="shared" si="18"/>
        <v>322718.4415429284</v>
      </c>
      <c r="T48" s="2">
        <f t="shared" si="19"/>
        <v>0</v>
      </c>
      <c r="U48" s="2"/>
      <c r="V48" s="2"/>
      <c r="W48" s="2">
        <f t="shared" si="20"/>
        <v>0</v>
      </c>
      <c r="X48" s="2"/>
      <c r="Y48" s="2">
        <f t="shared" si="21"/>
        <v>0</v>
      </c>
      <c r="Z48" s="2">
        <f t="shared" si="22"/>
        <v>322718.4415429284</v>
      </c>
      <c r="AA48" s="2">
        <f t="shared" si="23"/>
        <v>67552.70354214657</v>
      </c>
      <c r="AB48" s="6">
        <f t="shared" si="24"/>
        <v>0.26474049404681277</v>
      </c>
      <c r="AC48" s="7">
        <f t="shared" si="25"/>
        <v>1.2647404940468128</v>
      </c>
      <c r="AD48" s="2">
        <f t="shared" si="26"/>
        <v>0</v>
      </c>
      <c r="AF48">
        <f t="shared" si="6"/>
        <v>1998</v>
      </c>
      <c r="AG48" s="6">
        <f t="shared" si="3"/>
        <v>1</v>
      </c>
      <c r="AH48" s="6">
        <f t="shared" si="3"/>
        <v>0</v>
      </c>
      <c r="AI48" s="7"/>
      <c r="AJ48" s="7"/>
      <c r="AK48" s="6">
        <f t="shared" si="4"/>
        <v>0</v>
      </c>
      <c r="AL48" s="6"/>
      <c r="AM48" s="6">
        <f t="shared" si="7"/>
        <v>0</v>
      </c>
      <c r="AN48" s="6">
        <f t="shared" si="27"/>
        <v>1</v>
      </c>
      <c r="AO48" s="7">
        <f t="shared" si="28"/>
        <v>1</v>
      </c>
      <c r="AP48" s="7">
        <f t="shared" si="29"/>
        <v>0</v>
      </c>
    </row>
    <row r="49" spans="1:42" x14ac:dyDescent="0.2">
      <c r="A49">
        <f t="shared" si="5"/>
        <v>1999</v>
      </c>
      <c r="B49" s="2">
        <f t="shared" si="8"/>
        <v>390715.21717602346</v>
      </c>
      <c r="C49" s="2">
        <f t="shared" si="8"/>
        <v>0</v>
      </c>
      <c r="D49" s="2"/>
      <c r="E49" s="2"/>
      <c r="F49" s="2"/>
      <c r="G49" s="2">
        <f>W48*(1+(G13/100))</f>
        <v>0</v>
      </c>
      <c r="H49" s="2">
        <f t="shared" si="10"/>
        <v>0</v>
      </c>
      <c r="I49" s="2">
        <f t="shared" si="11"/>
        <v>390715.21717602346</v>
      </c>
      <c r="J49" s="2">
        <f>I49-I48</f>
        <v>62418.978664217575</v>
      </c>
      <c r="K49" s="6">
        <f>(J49/I48)</f>
        <v>0.19013004519079471</v>
      </c>
      <c r="L49" s="7">
        <f t="shared" si="14"/>
        <v>1.1901300451907948</v>
      </c>
      <c r="N49">
        <f t="shared" si="15"/>
        <v>1999</v>
      </c>
      <c r="O49" s="2">
        <f t="shared" si="16"/>
        <v>5667.0417203795041</v>
      </c>
      <c r="P49" s="2"/>
      <c r="Q49" s="2"/>
      <c r="R49">
        <f t="shared" si="17"/>
        <v>1999</v>
      </c>
      <c r="S49" s="2">
        <f t="shared" si="18"/>
        <v>385048.17545564397</v>
      </c>
      <c r="T49" s="2">
        <f t="shared" si="19"/>
        <v>0</v>
      </c>
      <c r="U49" s="2"/>
      <c r="V49" s="2"/>
      <c r="W49" s="2"/>
      <c r="X49" s="2">
        <f>G49</f>
        <v>0</v>
      </c>
      <c r="Y49" s="2">
        <f t="shared" si="21"/>
        <v>0</v>
      </c>
      <c r="Z49" s="2">
        <f t="shared" si="22"/>
        <v>385048.17545564397</v>
      </c>
      <c r="AA49" s="2">
        <f>Z49-Z48</f>
        <v>62329.733912715572</v>
      </c>
      <c r="AB49" s="6">
        <f>(AA49/Z48)</f>
        <v>0.19313967189081258</v>
      </c>
      <c r="AC49" s="7">
        <f t="shared" si="25"/>
        <v>1.1931396718908125</v>
      </c>
      <c r="AD49" s="2">
        <f t="shared" si="26"/>
        <v>0</v>
      </c>
      <c r="AF49">
        <f t="shared" si="6"/>
        <v>1999</v>
      </c>
      <c r="AG49" s="6">
        <f t="shared" si="3"/>
        <v>1</v>
      </c>
      <c r="AH49" s="6">
        <f t="shared" si="3"/>
        <v>0</v>
      </c>
      <c r="AI49" s="7"/>
      <c r="AJ49" s="7"/>
      <c r="AK49" s="6"/>
      <c r="AL49" s="6">
        <f t="shared" ref="AL49:AL64" si="31">X49/$Z49</f>
        <v>0</v>
      </c>
      <c r="AM49" s="6">
        <f t="shared" si="7"/>
        <v>0</v>
      </c>
      <c r="AN49" s="6">
        <f t="shared" si="27"/>
        <v>1</v>
      </c>
      <c r="AO49" s="7">
        <f t="shared" si="28"/>
        <v>1</v>
      </c>
      <c r="AP49" s="7">
        <f t="shared" si="29"/>
        <v>0</v>
      </c>
    </row>
    <row r="50" spans="1:42" x14ac:dyDescent="0.2">
      <c r="A50">
        <f t="shared" si="5"/>
        <v>2000</v>
      </c>
      <c r="B50" s="2">
        <f t="shared" si="8"/>
        <v>350162.81075936265</v>
      </c>
      <c r="C50" s="2">
        <f t="shared" si="8"/>
        <v>0</v>
      </c>
      <c r="D50" s="2"/>
      <c r="E50" s="2"/>
      <c r="F50" s="2"/>
      <c r="G50" s="2">
        <f t="shared" ref="G50:G64" si="32">X49*(1+(G14/100))</f>
        <v>0</v>
      </c>
      <c r="H50" s="2">
        <f t="shared" si="10"/>
        <v>0</v>
      </c>
      <c r="I50" s="2">
        <f t="shared" si="11"/>
        <v>350162.81075936265</v>
      </c>
      <c r="J50" s="2">
        <f>I50-I49</f>
        <v>-40552.406416660815</v>
      </c>
      <c r="K50" s="6">
        <f>(J50/I49)</f>
        <v>-0.10379018946270349</v>
      </c>
      <c r="L50" s="7">
        <f t="shared" si="14"/>
        <v>0.89620981053729654</v>
      </c>
      <c r="N50">
        <f t="shared" si="15"/>
        <v>2000</v>
      </c>
      <c r="O50" s="2">
        <f t="shared" si="16"/>
        <v>5820.0518468297505</v>
      </c>
      <c r="P50" s="2"/>
      <c r="Q50" s="2"/>
      <c r="R50">
        <f t="shared" si="17"/>
        <v>2000</v>
      </c>
      <c r="S50" s="2">
        <f t="shared" si="18"/>
        <v>344342.75891253288</v>
      </c>
      <c r="T50" s="2">
        <f t="shared" si="19"/>
        <v>0</v>
      </c>
      <c r="U50" s="2"/>
      <c r="V50" s="2"/>
      <c r="W50" s="2"/>
      <c r="X50" s="2">
        <f t="shared" ref="X50:X64" si="33">G50</f>
        <v>0</v>
      </c>
      <c r="Y50" s="2">
        <f t="shared" si="21"/>
        <v>0</v>
      </c>
      <c r="Z50" s="2">
        <f t="shared" si="22"/>
        <v>344342.75891253288</v>
      </c>
      <c r="AA50" s="2">
        <f>Z50-Z49</f>
        <v>-40705.416543111089</v>
      </c>
      <c r="AB50" s="6">
        <f>(AA50/Z49)</f>
        <v>-0.10571512641227979</v>
      </c>
      <c r="AC50" s="7">
        <f t="shared" si="25"/>
        <v>0.89428487358772024</v>
      </c>
      <c r="AD50" s="2">
        <f t="shared" si="26"/>
        <v>0</v>
      </c>
      <c r="AF50">
        <f t="shared" si="6"/>
        <v>2000</v>
      </c>
      <c r="AG50" s="6">
        <f t="shared" si="3"/>
        <v>1</v>
      </c>
      <c r="AH50" s="6">
        <f t="shared" si="3"/>
        <v>0</v>
      </c>
      <c r="AI50" s="7"/>
      <c r="AJ50" s="7"/>
      <c r="AK50" s="7"/>
      <c r="AL50" s="6">
        <f t="shared" si="31"/>
        <v>0</v>
      </c>
      <c r="AM50" s="6">
        <f t="shared" si="7"/>
        <v>0</v>
      </c>
      <c r="AN50" s="6">
        <f t="shared" si="27"/>
        <v>1</v>
      </c>
      <c r="AO50" s="7">
        <f t="shared" si="28"/>
        <v>1</v>
      </c>
      <c r="AP50" s="7">
        <f t="shared" si="29"/>
        <v>0</v>
      </c>
    </row>
    <row r="51" spans="1:42" x14ac:dyDescent="0.2">
      <c r="A51">
        <f t="shared" si="5"/>
        <v>2001</v>
      </c>
      <c r="B51" s="2">
        <f t="shared" si="8"/>
        <v>302952.75929124642</v>
      </c>
      <c r="C51" s="2"/>
      <c r="D51" s="2">
        <f>($T50*0.67)*(1+(D15/100))</f>
        <v>0</v>
      </c>
      <c r="E51" s="2">
        <f>($T50*0.33)*(1+(E15/100))</f>
        <v>0</v>
      </c>
      <c r="F51" s="2"/>
      <c r="G51" s="2">
        <f t="shared" si="32"/>
        <v>0</v>
      </c>
      <c r="H51" s="2">
        <f t="shared" si="10"/>
        <v>0</v>
      </c>
      <c r="I51" s="2">
        <f t="shared" si="11"/>
        <v>302952.75929124642</v>
      </c>
      <c r="J51" s="2">
        <f t="shared" si="12"/>
        <v>-47210.051468116231</v>
      </c>
      <c r="K51" s="6">
        <f t="shared" si="13"/>
        <v>-0.13482314516991845</v>
      </c>
      <c r="L51" s="7">
        <f t="shared" si="14"/>
        <v>0.86517685483008155</v>
      </c>
      <c r="N51">
        <f t="shared" si="15"/>
        <v>2001</v>
      </c>
      <c r="O51" s="2">
        <f t="shared" si="16"/>
        <v>6017.9336096219622</v>
      </c>
      <c r="P51" s="2"/>
      <c r="Q51" s="2"/>
      <c r="R51">
        <f t="shared" si="17"/>
        <v>2001</v>
      </c>
      <c r="S51" s="2">
        <f t="shared" si="18"/>
        <v>296934.82568162447</v>
      </c>
      <c r="T51" s="2"/>
      <c r="U51" s="2">
        <f>D51</f>
        <v>0</v>
      </c>
      <c r="V51" s="2">
        <f>E51</f>
        <v>0</v>
      </c>
      <c r="W51" s="2"/>
      <c r="X51" s="2">
        <f t="shared" si="33"/>
        <v>0</v>
      </c>
      <c r="Y51" s="2">
        <f t="shared" si="21"/>
        <v>0</v>
      </c>
      <c r="Z51" s="2">
        <f t="shared" si="22"/>
        <v>296934.82568162447</v>
      </c>
      <c r="AA51" s="2">
        <f t="shared" si="23"/>
        <v>-47407.933230908413</v>
      </c>
      <c r="AB51" s="6">
        <f t="shared" si="24"/>
        <v>-0.13767657952392309</v>
      </c>
      <c r="AC51" s="7">
        <f t="shared" si="25"/>
        <v>0.86232342047607691</v>
      </c>
      <c r="AD51" s="2">
        <f t="shared" si="26"/>
        <v>0</v>
      </c>
      <c r="AF51">
        <f t="shared" si="6"/>
        <v>2001</v>
      </c>
      <c r="AG51" s="6">
        <f t="shared" si="3"/>
        <v>1</v>
      </c>
      <c r="AH51" s="7"/>
      <c r="AI51" s="6">
        <f>U51/$Z51</f>
        <v>0</v>
      </c>
      <c r="AJ51" s="6">
        <f>V51/$Z51</f>
        <v>0</v>
      </c>
      <c r="AK51" s="7"/>
      <c r="AL51" s="6">
        <f t="shared" si="31"/>
        <v>0</v>
      </c>
      <c r="AM51" s="6">
        <f t="shared" si="7"/>
        <v>0</v>
      </c>
      <c r="AN51" s="6">
        <f t="shared" si="27"/>
        <v>1</v>
      </c>
      <c r="AO51" s="7">
        <f t="shared" si="28"/>
        <v>1</v>
      </c>
      <c r="AP51" s="7">
        <f t="shared" si="29"/>
        <v>0</v>
      </c>
    </row>
    <row r="52" spans="1:42" x14ac:dyDescent="0.2">
      <c r="A52">
        <f t="shared" si="5"/>
        <v>2002</v>
      </c>
      <c r="B52" s="2">
        <f t="shared" si="8"/>
        <v>231163.76179314463</v>
      </c>
      <c r="C52" s="2"/>
      <c r="D52" s="2">
        <f t="shared" ref="D52:E64" si="34">U51*(1+(D16/100))</f>
        <v>0</v>
      </c>
      <c r="E52" s="2">
        <f t="shared" si="34"/>
        <v>0</v>
      </c>
      <c r="F52" s="2"/>
      <c r="G52" s="2">
        <f t="shared" si="32"/>
        <v>0</v>
      </c>
      <c r="H52" s="2">
        <f t="shared" si="10"/>
        <v>0</v>
      </c>
      <c r="I52" s="2">
        <f t="shared" si="11"/>
        <v>231163.76179314463</v>
      </c>
      <c r="J52" s="2">
        <f t="shared" si="12"/>
        <v>-71788.997498101788</v>
      </c>
      <c r="K52" s="6">
        <f t="shared" si="13"/>
        <v>-0.23696432957419206</v>
      </c>
      <c r="L52" s="7">
        <f t="shared" si="14"/>
        <v>0.76303567042580789</v>
      </c>
      <c r="N52">
        <f t="shared" si="15"/>
        <v>2002</v>
      </c>
      <c r="O52" s="2">
        <f t="shared" si="16"/>
        <v>6114.2205473759141</v>
      </c>
      <c r="P52" s="2"/>
      <c r="Q52" s="2"/>
      <c r="R52">
        <f t="shared" si="17"/>
        <v>2002</v>
      </c>
      <c r="S52" s="2">
        <f t="shared" si="18"/>
        <v>225049.54124576872</v>
      </c>
      <c r="T52" s="2"/>
      <c r="U52" s="2">
        <f t="shared" ref="U52:U64" si="35">D52</f>
        <v>0</v>
      </c>
      <c r="V52" s="2">
        <f t="shared" ref="V52:V64" si="36">E52</f>
        <v>0</v>
      </c>
      <c r="W52" s="2"/>
      <c r="X52" s="2">
        <f t="shared" si="33"/>
        <v>0</v>
      </c>
      <c r="Y52" s="2">
        <f t="shared" si="21"/>
        <v>0</v>
      </c>
      <c r="Z52" s="2">
        <f t="shared" si="22"/>
        <v>225049.54124576872</v>
      </c>
      <c r="AA52" s="2">
        <f t="shared" si="23"/>
        <v>-71885.284435855749</v>
      </c>
      <c r="AB52" s="6">
        <f t="shared" si="24"/>
        <v>-0.24209111972918812</v>
      </c>
      <c r="AC52" s="7">
        <f t="shared" si="25"/>
        <v>0.75790888027081182</v>
      </c>
      <c r="AD52" s="2">
        <f t="shared" si="26"/>
        <v>0</v>
      </c>
      <c r="AF52">
        <f t="shared" si="6"/>
        <v>2002</v>
      </c>
      <c r="AG52" s="6">
        <f t="shared" si="3"/>
        <v>1</v>
      </c>
      <c r="AH52" s="7"/>
      <c r="AI52" s="6">
        <f t="shared" ref="AI52:AJ64" si="37">U52/$Z52</f>
        <v>0</v>
      </c>
      <c r="AJ52" s="6">
        <f t="shared" si="37"/>
        <v>0</v>
      </c>
      <c r="AK52" s="7"/>
      <c r="AL52" s="6">
        <f t="shared" si="31"/>
        <v>0</v>
      </c>
      <c r="AM52" s="6">
        <f t="shared" si="7"/>
        <v>0</v>
      </c>
      <c r="AN52" s="6">
        <f t="shared" si="27"/>
        <v>1</v>
      </c>
      <c r="AO52" s="7">
        <f t="shared" si="28"/>
        <v>1</v>
      </c>
      <c r="AP52" s="7">
        <f t="shared" si="29"/>
        <v>0</v>
      </c>
    </row>
    <row r="53" spans="1:42" x14ac:dyDescent="0.2">
      <c r="A53">
        <f t="shared" si="5"/>
        <v>2003</v>
      </c>
      <c r="B53" s="2">
        <f t="shared" si="8"/>
        <v>289188.66050081281</v>
      </c>
      <c r="C53" s="2"/>
      <c r="D53" s="2">
        <f t="shared" si="34"/>
        <v>0</v>
      </c>
      <c r="E53" s="2">
        <f t="shared" si="34"/>
        <v>0</v>
      </c>
      <c r="F53" s="2"/>
      <c r="G53" s="2">
        <f t="shared" si="32"/>
        <v>0</v>
      </c>
      <c r="H53" s="2">
        <f t="shared" si="10"/>
        <v>0</v>
      </c>
      <c r="I53" s="2">
        <f t="shared" si="11"/>
        <v>289188.66050081281</v>
      </c>
      <c r="J53" s="2">
        <f t="shared" si="12"/>
        <v>58024.898707668181</v>
      </c>
      <c r="K53" s="6">
        <f t="shared" si="13"/>
        <v>0.25101208882208526</v>
      </c>
      <c r="L53" s="7">
        <f t="shared" si="14"/>
        <v>1.2510120888220853</v>
      </c>
      <c r="N53">
        <f t="shared" si="15"/>
        <v>2003</v>
      </c>
      <c r="O53" s="2">
        <f t="shared" si="16"/>
        <v>6267.0760610603111</v>
      </c>
      <c r="P53" s="2"/>
      <c r="Q53" s="2"/>
      <c r="R53">
        <f t="shared" si="17"/>
        <v>2003</v>
      </c>
      <c r="S53" s="2">
        <f t="shared" si="18"/>
        <v>282921.58443975251</v>
      </c>
      <c r="T53" s="2"/>
      <c r="U53" s="2">
        <f t="shared" si="35"/>
        <v>0</v>
      </c>
      <c r="V53" s="2">
        <f t="shared" si="36"/>
        <v>0</v>
      </c>
      <c r="W53" s="2"/>
      <c r="X53" s="2">
        <f t="shared" si="33"/>
        <v>0</v>
      </c>
      <c r="Y53" s="2">
        <f t="shared" si="21"/>
        <v>0</v>
      </c>
      <c r="Z53" s="2">
        <f t="shared" si="22"/>
        <v>282921.58443975251</v>
      </c>
      <c r="AA53" s="2">
        <f t="shared" si="23"/>
        <v>57872.043193983787</v>
      </c>
      <c r="AB53" s="6">
        <f t="shared" si="24"/>
        <v>0.25715246018112853</v>
      </c>
      <c r="AC53" s="7">
        <f t="shared" si="25"/>
        <v>1.2571524601811286</v>
      </c>
      <c r="AD53" s="2">
        <f t="shared" si="26"/>
        <v>0</v>
      </c>
      <c r="AF53">
        <f t="shared" si="6"/>
        <v>2003</v>
      </c>
      <c r="AG53" s="6">
        <f t="shared" si="3"/>
        <v>1</v>
      </c>
      <c r="AH53" s="7"/>
      <c r="AI53" s="6">
        <f t="shared" si="37"/>
        <v>0</v>
      </c>
      <c r="AJ53" s="6">
        <f t="shared" si="37"/>
        <v>0</v>
      </c>
      <c r="AK53" s="7"/>
      <c r="AL53" s="6">
        <f t="shared" si="31"/>
        <v>0</v>
      </c>
      <c r="AM53" s="6">
        <f t="shared" si="7"/>
        <v>0</v>
      </c>
      <c r="AN53" s="6">
        <f t="shared" si="27"/>
        <v>1</v>
      </c>
      <c r="AO53" s="7">
        <f t="shared" si="28"/>
        <v>1</v>
      </c>
      <c r="AP53" s="7">
        <f t="shared" si="29"/>
        <v>0</v>
      </c>
    </row>
    <row r="54" spans="1:42" x14ac:dyDescent="0.2">
      <c r="A54">
        <f t="shared" si="5"/>
        <v>2004</v>
      </c>
      <c r="B54" s="2">
        <f t="shared" si="8"/>
        <v>313307.3626085819</v>
      </c>
      <c r="C54" s="2"/>
      <c r="D54" s="2">
        <f t="shared" si="34"/>
        <v>0</v>
      </c>
      <c r="E54" s="2">
        <f t="shared" si="34"/>
        <v>0</v>
      </c>
      <c r="F54" s="2"/>
      <c r="G54" s="2">
        <f t="shared" si="32"/>
        <v>0</v>
      </c>
      <c r="H54" s="2">
        <f t="shared" si="10"/>
        <v>0</v>
      </c>
      <c r="I54" s="2">
        <f t="shared" si="11"/>
        <v>313307.3626085819</v>
      </c>
      <c r="J54" s="2">
        <f t="shared" si="12"/>
        <v>24118.702107769088</v>
      </c>
      <c r="K54" s="6">
        <f t="shared" si="13"/>
        <v>8.3401271910180236E-2</v>
      </c>
      <c r="L54" s="7">
        <f t="shared" si="14"/>
        <v>1.0834012719101802</v>
      </c>
      <c r="N54">
        <f t="shared" si="15"/>
        <v>2004</v>
      </c>
      <c r="O54" s="2">
        <f t="shared" si="16"/>
        <v>6392.4175822815178</v>
      </c>
      <c r="P54" s="2"/>
      <c r="Q54" s="2"/>
      <c r="R54">
        <f t="shared" si="17"/>
        <v>2004</v>
      </c>
      <c r="S54" s="2">
        <f t="shared" si="18"/>
        <v>306914.94502630038</v>
      </c>
      <c r="T54" s="2"/>
      <c r="U54" s="2">
        <f t="shared" si="35"/>
        <v>0</v>
      </c>
      <c r="V54" s="2">
        <f t="shared" si="36"/>
        <v>0</v>
      </c>
      <c r="W54" s="2"/>
      <c r="X54" s="2">
        <f t="shared" si="33"/>
        <v>0</v>
      </c>
      <c r="Y54" s="2">
        <f t="shared" si="21"/>
        <v>0</v>
      </c>
      <c r="Z54" s="2">
        <f t="shared" si="22"/>
        <v>306914.94502630038</v>
      </c>
      <c r="AA54" s="2">
        <f t="shared" si="23"/>
        <v>23993.360586547875</v>
      </c>
      <c r="AB54" s="6">
        <f t="shared" si="24"/>
        <v>8.4805691421741644E-2</v>
      </c>
      <c r="AC54" s="7">
        <f t="shared" si="25"/>
        <v>1.0848056914217417</v>
      </c>
      <c r="AD54" s="2">
        <f t="shared" si="26"/>
        <v>0</v>
      </c>
      <c r="AF54">
        <f t="shared" si="6"/>
        <v>2004</v>
      </c>
      <c r="AG54" s="6">
        <f t="shared" si="3"/>
        <v>1</v>
      </c>
      <c r="AH54" s="7"/>
      <c r="AI54" s="6">
        <f t="shared" si="37"/>
        <v>0</v>
      </c>
      <c r="AJ54" s="6">
        <f t="shared" si="37"/>
        <v>0</v>
      </c>
      <c r="AK54" s="7"/>
      <c r="AL54" s="6">
        <f t="shared" si="31"/>
        <v>0</v>
      </c>
      <c r="AM54" s="6">
        <f t="shared" si="7"/>
        <v>0</v>
      </c>
      <c r="AN54" s="6">
        <f t="shared" si="27"/>
        <v>1</v>
      </c>
      <c r="AO54" s="7">
        <f t="shared" si="28"/>
        <v>1</v>
      </c>
      <c r="AP54" s="7">
        <f t="shared" si="29"/>
        <v>0</v>
      </c>
    </row>
    <row r="55" spans="1:42" x14ac:dyDescent="0.2">
      <c r="A55">
        <f t="shared" si="5"/>
        <v>2005</v>
      </c>
      <c r="B55" s="2">
        <f t="shared" si="8"/>
        <v>321554.78790405492</v>
      </c>
      <c r="C55" s="2"/>
      <c r="D55" s="2">
        <f t="shared" si="34"/>
        <v>0</v>
      </c>
      <c r="E55" s="2">
        <f t="shared" si="34"/>
        <v>0</v>
      </c>
      <c r="F55" s="2"/>
      <c r="G55" s="2">
        <f t="shared" si="32"/>
        <v>0</v>
      </c>
      <c r="H55" s="2">
        <f t="shared" si="10"/>
        <v>0</v>
      </c>
      <c r="I55" s="2">
        <f t="shared" si="11"/>
        <v>321554.78790405492</v>
      </c>
      <c r="J55" s="2">
        <f t="shared" si="12"/>
        <v>8247.4252954730182</v>
      </c>
      <c r="K55" s="6">
        <f t="shared" si="13"/>
        <v>2.6323751943795243E-2</v>
      </c>
      <c r="L55" s="7">
        <f t="shared" si="14"/>
        <v>1.0263237519437953</v>
      </c>
      <c r="N55">
        <f t="shared" si="15"/>
        <v>2005</v>
      </c>
      <c r="O55" s="2">
        <f t="shared" si="16"/>
        <v>6603.3673624968069</v>
      </c>
      <c r="P55" s="2"/>
      <c r="Q55" s="2"/>
      <c r="R55">
        <f t="shared" si="17"/>
        <v>2005</v>
      </c>
      <c r="S55" s="2">
        <f t="shared" si="18"/>
        <v>314951.42054155812</v>
      </c>
      <c r="T55" s="2"/>
      <c r="U55" s="2">
        <f t="shared" si="35"/>
        <v>0</v>
      </c>
      <c r="V55" s="2">
        <f t="shared" si="36"/>
        <v>0</v>
      </c>
      <c r="W55" s="2"/>
      <c r="X55" s="2">
        <f t="shared" si="33"/>
        <v>0</v>
      </c>
      <c r="Y55" s="2">
        <f t="shared" si="21"/>
        <v>0</v>
      </c>
      <c r="Z55" s="2">
        <f t="shared" si="22"/>
        <v>314951.42054155812</v>
      </c>
      <c r="AA55" s="2">
        <f t="shared" si="23"/>
        <v>8036.4755152577418</v>
      </c>
      <c r="AB55" s="6">
        <f t="shared" si="24"/>
        <v>2.6184699199216493E-2</v>
      </c>
      <c r="AC55" s="7">
        <f t="shared" si="25"/>
        <v>1.0261846991992165</v>
      </c>
      <c r="AD55" s="2">
        <f t="shared" si="26"/>
        <v>0</v>
      </c>
      <c r="AF55">
        <f t="shared" si="6"/>
        <v>2005</v>
      </c>
      <c r="AG55" s="6">
        <f t="shared" ref="AG55:AG64" si="38">S55/$Z55</f>
        <v>1</v>
      </c>
      <c r="AH55" s="7"/>
      <c r="AI55" s="6">
        <f t="shared" si="37"/>
        <v>0</v>
      </c>
      <c r="AJ55" s="6">
        <f t="shared" si="37"/>
        <v>0</v>
      </c>
      <c r="AK55" s="7"/>
      <c r="AL55" s="6">
        <f t="shared" si="31"/>
        <v>0</v>
      </c>
      <c r="AM55" s="6">
        <f t="shared" si="7"/>
        <v>0</v>
      </c>
      <c r="AN55" s="6">
        <f t="shared" si="27"/>
        <v>1</v>
      </c>
      <c r="AO55" s="7">
        <f t="shared" si="28"/>
        <v>1</v>
      </c>
      <c r="AP55" s="7">
        <f t="shared" si="29"/>
        <v>0</v>
      </c>
    </row>
    <row r="56" spans="1:42" x14ac:dyDescent="0.2">
      <c r="A56">
        <f t="shared" si="5"/>
        <v>2006</v>
      </c>
      <c r="B56" s="2">
        <f t="shared" si="8"/>
        <v>364209.82271425787</v>
      </c>
      <c r="C56" s="2"/>
      <c r="D56" s="2">
        <f t="shared" si="34"/>
        <v>0</v>
      </c>
      <c r="E56" s="2">
        <f t="shared" si="34"/>
        <v>0</v>
      </c>
      <c r="F56" s="2"/>
      <c r="G56" s="2">
        <f t="shared" si="32"/>
        <v>0</v>
      </c>
      <c r="H56" s="2">
        <f t="shared" si="10"/>
        <v>0</v>
      </c>
      <c r="I56" s="2">
        <f t="shared" si="11"/>
        <v>364209.82271425787</v>
      </c>
      <c r="J56" s="2">
        <f>I56-I55</f>
        <v>42655.034810202953</v>
      </c>
      <c r="K56" s="6">
        <f>(J56/I55)</f>
        <v>0.1326524636384214</v>
      </c>
      <c r="L56" s="7">
        <f t="shared" si="14"/>
        <v>1.1326524636384214</v>
      </c>
      <c r="N56">
        <f t="shared" si="15"/>
        <v>2006</v>
      </c>
      <c r="O56" s="2">
        <f t="shared" si="16"/>
        <v>6821.278485459201</v>
      </c>
      <c r="P56" s="2"/>
      <c r="Q56" s="2"/>
      <c r="R56">
        <f t="shared" si="17"/>
        <v>2006</v>
      </c>
      <c r="S56" s="2">
        <f t="shared" si="18"/>
        <v>357388.54422879865</v>
      </c>
      <c r="T56" s="2"/>
      <c r="U56" s="2">
        <f t="shared" si="35"/>
        <v>0</v>
      </c>
      <c r="V56" s="2">
        <f t="shared" si="36"/>
        <v>0</v>
      </c>
      <c r="W56" s="2"/>
      <c r="X56" s="2">
        <f t="shared" si="33"/>
        <v>0</v>
      </c>
      <c r="Y56" s="2">
        <f t="shared" si="21"/>
        <v>0</v>
      </c>
      <c r="Z56" s="2">
        <f t="shared" si="22"/>
        <v>357388.54422879865</v>
      </c>
      <c r="AA56" s="2">
        <f>Z56-Z55</f>
        <v>42437.123687240528</v>
      </c>
      <c r="AB56" s="6">
        <f>(AA56/Z55)</f>
        <v>0.1347418075278721</v>
      </c>
      <c r="AC56" s="7">
        <f t="shared" si="25"/>
        <v>1.1347418075278721</v>
      </c>
      <c r="AD56" s="2">
        <f t="shared" si="26"/>
        <v>0</v>
      </c>
      <c r="AF56">
        <f t="shared" si="6"/>
        <v>2006</v>
      </c>
      <c r="AG56" s="6">
        <f t="shared" si="38"/>
        <v>1</v>
      </c>
      <c r="AH56" s="7"/>
      <c r="AI56" s="6">
        <f t="shared" si="37"/>
        <v>0</v>
      </c>
      <c r="AJ56" s="6">
        <f t="shared" si="37"/>
        <v>0</v>
      </c>
      <c r="AK56" s="7"/>
      <c r="AL56" s="6">
        <f t="shared" si="31"/>
        <v>0</v>
      </c>
      <c r="AM56" s="6">
        <f t="shared" si="7"/>
        <v>0</v>
      </c>
      <c r="AN56" s="6">
        <f t="shared" si="27"/>
        <v>1</v>
      </c>
      <c r="AO56" s="7">
        <f t="shared" si="28"/>
        <v>1</v>
      </c>
      <c r="AP56" s="7">
        <f t="shared" si="29"/>
        <v>0</v>
      </c>
    </row>
    <row r="57" spans="1:42" x14ac:dyDescent="0.2">
      <c r="A57">
        <f t="shared" si="5"/>
        <v>2007</v>
      </c>
      <c r="B57" s="2">
        <f t="shared" ref="B57:B64" si="39">S56*(1+(B21/100))</f>
        <v>376651.78676273092</v>
      </c>
      <c r="C57" s="2"/>
      <c r="D57" s="2">
        <f t="shared" si="34"/>
        <v>0</v>
      </c>
      <c r="E57" s="2">
        <f t="shared" si="34"/>
        <v>0</v>
      </c>
      <c r="F57" s="2"/>
      <c r="G57" s="2">
        <f t="shared" si="32"/>
        <v>0</v>
      </c>
      <c r="H57" s="2">
        <f t="shared" si="10"/>
        <v>0</v>
      </c>
      <c r="I57" s="2">
        <f t="shared" si="11"/>
        <v>376651.78676273092</v>
      </c>
      <c r="J57" s="2">
        <f t="shared" si="12"/>
        <v>12441.964048473048</v>
      </c>
      <c r="K57" s="6">
        <f t="shared" si="13"/>
        <v>3.4161527977883334E-2</v>
      </c>
      <c r="L57" s="7">
        <f t="shared" si="14"/>
        <v>1.0341615279778833</v>
      </c>
      <c r="N57">
        <f t="shared" si="15"/>
        <v>2007</v>
      </c>
      <c r="O57" s="2">
        <f t="shared" si="16"/>
        <v>6991.8104475956807</v>
      </c>
      <c r="P57" s="2"/>
      <c r="Q57" s="2"/>
      <c r="R57">
        <f t="shared" si="17"/>
        <v>2007</v>
      </c>
      <c r="S57" s="2">
        <f t="shared" si="18"/>
        <v>369659.97631513525</v>
      </c>
      <c r="T57" s="2"/>
      <c r="U57" s="2">
        <f t="shared" si="35"/>
        <v>0</v>
      </c>
      <c r="V57" s="2">
        <f t="shared" si="36"/>
        <v>0</v>
      </c>
      <c r="W57" s="2"/>
      <c r="X57" s="2">
        <f t="shared" si="33"/>
        <v>0</v>
      </c>
      <c r="Y57" s="2">
        <f t="shared" si="21"/>
        <v>0</v>
      </c>
      <c r="Z57" s="2">
        <f t="shared" si="22"/>
        <v>369659.97631513525</v>
      </c>
      <c r="AA57" s="2">
        <f t="shared" ref="AA57:AA64" si="40">Z57-Z56</f>
        <v>12271.432086336601</v>
      </c>
      <c r="AB57" s="6">
        <f t="shared" ref="AB57:AB64" si="41">(AA57/Z56)</f>
        <v>3.4336389021133486E-2</v>
      </c>
      <c r="AC57" s="7">
        <f t="shared" si="25"/>
        <v>1.0343363890211335</v>
      </c>
      <c r="AD57" s="2">
        <f t="shared" si="26"/>
        <v>0</v>
      </c>
      <c r="AF57">
        <f t="shared" si="6"/>
        <v>2007</v>
      </c>
      <c r="AG57" s="6">
        <f t="shared" si="38"/>
        <v>1</v>
      </c>
      <c r="AH57" s="7"/>
      <c r="AI57" s="6">
        <f t="shared" si="37"/>
        <v>0</v>
      </c>
      <c r="AJ57" s="6">
        <f t="shared" si="37"/>
        <v>0</v>
      </c>
      <c r="AK57" s="7"/>
      <c r="AL57" s="6">
        <f t="shared" si="31"/>
        <v>0</v>
      </c>
      <c r="AM57" s="6">
        <f t="shared" si="7"/>
        <v>0</v>
      </c>
      <c r="AN57" s="6">
        <f t="shared" si="27"/>
        <v>1</v>
      </c>
      <c r="AO57" s="7">
        <f t="shared" si="28"/>
        <v>1</v>
      </c>
      <c r="AP57" s="7">
        <f t="shared" si="29"/>
        <v>0</v>
      </c>
    </row>
    <row r="58" spans="1:42" x14ac:dyDescent="0.2">
      <c r="A58">
        <f t="shared" si="5"/>
        <v>2008</v>
      </c>
      <c r="B58" s="2">
        <f t="shared" si="39"/>
        <v>232811.85308327214</v>
      </c>
      <c r="C58" s="2"/>
      <c r="D58" s="2">
        <f t="shared" si="34"/>
        <v>0</v>
      </c>
      <c r="E58" s="2">
        <f t="shared" si="34"/>
        <v>0</v>
      </c>
      <c r="F58" s="2"/>
      <c r="G58" s="2">
        <f t="shared" si="32"/>
        <v>0</v>
      </c>
      <c r="H58" s="2">
        <f t="shared" si="10"/>
        <v>0</v>
      </c>
      <c r="I58" s="2">
        <f t="shared" si="11"/>
        <v>232811.85308327214</v>
      </c>
      <c r="J58" s="2">
        <f t="shared" si="12"/>
        <v>-143839.93367945877</v>
      </c>
      <c r="K58" s="6">
        <f t="shared" si="13"/>
        <v>-0.38189101640999173</v>
      </c>
      <c r="L58" s="7">
        <f t="shared" si="14"/>
        <v>0.61810898359000821</v>
      </c>
      <c r="N58">
        <f t="shared" si="15"/>
        <v>2008</v>
      </c>
      <c r="O58" s="2">
        <f t="shared" si="16"/>
        <v>7278.4746759471027</v>
      </c>
      <c r="P58" s="2"/>
      <c r="Q58" s="2"/>
      <c r="R58">
        <f t="shared" si="17"/>
        <v>2008</v>
      </c>
      <c r="S58" s="2">
        <f t="shared" si="18"/>
        <v>225533.37840732504</v>
      </c>
      <c r="T58" s="2"/>
      <c r="U58" s="2">
        <f t="shared" si="35"/>
        <v>0</v>
      </c>
      <c r="V58" s="2">
        <f t="shared" si="36"/>
        <v>0</v>
      </c>
      <c r="W58" s="2"/>
      <c r="X58" s="2">
        <f t="shared" si="33"/>
        <v>0</v>
      </c>
      <c r="Y58" s="2">
        <f t="shared" si="21"/>
        <v>0</v>
      </c>
      <c r="Z58" s="2">
        <f t="shared" si="22"/>
        <v>225533.37840732504</v>
      </c>
      <c r="AA58" s="2">
        <f t="shared" si="40"/>
        <v>-144126.59790781021</v>
      </c>
      <c r="AB58" s="6">
        <f t="shared" si="41"/>
        <v>-0.38988964762834438</v>
      </c>
      <c r="AC58" s="7">
        <f t="shared" si="25"/>
        <v>0.61011035237165556</v>
      </c>
      <c r="AD58" s="2">
        <f t="shared" si="26"/>
        <v>0</v>
      </c>
      <c r="AF58">
        <f t="shared" si="6"/>
        <v>2008</v>
      </c>
      <c r="AG58" s="6">
        <f t="shared" si="38"/>
        <v>1</v>
      </c>
      <c r="AH58" s="7"/>
      <c r="AI58" s="6">
        <f t="shared" si="37"/>
        <v>0</v>
      </c>
      <c r="AJ58" s="6">
        <f t="shared" si="37"/>
        <v>0</v>
      </c>
      <c r="AK58" s="7"/>
      <c r="AL58" s="6">
        <f t="shared" si="31"/>
        <v>0</v>
      </c>
      <c r="AM58" s="6">
        <f t="shared" si="7"/>
        <v>0</v>
      </c>
      <c r="AN58" s="6">
        <f t="shared" si="27"/>
        <v>1</v>
      </c>
      <c r="AO58" s="7">
        <f t="shared" si="28"/>
        <v>1</v>
      </c>
      <c r="AP58" s="7">
        <f t="shared" si="29"/>
        <v>0</v>
      </c>
    </row>
    <row r="59" spans="1:42" x14ac:dyDescent="0.2">
      <c r="A59">
        <f t="shared" si="5"/>
        <v>2009</v>
      </c>
      <c r="B59" s="2">
        <f t="shared" si="39"/>
        <v>285277.17034742545</v>
      </c>
      <c r="C59" s="2"/>
      <c r="D59" s="2">
        <f t="shared" si="34"/>
        <v>0</v>
      </c>
      <c r="E59" s="2">
        <f t="shared" si="34"/>
        <v>0</v>
      </c>
      <c r="F59" s="2"/>
      <c r="G59" s="2">
        <f t="shared" si="32"/>
        <v>0</v>
      </c>
      <c r="H59" s="2">
        <f t="shared" si="10"/>
        <v>0</v>
      </c>
      <c r="I59" s="2">
        <f t="shared" si="11"/>
        <v>285277.17034742545</v>
      </c>
      <c r="J59" s="2">
        <f t="shared" si="12"/>
        <v>52465.317264153302</v>
      </c>
      <c r="K59" s="6">
        <f t="shared" si="13"/>
        <v>0.22535500907416217</v>
      </c>
      <c r="L59" s="7">
        <f t="shared" si="14"/>
        <v>1.2253550090741623</v>
      </c>
      <c r="N59">
        <f t="shared" si="15"/>
        <v>2009</v>
      </c>
      <c r="O59" s="2">
        <f t="shared" si="16"/>
        <v>7278.4746759471027</v>
      </c>
      <c r="P59" s="2"/>
      <c r="Q59" s="2"/>
      <c r="R59">
        <f t="shared" si="17"/>
        <v>2009</v>
      </c>
      <c r="S59" s="2">
        <f t="shared" si="18"/>
        <v>277998.69567147834</v>
      </c>
      <c r="T59" s="2"/>
      <c r="U59" s="2">
        <f t="shared" si="35"/>
        <v>0</v>
      </c>
      <c r="V59" s="2">
        <f t="shared" si="36"/>
        <v>0</v>
      </c>
      <c r="W59" s="2"/>
      <c r="X59" s="2">
        <f t="shared" si="33"/>
        <v>0</v>
      </c>
      <c r="Y59" s="2">
        <f t="shared" si="21"/>
        <v>0</v>
      </c>
      <c r="Z59" s="2">
        <f t="shared" si="22"/>
        <v>277998.69567147834</v>
      </c>
      <c r="AA59" s="2">
        <f t="shared" si="40"/>
        <v>52465.317264153302</v>
      </c>
      <c r="AB59" s="6">
        <f t="shared" si="41"/>
        <v>0.23262772736635995</v>
      </c>
      <c r="AC59" s="7">
        <f t="shared" si="25"/>
        <v>1.2326277273663599</v>
      </c>
      <c r="AD59" s="2">
        <f t="shared" si="26"/>
        <v>0</v>
      </c>
      <c r="AF59">
        <f t="shared" si="6"/>
        <v>2009</v>
      </c>
      <c r="AG59" s="6">
        <f t="shared" si="38"/>
        <v>1</v>
      </c>
      <c r="AH59" s="7"/>
      <c r="AI59" s="6">
        <f t="shared" si="37"/>
        <v>0</v>
      </c>
      <c r="AJ59" s="6">
        <f t="shared" si="37"/>
        <v>0</v>
      </c>
      <c r="AK59" s="7"/>
      <c r="AL59" s="6">
        <f t="shared" si="31"/>
        <v>0</v>
      </c>
      <c r="AM59" s="6">
        <f t="shared" si="7"/>
        <v>0</v>
      </c>
      <c r="AN59" s="6">
        <f t="shared" si="27"/>
        <v>1</v>
      </c>
      <c r="AO59" s="7">
        <f t="shared" si="28"/>
        <v>1</v>
      </c>
      <c r="AP59" s="7">
        <f t="shared" si="29"/>
        <v>0</v>
      </c>
    </row>
    <row r="60" spans="1:42" x14ac:dyDescent="0.2">
      <c r="A60">
        <f t="shared" si="5"/>
        <v>2010</v>
      </c>
      <c r="B60" s="2">
        <f t="shared" si="39"/>
        <v>319448.30119609577</v>
      </c>
      <c r="C60" s="2"/>
      <c r="D60" s="2">
        <f t="shared" si="34"/>
        <v>0</v>
      </c>
      <c r="E60" s="2">
        <f t="shared" si="34"/>
        <v>0</v>
      </c>
      <c r="F60" s="2"/>
      <c r="G60" s="2">
        <f t="shared" si="32"/>
        <v>0</v>
      </c>
      <c r="H60" s="2">
        <f t="shared" si="10"/>
        <v>0</v>
      </c>
      <c r="I60" s="2">
        <f t="shared" si="11"/>
        <v>319448.30119609577</v>
      </c>
      <c r="J60" s="2">
        <f t="shared" si="12"/>
        <v>34171.13084867032</v>
      </c>
      <c r="K60" s="6">
        <f t="shared" si="13"/>
        <v>0.1197822132316264</v>
      </c>
      <c r="L60" s="7">
        <f t="shared" si="14"/>
        <v>1.1197822132316264</v>
      </c>
      <c r="N60">
        <f t="shared" si="15"/>
        <v>2010</v>
      </c>
      <c r="O60" s="2">
        <f t="shared" si="16"/>
        <v>7482.2719668736217</v>
      </c>
      <c r="P60" s="2"/>
      <c r="Q60" s="2"/>
      <c r="R60">
        <f t="shared" si="17"/>
        <v>2010</v>
      </c>
      <c r="S60" s="2">
        <f t="shared" si="18"/>
        <v>311966.02922922216</v>
      </c>
      <c r="T60" s="2"/>
      <c r="U60" s="2">
        <f t="shared" si="35"/>
        <v>0</v>
      </c>
      <c r="V60" s="2">
        <f t="shared" si="36"/>
        <v>0</v>
      </c>
      <c r="W60" s="2"/>
      <c r="X60" s="2">
        <f t="shared" si="33"/>
        <v>0</v>
      </c>
      <c r="Y60" s="2">
        <f t="shared" si="21"/>
        <v>0</v>
      </c>
      <c r="Z60" s="2">
        <f t="shared" si="22"/>
        <v>311966.02922922216</v>
      </c>
      <c r="AA60" s="2">
        <f t="shared" si="40"/>
        <v>33967.333557743812</v>
      </c>
      <c r="AB60" s="6">
        <f t="shared" si="41"/>
        <v>0.12218522635762401</v>
      </c>
      <c r="AC60" s="7">
        <f t="shared" si="25"/>
        <v>1.122185226357624</v>
      </c>
      <c r="AD60" s="2">
        <f t="shared" si="26"/>
        <v>0</v>
      </c>
      <c r="AF60">
        <f t="shared" si="6"/>
        <v>2010</v>
      </c>
      <c r="AG60" s="6">
        <f t="shared" si="38"/>
        <v>1</v>
      </c>
      <c r="AH60" s="7"/>
      <c r="AI60" s="6">
        <f t="shared" si="37"/>
        <v>0</v>
      </c>
      <c r="AJ60" s="6">
        <f t="shared" si="37"/>
        <v>0</v>
      </c>
      <c r="AK60" s="7"/>
      <c r="AL60" s="6">
        <f t="shared" si="31"/>
        <v>0</v>
      </c>
      <c r="AM60" s="6">
        <f t="shared" si="7"/>
        <v>0</v>
      </c>
      <c r="AN60" s="6">
        <f t="shared" si="27"/>
        <v>1</v>
      </c>
      <c r="AO60" s="7">
        <f t="shared" si="28"/>
        <v>1</v>
      </c>
      <c r="AP60" s="7">
        <f t="shared" si="29"/>
        <v>0</v>
      </c>
    </row>
    <row r="61" spans="1:42" x14ac:dyDescent="0.2">
      <c r="A61">
        <f t="shared" si="5"/>
        <v>2011</v>
      </c>
      <c r="B61" s="2">
        <f t="shared" si="39"/>
        <v>318111.76000503782</v>
      </c>
      <c r="C61" s="2"/>
      <c r="D61" s="2">
        <f t="shared" si="34"/>
        <v>0</v>
      </c>
      <c r="E61" s="2">
        <f t="shared" si="34"/>
        <v>0</v>
      </c>
      <c r="F61" s="2"/>
      <c r="G61" s="2">
        <f t="shared" si="32"/>
        <v>0</v>
      </c>
      <c r="H61" s="2">
        <f t="shared" si="10"/>
        <v>0</v>
      </c>
      <c r="I61" s="2">
        <f t="shared" si="11"/>
        <v>318111.76000503782</v>
      </c>
      <c r="J61" s="2">
        <f t="shared" si="12"/>
        <v>-1336.5411910579423</v>
      </c>
      <c r="K61" s="6">
        <f t="shared" si="13"/>
        <v>-4.1839045193027852E-3</v>
      </c>
      <c r="L61" s="7">
        <f t="shared" si="14"/>
        <v>0.99581609548069716</v>
      </c>
      <c r="N61">
        <f t="shared" si="15"/>
        <v>2011</v>
      </c>
      <c r="O61" s="2">
        <f t="shared" si="16"/>
        <v>7587.0237744098522</v>
      </c>
      <c r="P61" s="2"/>
      <c r="Q61" s="2"/>
      <c r="R61">
        <f t="shared" si="17"/>
        <v>2011</v>
      </c>
      <c r="S61" s="2">
        <f t="shared" si="18"/>
        <v>310524.73623062798</v>
      </c>
      <c r="T61" s="2"/>
      <c r="U61" s="2">
        <f t="shared" si="35"/>
        <v>0</v>
      </c>
      <c r="V61" s="2">
        <f t="shared" si="36"/>
        <v>0</v>
      </c>
      <c r="W61" s="2"/>
      <c r="X61" s="2">
        <f t="shared" si="33"/>
        <v>0</v>
      </c>
      <c r="Y61" s="2">
        <f t="shared" si="21"/>
        <v>0</v>
      </c>
      <c r="Z61" s="2">
        <f t="shared" si="22"/>
        <v>310524.73623062798</v>
      </c>
      <c r="AA61" s="2">
        <f t="shared" si="40"/>
        <v>-1441.2929985941737</v>
      </c>
      <c r="AB61" s="6">
        <f t="shared" si="41"/>
        <v>-4.6200318738395712E-3</v>
      </c>
      <c r="AC61" s="7">
        <f t="shared" si="25"/>
        <v>0.99537996812616047</v>
      </c>
      <c r="AD61" s="2">
        <f t="shared" si="26"/>
        <v>0</v>
      </c>
      <c r="AF61">
        <f t="shared" si="6"/>
        <v>2011</v>
      </c>
      <c r="AG61" s="6">
        <f t="shared" si="38"/>
        <v>1</v>
      </c>
      <c r="AH61" s="7"/>
      <c r="AI61" s="6">
        <f t="shared" si="37"/>
        <v>0</v>
      </c>
      <c r="AJ61" s="6">
        <f t="shared" si="37"/>
        <v>0</v>
      </c>
      <c r="AK61" s="7"/>
      <c r="AL61" s="6">
        <f t="shared" si="31"/>
        <v>0</v>
      </c>
      <c r="AM61" s="6">
        <f t="shared" si="7"/>
        <v>0</v>
      </c>
      <c r="AN61" s="6">
        <f t="shared" si="27"/>
        <v>1</v>
      </c>
      <c r="AO61" s="7">
        <f t="shared" si="28"/>
        <v>1</v>
      </c>
      <c r="AP61" s="7">
        <f t="shared" si="29"/>
        <v>0</v>
      </c>
    </row>
    <row r="62" spans="1:42" x14ac:dyDescent="0.2">
      <c r="A62">
        <f t="shared" si="5"/>
        <v>2012</v>
      </c>
      <c r="B62" s="2">
        <f t="shared" si="39"/>
        <v>359649.74950231332</v>
      </c>
      <c r="C62" s="2"/>
      <c r="D62" s="2">
        <f t="shared" si="34"/>
        <v>0</v>
      </c>
      <c r="E62" s="2">
        <f t="shared" si="34"/>
        <v>0</v>
      </c>
      <c r="F62" s="2"/>
      <c r="G62" s="2">
        <f t="shared" si="32"/>
        <v>0</v>
      </c>
      <c r="H62" s="2">
        <f t="shared" si="10"/>
        <v>0</v>
      </c>
      <c r="I62" s="2">
        <f t="shared" si="11"/>
        <v>359649.74950231332</v>
      </c>
      <c r="J62" s="2">
        <f t="shared" si="12"/>
        <v>41537.989497275499</v>
      </c>
      <c r="K62" s="6">
        <f t="shared" si="13"/>
        <v>0.13057671774415908</v>
      </c>
      <c r="L62" s="7">
        <f t="shared" si="14"/>
        <v>1.130576717744159</v>
      </c>
      <c r="N62">
        <f t="shared" si="15"/>
        <v>2012</v>
      </c>
      <c r="O62" s="2">
        <f t="shared" si="16"/>
        <v>7814.6344876421481</v>
      </c>
      <c r="P62" s="2"/>
      <c r="Q62" s="2"/>
      <c r="R62">
        <f t="shared" si="17"/>
        <v>2012</v>
      </c>
      <c r="S62" s="2">
        <f t="shared" si="18"/>
        <v>351835.11501467117</v>
      </c>
      <c r="T62" s="2"/>
      <c r="U62" s="2">
        <f t="shared" si="35"/>
        <v>0</v>
      </c>
      <c r="V62" s="2">
        <f t="shared" si="36"/>
        <v>0</v>
      </c>
      <c r="W62" s="2"/>
      <c r="X62" s="2">
        <f t="shared" si="33"/>
        <v>0</v>
      </c>
      <c r="Y62" s="2">
        <f t="shared" si="21"/>
        <v>0</v>
      </c>
      <c r="Z62" s="2">
        <f t="shared" si="22"/>
        <v>351835.11501467117</v>
      </c>
      <c r="AA62" s="2">
        <f t="shared" si="40"/>
        <v>41310.378784043191</v>
      </c>
      <c r="AB62" s="6">
        <f t="shared" si="41"/>
        <v>0.13303409990939274</v>
      </c>
      <c r="AC62" s="7">
        <f t="shared" si="25"/>
        <v>1.1330340999093926</v>
      </c>
      <c r="AD62" s="2">
        <f t="shared" si="26"/>
        <v>0</v>
      </c>
      <c r="AF62">
        <f t="shared" si="6"/>
        <v>2012</v>
      </c>
      <c r="AG62" s="6">
        <f t="shared" si="38"/>
        <v>1</v>
      </c>
      <c r="AH62" s="7"/>
      <c r="AI62" s="6">
        <f t="shared" si="37"/>
        <v>0</v>
      </c>
      <c r="AJ62" s="6">
        <f t="shared" si="37"/>
        <v>0</v>
      </c>
      <c r="AK62" s="7"/>
      <c r="AL62" s="6">
        <f t="shared" si="31"/>
        <v>0</v>
      </c>
      <c r="AM62" s="6">
        <f t="shared" si="7"/>
        <v>0</v>
      </c>
      <c r="AN62" s="6">
        <f t="shared" si="27"/>
        <v>1</v>
      </c>
      <c r="AO62" s="7">
        <f t="shared" si="28"/>
        <v>1</v>
      </c>
      <c r="AP62" s="7">
        <f t="shared" si="29"/>
        <v>0</v>
      </c>
    </row>
    <row r="63" spans="1:42" x14ac:dyDescent="0.2">
      <c r="A63">
        <f t="shared" si="5"/>
        <v>2013</v>
      </c>
      <c r="B63" s="2">
        <f t="shared" si="39"/>
        <v>465055.65502639237</v>
      </c>
      <c r="C63" s="2"/>
      <c r="D63" s="2">
        <f t="shared" si="34"/>
        <v>0</v>
      </c>
      <c r="E63" s="2">
        <f t="shared" si="34"/>
        <v>0</v>
      </c>
      <c r="F63" s="2"/>
      <c r="G63" s="2">
        <f t="shared" si="32"/>
        <v>0</v>
      </c>
      <c r="H63" s="2">
        <f t="shared" si="10"/>
        <v>0</v>
      </c>
      <c r="I63" s="2">
        <f t="shared" si="11"/>
        <v>465055.65502639237</v>
      </c>
      <c r="J63" s="2">
        <f t="shared" si="12"/>
        <v>105405.90552407905</v>
      </c>
      <c r="K63" s="6">
        <f t="shared" si="13"/>
        <v>0.29307932417564792</v>
      </c>
      <c r="L63" s="7">
        <f t="shared" si="14"/>
        <v>1.293079324175648</v>
      </c>
      <c r="N63">
        <f t="shared" si="15"/>
        <v>2013</v>
      </c>
      <c r="O63" s="2">
        <f t="shared" si="16"/>
        <v>7955.2979084197068</v>
      </c>
      <c r="P63" s="2"/>
      <c r="Q63" s="2"/>
      <c r="R63">
        <f t="shared" si="17"/>
        <v>2013</v>
      </c>
      <c r="S63" s="2">
        <f t="shared" si="18"/>
        <v>457100.35711797269</v>
      </c>
      <c r="T63" s="2"/>
      <c r="U63" s="2">
        <f t="shared" si="35"/>
        <v>0</v>
      </c>
      <c r="V63" s="2">
        <f t="shared" si="36"/>
        <v>0</v>
      </c>
      <c r="W63" s="2"/>
      <c r="X63" s="2">
        <f t="shared" si="33"/>
        <v>0</v>
      </c>
      <c r="Y63" s="2">
        <f t="shared" si="21"/>
        <v>0</v>
      </c>
      <c r="Z63" s="2">
        <f t="shared" si="22"/>
        <v>457100.35711797269</v>
      </c>
      <c r="AA63" s="2">
        <f t="shared" si="40"/>
        <v>105265.24210330151</v>
      </c>
      <c r="AB63" s="6">
        <f t="shared" si="41"/>
        <v>0.29918913039396894</v>
      </c>
      <c r="AC63" s="7">
        <f t="shared" si="25"/>
        <v>1.2991891303939689</v>
      </c>
      <c r="AD63" s="2">
        <f t="shared" si="26"/>
        <v>0</v>
      </c>
      <c r="AF63">
        <f t="shared" si="6"/>
        <v>2013</v>
      </c>
      <c r="AG63" s="6">
        <f t="shared" si="38"/>
        <v>1</v>
      </c>
      <c r="AH63" s="7"/>
      <c r="AI63" s="6">
        <f t="shared" si="37"/>
        <v>0</v>
      </c>
      <c r="AJ63" s="6">
        <f t="shared" si="37"/>
        <v>0</v>
      </c>
      <c r="AK63" s="7"/>
      <c r="AL63" s="6">
        <f t="shared" si="31"/>
        <v>0</v>
      </c>
      <c r="AM63" s="6">
        <f t="shared" si="7"/>
        <v>0</v>
      </c>
      <c r="AN63" s="6">
        <f t="shared" si="27"/>
        <v>1</v>
      </c>
      <c r="AO63" s="7">
        <f t="shared" si="28"/>
        <v>1</v>
      </c>
      <c r="AP63" s="7">
        <f t="shared" si="29"/>
        <v>0</v>
      </c>
    </row>
    <row r="64" spans="1:42" x14ac:dyDescent="0.2">
      <c r="A64">
        <f t="shared" si="5"/>
        <v>2014</v>
      </c>
      <c r="B64" s="2">
        <f t="shared" si="39"/>
        <v>518854.6153646108</v>
      </c>
      <c r="C64" s="2"/>
      <c r="D64" s="2">
        <f t="shared" si="34"/>
        <v>0</v>
      </c>
      <c r="E64" s="2">
        <f t="shared" si="34"/>
        <v>0</v>
      </c>
      <c r="F64" s="2"/>
      <c r="G64" s="2">
        <f t="shared" si="32"/>
        <v>0</v>
      </c>
      <c r="H64" s="2">
        <f t="shared" si="10"/>
        <v>0</v>
      </c>
      <c r="I64" s="2">
        <f t="shared" si="11"/>
        <v>518854.6153646108</v>
      </c>
      <c r="J64" s="2">
        <f t="shared" si="12"/>
        <v>53798.960338218429</v>
      </c>
      <c r="K64" s="6">
        <f t="shared" si="13"/>
        <v>0.11568284302481019</v>
      </c>
      <c r="L64" s="7">
        <f t="shared" si="14"/>
        <v>1.1156828430248102</v>
      </c>
      <c r="N64">
        <f t="shared" si="15"/>
        <v>2014</v>
      </c>
      <c r="O64" s="2">
        <f t="shared" si="16"/>
        <v>8047.228671185464</v>
      </c>
      <c r="P64" s="2"/>
      <c r="Q64" s="2"/>
      <c r="R64">
        <f t="shared" si="17"/>
        <v>2014</v>
      </c>
      <c r="S64" s="2">
        <f t="shared" si="18"/>
        <v>510807.38669342536</v>
      </c>
      <c r="T64" s="2"/>
      <c r="U64" s="2">
        <f t="shared" si="35"/>
        <v>0</v>
      </c>
      <c r="V64" s="2">
        <f t="shared" si="36"/>
        <v>0</v>
      </c>
      <c r="W64" s="2"/>
      <c r="X64" s="2">
        <f t="shared" si="33"/>
        <v>0</v>
      </c>
      <c r="Y64" s="2">
        <f t="shared" si="21"/>
        <v>0</v>
      </c>
      <c r="Z64" s="2">
        <f t="shared" si="22"/>
        <v>510807.38669342536</v>
      </c>
      <c r="AA64" s="2">
        <f t="shared" si="40"/>
        <v>53707.029575452674</v>
      </c>
      <c r="AB64" s="6">
        <f t="shared" si="41"/>
        <v>0.11749505057068128</v>
      </c>
      <c r="AC64" s="7">
        <f t="shared" si="25"/>
        <v>1.1174950505706813</v>
      </c>
      <c r="AD64" s="2">
        <f t="shared" si="26"/>
        <v>0</v>
      </c>
      <c r="AF64">
        <f t="shared" si="6"/>
        <v>2014</v>
      </c>
      <c r="AG64" s="6">
        <f t="shared" si="38"/>
        <v>1</v>
      </c>
      <c r="AH64" s="7"/>
      <c r="AI64" s="6">
        <f t="shared" si="37"/>
        <v>0</v>
      </c>
      <c r="AJ64" s="6">
        <f t="shared" si="37"/>
        <v>0</v>
      </c>
      <c r="AK64" s="7"/>
      <c r="AL64" s="6">
        <f t="shared" si="31"/>
        <v>0</v>
      </c>
      <c r="AM64" s="6">
        <f t="shared" si="7"/>
        <v>0</v>
      </c>
      <c r="AN64" s="6">
        <f t="shared" si="27"/>
        <v>1</v>
      </c>
      <c r="AO64" s="7">
        <f t="shared" si="28"/>
        <v>1</v>
      </c>
      <c r="AP64" s="7">
        <f t="shared" si="29"/>
        <v>0</v>
      </c>
    </row>
    <row r="65" spans="1:36" x14ac:dyDescent="0.2">
      <c r="A65" s="9" t="s">
        <v>78</v>
      </c>
      <c r="B65" s="10">
        <f>S64</f>
        <v>510807.38669342536</v>
      </c>
      <c r="C65" s="10"/>
      <c r="D65" s="10">
        <f>U64</f>
        <v>0</v>
      </c>
      <c r="E65" s="10">
        <f>V64</f>
        <v>0</v>
      </c>
      <c r="F65" s="10"/>
      <c r="G65" s="10">
        <f>X64</f>
        <v>0</v>
      </c>
      <c r="H65" s="10">
        <f>Y64</f>
        <v>0</v>
      </c>
      <c r="I65" s="10">
        <f>SUM(B65:H65)</f>
        <v>510807.38669342536</v>
      </c>
      <c r="J65" s="10"/>
      <c r="K65" s="10"/>
      <c r="N65" t="s">
        <v>40</v>
      </c>
      <c r="O65" s="2">
        <f>O64</f>
        <v>8047.228671185464</v>
      </c>
      <c r="P65" s="2"/>
      <c r="R65" s="82" t="s">
        <v>78</v>
      </c>
      <c r="S65" s="10">
        <f>S64</f>
        <v>510807.38669342536</v>
      </c>
      <c r="T65" s="10"/>
      <c r="U65" s="10">
        <f>U64</f>
        <v>0</v>
      </c>
      <c r="V65" s="10">
        <f>V64</f>
        <v>0</v>
      </c>
      <c r="W65" s="10"/>
      <c r="X65" s="10">
        <f>X64</f>
        <v>0</v>
      </c>
      <c r="Y65" s="10">
        <f>Y64</f>
        <v>0</v>
      </c>
      <c r="Z65" s="10">
        <f>SUM(S65:Y65)</f>
        <v>510807.38669342536</v>
      </c>
      <c r="AA65" s="43"/>
      <c r="AB65" s="43"/>
      <c r="AC65" s="43"/>
      <c r="AD65" s="43"/>
      <c r="AJ65" s="7"/>
    </row>
    <row r="66" spans="1:36" x14ac:dyDescent="0.2">
      <c r="A66" s="11" t="s">
        <v>11</v>
      </c>
      <c r="I66" s="6">
        <f>(Z65-Z39)/Z39</f>
        <v>4.1080738669342534</v>
      </c>
      <c r="K66" s="6"/>
      <c r="N66" t="s">
        <v>70</v>
      </c>
      <c r="O66" s="2">
        <f>SUM(O40:O64)</f>
        <v>155368.77743060407</v>
      </c>
      <c r="P66" s="2"/>
      <c r="AH66" s="7"/>
      <c r="AJ66" s="7"/>
    </row>
    <row r="67" spans="1:36" x14ac:dyDescent="0.2">
      <c r="A67" s="1" t="s">
        <v>12</v>
      </c>
      <c r="I67" s="12">
        <f>STDEV(AC40:AC64)</f>
        <v>0.17944498183491947</v>
      </c>
      <c r="AI67" s="7"/>
    </row>
    <row r="68" spans="1:36" x14ac:dyDescent="0.2">
      <c r="A68" s="1" t="s">
        <v>13</v>
      </c>
      <c r="I68" s="13">
        <f>((1+I66)^(1/I75))-1</f>
        <v>6.7407590357559721E-2</v>
      </c>
    </row>
    <row r="69" spans="1:36" x14ac:dyDescent="0.2">
      <c r="A69" s="1" t="s">
        <v>82</v>
      </c>
      <c r="I69" s="31">
        <f>J60</f>
        <v>34171.13084867032</v>
      </c>
      <c r="O69" s="2"/>
      <c r="P69" s="2"/>
    </row>
    <row r="70" spans="1:36" x14ac:dyDescent="0.2">
      <c r="A70" s="1" t="s">
        <v>83</v>
      </c>
      <c r="I70" s="32">
        <f>K60</f>
        <v>0.1197822132316264</v>
      </c>
    </row>
    <row r="71" spans="1:36" x14ac:dyDescent="0.2">
      <c r="A71" s="1" t="s">
        <v>42</v>
      </c>
      <c r="I71" s="2">
        <f>O66</f>
        <v>155368.77743060407</v>
      </c>
    </row>
    <row r="72" spans="1:36" x14ac:dyDescent="0.2">
      <c r="A72" s="3" t="s">
        <v>84</v>
      </c>
      <c r="I72" s="33">
        <f>I65-Z65</f>
        <v>0</v>
      </c>
    </row>
    <row r="73" spans="1:36" x14ac:dyDescent="0.2">
      <c r="A73" s="3" t="s">
        <v>148</v>
      </c>
      <c r="I73" s="33">
        <f>((SUM(AA40:AA64)))-(I65-I39)</f>
        <v>0</v>
      </c>
    </row>
    <row r="74" spans="1:36" x14ac:dyDescent="0.2">
      <c r="A74" s="3" t="s">
        <v>147</v>
      </c>
      <c r="I74" s="33">
        <f>(SUM(O40:O64))-I71</f>
        <v>0</v>
      </c>
    </row>
    <row r="75" spans="1:36" x14ac:dyDescent="0.2">
      <c r="A75" s="3" t="s">
        <v>159</v>
      </c>
      <c r="I75" s="3">
        <f>COUNTA(I40:I64)</f>
        <v>25</v>
      </c>
    </row>
    <row r="76" spans="1:36" x14ac:dyDescent="0.2">
      <c r="A76" s="1" t="s">
        <v>105</v>
      </c>
      <c r="B76" s="63"/>
      <c r="C76" s="63"/>
      <c r="D76" s="63"/>
      <c r="E76" s="63"/>
      <c r="G76" s="63"/>
      <c r="H76" s="63"/>
      <c r="I76" s="85">
        <f>(SUM(B65:G65)/I65)</f>
        <v>1</v>
      </c>
    </row>
    <row r="77" spans="1:36" x14ac:dyDescent="0.2">
      <c r="A77" s="1" t="s">
        <v>106</v>
      </c>
      <c r="B77" s="63"/>
      <c r="C77" s="63"/>
      <c r="D77" s="63"/>
      <c r="E77" s="63"/>
      <c r="G77" s="63"/>
      <c r="H77" s="63"/>
      <c r="I77" s="85">
        <f>(H65/I65)</f>
        <v>0</v>
      </c>
    </row>
    <row r="78" spans="1:36" x14ac:dyDescent="0.2">
      <c r="A78" s="3" t="s">
        <v>107</v>
      </c>
      <c r="I78" s="3">
        <f>100%-(I76+I77)</f>
        <v>0</v>
      </c>
    </row>
    <row r="79" spans="1:36" x14ac:dyDescent="0.2">
      <c r="B79" s="2"/>
      <c r="D79" s="2"/>
      <c r="E79" s="2"/>
      <c r="G79" s="2"/>
      <c r="H79" s="2"/>
      <c r="I79" s="2"/>
    </row>
  </sheetData>
  <pageMargins left="0.7" right="0.7" top="0.75" bottom="0.75" header="0.3" footer="0.3"/>
  <pageSetup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31"/>
  <sheetViews>
    <sheetView topLeftCell="A21" workbookViewId="0">
      <selection activeCell="A28" sqref="A28:D31"/>
    </sheetView>
  </sheetViews>
  <sheetFormatPr baseColWidth="10" defaultColWidth="8.83203125" defaultRowHeight="15" x14ac:dyDescent="0.2"/>
  <cols>
    <col min="2" max="2" width="15.83203125" customWidth="1"/>
    <col min="3" max="3" width="14.6640625" customWidth="1"/>
    <col min="4" max="4" width="13.5" customWidth="1"/>
  </cols>
  <sheetData>
    <row r="1" spans="1:4" ht="45" x14ac:dyDescent="0.2">
      <c r="B1" s="8" t="str">
        <f>Summary!B5</f>
        <v>Rebalance at 5% Thresholds</v>
      </c>
      <c r="C1" s="8" t="str">
        <f>Summary!C5</f>
        <v>No Rebalancing</v>
      </c>
      <c r="D1" s="8" t="str">
        <f>Summary!D5</f>
        <v>Panic and Sell When S&amp;P 500 Falls &gt; 20%</v>
      </c>
    </row>
    <row r="2" spans="1:4" x14ac:dyDescent="0.2">
      <c r="A2" t="s">
        <v>113</v>
      </c>
      <c r="B2" s="64">
        <f>'Non-Rebalanced Portfolio'!I39</f>
        <v>100000</v>
      </c>
      <c r="C2" s="2">
        <f>'Non-Rebalanced Portfolio'!I39</f>
        <v>100000</v>
      </c>
      <c r="D2" s="64">
        <f>'Panic Portfolio'!I39</f>
        <v>100000</v>
      </c>
    </row>
    <row r="3" spans="1:4" x14ac:dyDescent="0.2">
      <c r="A3">
        <f>'Rebalanced Portfolio'!A40</f>
        <v>1990</v>
      </c>
      <c r="B3" s="2">
        <f>'Rebalanced Portfolio'!I40</f>
        <v>95265.5</v>
      </c>
      <c r="C3" s="2">
        <f>'Non-Rebalanced Portfolio'!I40</f>
        <v>95265.5</v>
      </c>
      <c r="D3" s="64">
        <f>'Panic Portfolio'!I40</f>
        <v>95265.5</v>
      </c>
    </row>
    <row r="4" spans="1:4" x14ac:dyDescent="0.2">
      <c r="A4">
        <f>'Rebalanced Portfolio'!A41</f>
        <v>1991</v>
      </c>
      <c r="B4" s="2">
        <f>'Rebalanced Portfolio'!I41</f>
        <v>118618.30583000001</v>
      </c>
      <c r="C4" s="2">
        <f>'Non-Rebalanced Portfolio'!I41</f>
        <v>118618.30583000001</v>
      </c>
      <c r="D4" s="64">
        <f>'Panic Portfolio'!I41</f>
        <v>118618.30583000001</v>
      </c>
    </row>
    <row r="5" spans="1:4" x14ac:dyDescent="0.2">
      <c r="A5">
        <f>'Rebalanced Portfolio'!A42</f>
        <v>1992</v>
      </c>
      <c r="B5" s="2">
        <f>'Rebalanced Portfolio'!I42</f>
        <v>126045.91483718021</v>
      </c>
      <c r="C5" s="2">
        <f>'Non-Rebalanced Portfolio'!I42</f>
        <v>126045.91483718021</v>
      </c>
      <c r="D5" s="64">
        <f>'Panic Portfolio'!I42</f>
        <v>126045.91483718021</v>
      </c>
    </row>
    <row r="6" spans="1:4" x14ac:dyDescent="0.2">
      <c r="A6">
        <f>'Rebalanced Portfolio'!A43</f>
        <v>1993</v>
      </c>
      <c r="B6" s="2">
        <f>'Rebalanced Portfolio'!I43</f>
        <v>145365.98057159354</v>
      </c>
      <c r="C6" s="2">
        <f>'Non-Rebalanced Portfolio'!I43</f>
        <v>143948.5319869965</v>
      </c>
      <c r="D6" s="64">
        <f>'Panic Portfolio'!I43</f>
        <v>143948.5319869965</v>
      </c>
    </row>
    <row r="7" spans="1:4" x14ac:dyDescent="0.2">
      <c r="A7">
        <f>'Rebalanced Portfolio'!A44</f>
        <v>1994</v>
      </c>
      <c r="B7" s="2">
        <f>'Rebalanced Portfolio'!I44</f>
        <v>145554.67743193626</v>
      </c>
      <c r="C7" s="2">
        <f>'Non-Rebalanced Portfolio'!I44</f>
        <v>143501.96676915168</v>
      </c>
      <c r="D7" s="64">
        <f>'Panic Portfolio'!I44</f>
        <v>143501.96676915168</v>
      </c>
    </row>
    <row r="8" spans="1:4" x14ac:dyDescent="0.2">
      <c r="A8">
        <f>'Rebalanced Portfolio'!A45</f>
        <v>1995</v>
      </c>
      <c r="B8" s="2">
        <f>'Rebalanced Portfolio'!I45</f>
        <v>181104.64419403306</v>
      </c>
      <c r="C8" s="2">
        <f>'Non-Rebalanced Portfolio'!I45</f>
        <v>180547.00227780559</v>
      </c>
      <c r="D8" s="64">
        <f>'Panic Portfolio'!I45</f>
        <v>180547.00227780559</v>
      </c>
    </row>
    <row r="9" spans="1:4" x14ac:dyDescent="0.2">
      <c r="A9">
        <f>'Rebalanced Portfolio'!A46</f>
        <v>1996</v>
      </c>
      <c r="B9" s="2">
        <f>'Rebalanced Portfolio'!I46</f>
        <v>205548.79016875965</v>
      </c>
      <c r="C9" s="2">
        <f>'Non-Rebalanced Portfolio'!I46</f>
        <v>205457.56785559453</v>
      </c>
      <c r="D9" s="64">
        <f>'Panic Portfolio'!I46</f>
        <v>205457.56785559453</v>
      </c>
    </row>
    <row r="10" spans="1:4" x14ac:dyDescent="0.2">
      <c r="A10">
        <f>'Rebalanced Portfolio'!A47</f>
        <v>1997</v>
      </c>
      <c r="B10" s="2">
        <f>'Rebalanced Portfolio'!I47</f>
        <v>241152.10166268068</v>
      </c>
      <c r="C10" s="2">
        <f>'Non-Rebalanced Portfolio'!I47</f>
        <v>246490.82467164175</v>
      </c>
      <c r="D10" s="64">
        <f>'Panic Portfolio'!I47</f>
        <v>246490.82467164175</v>
      </c>
    </row>
    <row r="11" spans="1:4" x14ac:dyDescent="0.2">
      <c r="A11">
        <f>'Rebalanced Portfolio'!A48</f>
        <v>1998</v>
      </c>
      <c r="B11" s="2">
        <f>'Rebalanced Portfolio'!I48</f>
        <v>275525.00073584251</v>
      </c>
      <c r="C11" s="2">
        <f>'Non-Rebalanced Portfolio'!I48</f>
        <v>283052.03961869888</v>
      </c>
      <c r="D11" s="64">
        <f>'Panic Portfolio'!I48</f>
        <v>283052.03961869888</v>
      </c>
    </row>
    <row r="12" spans="1:4" x14ac:dyDescent="0.2">
      <c r="A12">
        <f>'Rebalanced Portfolio'!A49</f>
        <v>1999</v>
      </c>
      <c r="B12" s="2">
        <f>'Rebalanced Portfolio'!I49</f>
        <v>317788.01755021402</v>
      </c>
      <c r="C12" s="2">
        <f>'Non-Rebalanced Portfolio'!I49</f>
        <v>328842.41277419892</v>
      </c>
      <c r="D12" s="64">
        <f>'Panic Portfolio'!I49</f>
        <v>328842.41277419892</v>
      </c>
    </row>
    <row r="13" spans="1:4" x14ac:dyDescent="0.2">
      <c r="A13">
        <f>'Rebalanced Portfolio'!A50</f>
        <v>2000</v>
      </c>
      <c r="B13" s="2">
        <f>'Rebalanced Portfolio'!I50</f>
        <v>320571.42862092901</v>
      </c>
      <c r="C13" s="2">
        <f>'Non-Rebalanced Portfolio'!I50</f>
        <v>332454.19349038199</v>
      </c>
      <c r="D13" s="64">
        <f>'Panic Portfolio'!I50</f>
        <v>332454.19349038199</v>
      </c>
    </row>
    <row r="14" spans="1:4" x14ac:dyDescent="0.2">
      <c r="A14">
        <f>'Rebalanced Portfolio'!A51</f>
        <v>2001</v>
      </c>
      <c r="B14" s="2">
        <f>'Rebalanced Portfolio'!I51</f>
        <v>309443.40356417082</v>
      </c>
      <c r="C14" s="2">
        <f>'Non-Rebalanced Portfolio'!I51</f>
        <v>320121.02608184848</v>
      </c>
      <c r="D14" s="64">
        <f>'Panic Portfolio'!I51</f>
        <v>320121.02608184848</v>
      </c>
    </row>
    <row r="15" spans="1:4" x14ac:dyDescent="0.2">
      <c r="A15">
        <f>'Rebalanced Portfolio'!A52</f>
        <v>2002</v>
      </c>
      <c r="B15" s="2">
        <f>'Rebalanced Portfolio'!I52</f>
        <v>280816.6683760765</v>
      </c>
      <c r="C15" s="2">
        <f>'Non-Rebalanced Portfolio'!I52</f>
        <v>281784.71060940484</v>
      </c>
      <c r="D15" s="64">
        <f>'Panic Portfolio'!I52</f>
        <v>281784.71060940484</v>
      </c>
    </row>
    <row r="16" spans="1:4" x14ac:dyDescent="0.2">
      <c r="A16">
        <f>'Rebalanced Portfolio'!A53</f>
        <v>2003</v>
      </c>
      <c r="B16" s="2">
        <f>'Rebalanced Portfolio'!I53</f>
        <v>354812.42212650942</v>
      </c>
      <c r="C16" s="2">
        <f>'Non-Rebalanced Portfolio'!I53</f>
        <v>355106.61866908032</v>
      </c>
      <c r="D16" s="64">
        <f>'Panic Portfolio'!I53</f>
        <v>292971.56362059823</v>
      </c>
    </row>
    <row r="17" spans="1:4" x14ac:dyDescent="0.2">
      <c r="A17">
        <f>'Rebalanced Portfolio'!A54</f>
        <v>2004</v>
      </c>
      <c r="B17" s="2">
        <f>'Rebalanced Portfolio'!I54</f>
        <v>403236.15706106898</v>
      </c>
      <c r="C17" s="2">
        <f>'Non-Rebalanced Portfolio'!I54</f>
        <v>405638.56260253122</v>
      </c>
      <c r="D17" s="64">
        <f>'Panic Portfolio'!I54</f>
        <v>332955.44370884664</v>
      </c>
    </row>
    <row r="18" spans="1:4" x14ac:dyDescent="0.2">
      <c r="A18">
        <f>'Rebalanced Portfolio'!A55</f>
        <v>2005</v>
      </c>
      <c r="B18" s="2">
        <f>'Rebalanced Portfolio'!I55</f>
        <v>438029.66760130378</v>
      </c>
      <c r="C18" s="2">
        <f>'Non-Rebalanced Portfolio'!I55</f>
        <v>440409.59752773272</v>
      </c>
      <c r="D18" s="64">
        <f>'Panic Portfolio'!I55</f>
        <v>361684.73431747081</v>
      </c>
    </row>
    <row r="19" spans="1:4" x14ac:dyDescent="0.2">
      <c r="A19">
        <f>'Rebalanced Portfolio'!A56</f>
        <v>2006</v>
      </c>
      <c r="B19" s="2">
        <f>'Rebalanced Portfolio'!I56</f>
        <v>502536.45158112841</v>
      </c>
      <c r="C19" s="2">
        <f>'Non-Rebalanced Portfolio'!I56</f>
        <v>501525.17039485159</v>
      </c>
      <c r="D19" s="64">
        <f>'Panic Portfolio'!I56</f>
        <v>414948.52157001244</v>
      </c>
    </row>
    <row r="20" spans="1:4" x14ac:dyDescent="0.2">
      <c r="A20">
        <f>'Rebalanced Portfolio'!A57</f>
        <v>2007</v>
      </c>
      <c r="B20" s="2">
        <f>'Rebalanced Portfolio'!I57</f>
        <v>540619.66895484948</v>
      </c>
      <c r="C20" s="2">
        <f>'Non-Rebalanced Portfolio'!I57</f>
        <v>534290.96850835346</v>
      </c>
      <c r="D20" s="64">
        <f>'Panic Portfolio'!I57</f>
        <v>448039.38759003766</v>
      </c>
    </row>
    <row r="21" spans="1:4" x14ac:dyDescent="0.2">
      <c r="A21">
        <f>'Rebalanced Portfolio'!A58</f>
        <v>2008</v>
      </c>
      <c r="B21" s="2">
        <f>'Rebalanced Portfolio'!I58</f>
        <v>395438.64409613353</v>
      </c>
      <c r="C21" s="2">
        <f>'Non-Rebalanced Portfolio'!I58</f>
        <v>366083.78011282563</v>
      </c>
      <c r="D21" s="64">
        <f>'Panic Portfolio'!I58</f>
        <v>313471.12515872857</v>
      </c>
    </row>
    <row r="22" spans="1:4" x14ac:dyDescent="0.2">
      <c r="A22">
        <f>'Rebalanced Portfolio'!A59</f>
        <v>2009</v>
      </c>
      <c r="B22" s="2">
        <f>'Rebalanced Portfolio'!I59</f>
        <v>498560.34282623505</v>
      </c>
      <c r="C22" s="2">
        <f>'Non-Rebalanced Portfolio'!I59</f>
        <v>463589.15080175741</v>
      </c>
      <c r="D22" s="64">
        <f>'Panic Portfolio'!I59</f>
        <v>332059.96288064116</v>
      </c>
    </row>
    <row r="23" spans="1:4" x14ac:dyDescent="0.2">
      <c r="A23">
        <f>'Rebalanced Portfolio'!A60</f>
        <v>2010</v>
      </c>
      <c r="B23" s="2">
        <f>'Rebalanced Portfolio'!I60</f>
        <v>576722.91762952565</v>
      </c>
      <c r="C23" s="2">
        <f>'Non-Rebalanced Portfolio'!I60</f>
        <v>543906.42133331019</v>
      </c>
      <c r="D23" s="64">
        <f>'Panic Portfolio'!I60</f>
        <v>381855.67491422215</v>
      </c>
    </row>
    <row r="24" spans="1:4" x14ac:dyDescent="0.2">
      <c r="A24">
        <f>'Rebalanced Portfolio'!A61</f>
        <v>2011</v>
      </c>
      <c r="B24" s="2">
        <f>'Rebalanced Portfolio'!I61</f>
        <v>571232.51545369264</v>
      </c>
      <c r="C24" s="2">
        <f>'Non-Rebalanced Portfolio'!I61</f>
        <v>540270.4854135589</v>
      </c>
      <c r="D24" s="64">
        <f>'Panic Portfolio'!I61</f>
        <v>377683.27307627455</v>
      </c>
    </row>
    <row r="25" spans="1:4" x14ac:dyDescent="0.2">
      <c r="A25">
        <f>'Rebalanced Portfolio'!A62</f>
        <v>2012</v>
      </c>
      <c r="B25" s="2">
        <f>'Rebalanced Portfolio'!I62</f>
        <v>643206.1514388551</v>
      </c>
      <c r="C25" s="2">
        <f>'Non-Rebalanced Portfolio'!I62</f>
        <v>613580.22049616242</v>
      </c>
      <c r="D25" s="64">
        <f>'Panic Portfolio'!I62</f>
        <v>426373.31436217594</v>
      </c>
    </row>
    <row r="26" spans="1:4" x14ac:dyDescent="0.2">
      <c r="A26">
        <f>'Rebalanced Portfolio'!A63</f>
        <v>2013</v>
      </c>
      <c r="B26" s="2">
        <f>'Rebalanced Portfolio'!I63</f>
        <v>770833.54852496157</v>
      </c>
      <c r="C26" s="2">
        <f>'Non-Rebalanced Portfolio'!I63</f>
        <v>765300.96634121216</v>
      </c>
      <c r="D26" s="64">
        <f>'Panic Portfolio'!I63</f>
        <v>515261.49973517703</v>
      </c>
    </row>
    <row r="27" spans="1:4" x14ac:dyDescent="0.2">
      <c r="A27">
        <f>'Rebalanced Portfolio'!A64</f>
        <v>2014</v>
      </c>
      <c r="B27" s="2">
        <f>'Rebalanced Portfolio'!I64</f>
        <v>825092.52200563368</v>
      </c>
      <c r="C27" s="2">
        <f>'Non-Rebalanced Portfolio'!I64</f>
        <v>838644.6628670682</v>
      </c>
      <c r="D27" s="64">
        <f>'Panic Portfolio'!I64</f>
        <v>556678.59269060323</v>
      </c>
    </row>
    <row r="28" spans="1:4" x14ac:dyDescent="0.2">
      <c r="B28" s="2"/>
      <c r="C28" s="2"/>
      <c r="D28" s="64"/>
    </row>
    <row r="29" spans="1:4" x14ac:dyDescent="0.2">
      <c r="B29" s="2"/>
      <c r="C29" s="2"/>
      <c r="D29" s="64"/>
    </row>
    <row r="30" spans="1:4" x14ac:dyDescent="0.2">
      <c r="B30" s="2"/>
      <c r="C30" s="2"/>
      <c r="D30" s="64"/>
    </row>
    <row r="31" spans="1:4" x14ac:dyDescent="0.2">
      <c r="B31" s="2"/>
      <c r="C31" s="2"/>
      <c r="D31" s="64"/>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3"/>
  <sheetViews>
    <sheetView workbookViewId="0">
      <selection activeCell="B2" sqref="B2"/>
    </sheetView>
  </sheetViews>
  <sheetFormatPr baseColWidth="10" defaultColWidth="8.83203125" defaultRowHeight="15" x14ac:dyDescent="0.2"/>
  <cols>
    <col min="1" max="1" width="37.1640625" bestFit="1" customWidth="1"/>
    <col min="2" max="2" width="10.83203125" bestFit="1" customWidth="1"/>
  </cols>
  <sheetData>
    <row r="2" spans="1:2" x14ac:dyDescent="0.2">
      <c r="A2" t="s">
        <v>35</v>
      </c>
      <c r="B2" s="2">
        <f>Summary!B6</f>
        <v>825092.52200563368</v>
      </c>
    </row>
    <row r="3" spans="1:2" x14ac:dyDescent="0.2">
      <c r="A3" t="s">
        <v>142</v>
      </c>
      <c r="B3" s="2">
        <f>Summary!D6</f>
        <v>556678.59269060323</v>
      </c>
    </row>
  </sheetData>
  <pageMargins left="0.7" right="0.7" top="0.75" bottom="0.75" header="0.3" footer="0.3"/>
  <pageSetup orientation="portrait" r:id="rId1"/>
  <headerFooter>
    <oddFoote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3"/>
  <sheetViews>
    <sheetView workbookViewId="0">
      <selection activeCell="A14" sqref="A14"/>
    </sheetView>
  </sheetViews>
  <sheetFormatPr baseColWidth="10" defaultColWidth="8.83203125" defaultRowHeight="15" x14ac:dyDescent="0.2"/>
  <sheetData>
    <row r="1" spans="1:2" x14ac:dyDescent="0.2">
      <c r="A1" s="20" t="s">
        <v>90</v>
      </c>
    </row>
    <row r="3" spans="1:2" x14ac:dyDescent="0.2">
      <c r="A3" t="s">
        <v>43</v>
      </c>
    </row>
    <row r="5" spans="1:2" x14ac:dyDescent="0.2">
      <c r="A5" s="37" t="s">
        <v>93</v>
      </c>
    </row>
    <row r="6" spans="1:2" x14ac:dyDescent="0.2">
      <c r="A6" t="s">
        <v>95</v>
      </c>
    </row>
    <row r="7" spans="1:2" x14ac:dyDescent="0.2">
      <c r="A7" t="s">
        <v>59</v>
      </c>
    </row>
    <row r="8" spans="1:2" x14ac:dyDescent="0.2">
      <c r="A8" t="s">
        <v>94</v>
      </c>
    </row>
    <row r="9" spans="1:2" x14ac:dyDescent="0.2">
      <c r="A9" t="s">
        <v>58</v>
      </c>
    </row>
    <row r="10" spans="1:2" x14ac:dyDescent="0.2">
      <c r="A10" t="s">
        <v>96</v>
      </c>
    </row>
    <row r="11" spans="1:2" x14ac:dyDescent="0.2">
      <c r="A11" s="35" t="s">
        <v>97</v>
      </c>
    </row>
    <row r="12" spans="1:2" x14ac:dyDescent="0.2">
      <c r="A12" s="35" t="s">
        <v>98</v>
      </c>
    </row>
    <row r="14" spans="1:2" x14ac:dyDescent="0.2">
      <c r="A14" s="37" t="s">
        <v>100</v>
      </c>
    </row>
    <row r="15" spans="1:2" x14ac:dyDescent="0.2">
      <c r="A15" s="35" t="s">
        <v>99</v>
      </c>
      <c r="B15" s="35"/>
    </row>
    <row r="16" spans="1:2" x14ac:dyDescent="0.2">
      <c r="A16" s="36">
        <v>0.2</v>
      </c>
      <c r="B16" s="35" t="s">
        <v>66</v>
      </c>
    </row>
    <row r="17" spans="1:2" x14ac:dyDescent="0.2">
      <c r="A17" s="36">
        <v>0.2</v>
      </c>
      <c r="B17" s="35" t="s">
        <v>67</v>
      </c>
    </row>
    <row r="18" spans="1:2" x14ac:dyDescent="0.2">
      <c r="A18" s="36">
        <v>0.1</v>
      </c>
      <c r="B18" s="35" t="s">
        <v>68</v>
      </c>
    </row>
    <row r="19" spans="1:2" x14ac:dyDescent="0.2">
      <c r="A19" s="36">
        <v>0.15</v>
      </c>
      <c r="B19" s="35" t="s">
        <v>69</v>
      </c>
    </row>
    <row r="20" spans="1:2" x14ac:dyDescent="0.2">
      <c r="A20" s="36">
        <v>0.05</v>
      </c>
      <c r="B20" s="35" t="s">
        <v>45</v>
      </c>
    </row>
    <row r="21" spans="1:2" x14ac:dyDescent="0.2">
      <c r="A21" s="36">
        <v>0.3</v>
      </c>
      <c r="B21" s="35" t="s">
        <v>63</v>
      </c>
    </row>
    <row r="22" spans="1:2" x14ac:dyDescent="0.2">
      <c r="A22" s="36">
        <f>SUM(A16:A21)</f>
        <v>1</v>
      </c>
      <c r="B22" s="35" t="s">
        <v>70</v>
      </c>
    </row>
    <row r="24" spans="1:2" x14ac:dyDescent="0.2">
      <c r="A24" s="37" t="s">
        <v>101</v>
      </c>
    </row>
    <row r="25" spans="1:2" x14ac:dyDescent="0.2">
      <c r="A25" t="s">
        <v>102</v>
      </c>
    </row>
    <row r="26" spans="1:2" x14ac:dyDescent="0.2">
      <c r="A26" t="s">
        <v>103</v>
      </c>
    </row>
    <row r="29" spans="1:2" x14ac:dyDescent="0.2">
      <c r="A29" s="47" t="s">
        <v>104</v>
      </c>
    </row>
    <row r="30" spans="1:2" x14ac:dyDescent="0.2">
      <c r="A30" t="s">
        <v>26</v>
      </c>
    </row>
    <row r="31" spans="1:2" x14ac:dyDescent="0.2">
      <c r="A31" t="s">
        <v>27</v>
      </c>
    </row>
    <row r="32" spans="1:2" x14ac:dyDescent="0.2">
      <c r="A32" t="s">
        <v>28</v>
      </c>
    </row>
    <row r="33" spans="1:1" x14ac:dyDescent="0.2">
      <c r="A33" t="s">
        <v>29</v>
      </c>
    </row>
    <row r="36" spans="1:1" x14ac:dyDescent="0.2">
      <c r="A36" s="47" t="s">
        <v>143</v>
      </c>
    </row>
    <row r="37" spans="1:1" x14ac:dyDescent="0.2">
      <c r="A37" s="48" t="s">
        <v>141</v>
      </c>
    </row>
    <row r="38" spans="1:1" x14ac:dyDescent="0.2">
      <c r="A38" t="s">
        <v>44</v>
      </c>
    </row>
    <row r="39" spans="1:1" x14ac:dyDescent="0.2">
      <c r="A39" t="s">
        <v>149</v>
      </c>
    </row>
    <row r="40" spans="1:1" x14ac:dyDescent="0.2">
      <c r="A40" t="s">
        <v>150</v>
      </c>
    </row>
    <row r="41" spans="1:1" x14ac:dyDescent="0.2">
      <c r="A41" t="s">
        <v>151</v>
      </c>
    </row>
    <row r="43" spans="1:1" x14ac:dyDescent="0.2">
      <c r="A43" t="s">
        <v>85</v>
      </c>
    </row>
  </sheetData>
  <hyperlinks>
    <hyperlink ref="A37" r:id="rId1" xr:uid="{00000000-0004-0000-0100-000000000000}"/>
  </hyperlinks>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4"/>
  <sheetViews>
    <sheetView topLeftCell="A16" workbookViewId="0">
      <selection activeCell="A33" sqref="A33"/>
    </sheetView>
  </sheetViews>
  <sheetFormatPr baseColWidth="10" defaultColWidth="12.5" defaultRowHeight="15" x14ac:dyDescent="0.2"/>
  <cols>
    <col min="1" max="1" width="50.1640625" customWidth="1"/>
    <col min="2" max="3" width="14.83203125" customWidth="1"/>
    <col min="4" max="4" width="15.83203125" customWidth="1"/>
    <col min="5" max="5" width="5.33203125" customWidth="1"/>
    <col min="6" max="8" width="0" hidden="1" customWidth="1"/>
    <col min="9" max="9" width="15.83203125" customWidth="1"/>
    <col min="10" max="11" width="0" hidden="1" customWidth="1"/>
    <col min="12" max="12" width="6.33203125" customWidth="1"/>
    <col min="14" max="15" width="12.5" customWidth="1"/>
    <col min="257" max="257" width="50.1640625" customWidth="1"/>
    <col min="258" max="258" width="14.83203125" customWidth="1"/>
    <col min="259" max="259" width="15.83203125" customWidth="1"/>
    <col min="513" max="513" width="50.1640625" customWidth="1"/>
    <col min="514" max="514" width="14.83203125" customWidth="1"/>
    <col min="515" max="515" width="15.83203125" customWidth="1"/>
    <col min="769" max="769" width="50.1640625" customWidth="1"/>
    <col min="770" max="770" width="14.83203125" customWidth="1"/>
    <col min="771" max="771" width="15.83203125" customWidth="1"/>
    <col min="1025" max="1025" width="50.1640625" customWidth="1"/>
    <col min="1026" max="1026" width="14.83203125" customWidth="1"/>
    <col min="1027" max="1027" width="15.83203125" customWidth="1"/>
    <col min="1281" max="1281" width="50.1640625" customWidth="1"/>
    <col min="1282" max="1282" width="14.83203125" customWidth="1"/>
    <col min="1283" max="1283" width="15.83203125" customWidth="1"/>
    <col min="1537" max="1537" width="50.1640625" customWidth="1"/>
    <col min="1538" max="1538" width="14.83203125" customWidth="1"/>
    <col min="1539" max="1539" width="15.83203125" customWidth="1"/>
    <col min="1793" max="1793" width="50.1640625" customWidth="1"/>
    <col min="1794" max="1794" width="14.83203125" customWidth="1"/>
    <col min="1795" max="1795" width="15.83203125" customWidth="1"/>
    <col min="2049" max="2049" width="50.1640625" customWidth="1"/>
    <col min="2050" max="2050" width="14.83203125" customWidth="1"/>
    <col min="2051" max="2051" width="15.83203125" customWidth="1"/>
    <col min="2305" max="2305" width="50.1640625" customWidth="1"/>
    <col min="2306" max="2306" width="14.83203125" customWidth="1"/>
    <col min="2307" max="2307" width="15.83203125" customWidth="1"/>
    <col min="2561" max="2561" width="50.1640625" customWidth="1"/>
    <col min="2562" max="2562" width="14.83203125" customWidth="1"/>
    <col min="2563" max="2563" width="15.83203125" customWidth="1"/>
    <col min="2817" max="2817" width="50.1640625" customWidth="1"/>
    <col min="2818" max="2818" width="14.83203125" customWidth="1"/>
    <col min="2819" max="2819" width="15.83203125" customWidth="1"/>
    <col min="3073" max="3073" width="50.1640625" customWidth="1"/>
    <col min="3074" max="3074" width="14.83203125" customWidth="1"/>
    <col min="3075" max="3075" width="15.83203125" customWidth="1"/>
    <col min="3329" max="3329" width="50.1640625" customWidth="1"/>
    <col min="3330" max="3330" width="14.83203125" customWidth="1"/>
    <col min="3331" max="3331" width="15.83203125" customWidth="1"/>
    <col min="3585" max="3585" width="50.1640625" customWidth="1"/>
    <col min="3586" max="3586" width="14.83203125" customWidth="1"/>
    <col min="3587" max="3587" width="15.83203125" customWidth="1"/>
    <col min="3841" max="3841" width="50.1640625" customWidth="1"/>
    <col min="3842" max="3842" width="14.83203125" customWidth="1"/>
    <col min="3843" max="3843" width="15.83203125" customWidth="1"/>
    <col min="4097" max="4097" width="50.1640625" customWidth="1"/>
    <col min="4098" max="4098" width="14.83203125" customWidth="1"/>
    <col min="4099" max="4099" width="15.83203125" customWidth="1"/>
    <col min="4353" max="4353" width="50.1640625" customWidth="1"/>
    <col min="4354" max="4354" width="14.83203125" customWidth="1"/>
    <col min="4355" max="4355" width="15.83203125" customWidth="1"/>
    <col min="4609" max="4609" width="50.1640625" customWidth="1"/>
    <col min="4610" max="4610" width="14.83203125" customWidth="1"/>
    <col min="4611" max="4611" width="15.83203125" customWidth="1"/>
    <col min="4865" max="4865" width="50.1640625" customWidth="1"/>
    <col min="4866" max="4866" width="14.83203125" customWidth="1"/>
    <col min="4867" max="4867" width="15.83203125" customWidth="1"/>
    <col min="5121" max="5121" width="50.1640625" customWidth="1"/>
    <col min="5122" max="5122" width="14.83203125" customWidth="1"/>
    <col min="5123" max="5123" width="15.83203125" customWidth="1"/>
    <col min="5377" max="5377" width="50.1640625" customWidth="1"/>
    <col min="5378" max="5378" width="14.83203125" customWidth="1"/>
    <col min="5379" max="5379" width="15.83203125" customWidth="1"/>
    <col min="5633" max="5633" width="50.1640625" customWidth="1"/>
    <col min="5634" max="5634" width="14.83203125" customWidth="1"/>
    <col min="5635" max="5635" width="15.83203125" customWidth="1"/>
    <col min="5889" max="5889" width="50.1640625" customWidth="1"/>
    <col min="5890" max="5890" width="14.83203125" customWidth="1"/>
    <col min="5891" max="5891" width="15.83203125" customWidth="1"/>
    <col min="6145" max="6145" width="50.1640625" customWidth="1"/>
    <col min="6146" max="6146" width="14.83203125" customWidth="1"/>
    <col min="6147" max="6147" width="15.83203125" customWidth="1"/>
    <col min="6401" max="6401" width="50.1640625" customWidth="1"/>
    <col min="6402" max="6402" width="14.83203125" customWidth="1"/>
    <col min="6403" max="6403" width="15.83203125" customWidth="1"/>
    <col min="6657" max="6657" width="50.1640625" customWidth="1"/>
    <col min="6658" max="6658" width="14.83203125" customWidth="1"/>
    <col min="6659" max="6659" width="15.83203125" customWidth="1"/>
    <col min="6913" max="6913" width="50.1640625" customWidth="1"/>
    <col min="6914" max="6914" width="14.83203125" customWidth="1"/>
    <col min="6915" max="6915" width="15.83203125" customWidth="1"/>
    <col min="7169" max="7169" width="50.1640625" customWidth="1"/>
    <col min="7170" max="7170" width="14.83203125" customWidth="1"/>
    <col min="7171" max="7171" width="15.83203125" customWidth="1"/>
    <col min="7425" max="7425" width="50.1640625" customWidth="1"/>
    <col min="7426" max="7426" width="14.83203125" customWidth="1"/>
    <col min="7427" max="7427" width="15.83203125" customWidth="1"/>
    <col min="7681" max="7681" width="50.1640625" customWidth="1"/>
    <col min="7682" max="7682" width="14.83203125" customWidth="1"/>
    <col min="7683" max="7683" width="15.83203125" customWidth="1"/>
    <col min="7937" max="7937" width="50.1640625" customWidth="1"/>
    <col min="7938" max="7938" width="14.83203125" customWidth="1"/>
    <col min="7939" max="7939" width="15.83203125" customWidth="1"/>
    <col min="8193" max="8193" width="50.1640625" customWidth="1"/>
    <col min="8194" max="8194" width="14.83203125" customWidth="1"/>
    <col min="8195" max="8195" width="15.83203125" customWidth="1"/>
    <col min="8449" max="8449" width="50.1640625" customWidth="1"/>
    <col min="8450" max="8450" width="14.83203125" customWidth="1"/>
    <col min="8451" max="8451" width="15.83203125" customWidth="1"/>
    <col min="8705" max="8705" width="50.1640625" customWidth="1"/>
    <col min="8706" max="8706" width="14.83203125" customWidth="1"/>
    <col min="8707" max="8707" width="15.83203125" customWidth="1"/>
    <col min="8961" max="8961" width="50.1640625" customWidth="1"/>
    <col min="8962" max="8962" width="14.83203125" customWidth="1"/>
    <col min="8963" max="8963" width="15.83203125" customWidth="1"/>
    <col min="9217" max="9217" width="50.1640625" customWidth="1"/>
    <col min="9218" max="9218" width="14.83203125" customWidth="1"/>
    <col min="9219" max="9219" width="15.83203125" customWidth="1"/>
    <col min="9473" max="9473" width="50.1640625" customWidth="1"/>
    <col min="9474" max="9474" width="14.83203125" customWidth="1"/>
    <col min="9475" max="9475" width="15.83203125" customWidth="1"/>
    <col min="9729" max="9729" width="50.1640625" customWidth="1"/>
    <col min="9730" max="9730" width="14.83203125" customWidth="1"/>
    <col min="9731" max="9731" width="15.83203125" customWidth="1"/>
    <col min="9985" max="9985" width="50.1640625" customWidth="1"/>
    <col min="9986" max="9986" width="14.83203125" customWidth="1"/>
    <col min="9987" max="9987" width="15.83203125" customWidth="1"/>
    <col min="10241" max="10241" width="50.1640625" customWidth="1"/>
    <col min="10242" max="10242" width="14.83203125" customWidth="1"/>
    <col min="10243" max="10243" width="15.83203125" customWidth="1"/>
    <col min="10497" max="10497" width="50.1640625" customWidth="1"/>
    <col min="10498" max="10498" width="14.83203125" customWidth="1"/>
    <col min="10499" max="10499" width="15.83203125" customWidth="1"/>
    <col min="10753" max="10753" width="50.1640625" customWidth="1"/>
    <col min="10754" max="10754" width="14.83203125" customWidth="1"/>
    <col min="10755" max="10755" width="15.83203125" customWidth="1"/>
    <col min="11009" max="11009" width="50.1640625" customWidth="1"/>
    <col min="11010" max="11010" width="14.83203125" customWidth="1"/>
    <col min="11011" max="11011" width="15.83203125" customWidth="1"/>
    <col min="11265" max="11265" width="50.1640625" customWidth="1"/>
    <col min="11266" max="11266" width="14.83203125" customWidth="1"/>
    <col min="11267" max="11267" width="15.83203125" customWidth="1"/>
    <col min="11521" max="11521" width="50.1640625" customWidth="1"/>
    <col min="11522" max="11522" width="14.83203125" customWidth="1"/>
    <col min="11523" max="11523" width="15.83203125" customWidth="1"/>
    <col min="11777" max="11777" width="50.1640625" customWidth="1"/>
    <col min="11778" max="11778" width="14.83203125" customWidth="1"/>
    <col min="11779" max="11779" width="15.83203125" customWidth="1"/>
    <col min="12033" max="12033" width="50.1640625" customWidth="1"/>
    <col min="12034" max="12034" width="14.83203125" customWidth="1"/>
    <col min="12035" max="12035" width="15.83203125" customWidth="1"/>
    <col min="12289" max="12289" width="50.1640625" customWidth="1"/>
    <col min="12290" max="12290" width="14.83203125" customWidth="1"/>
    <col min="12291" max="12291" width="15.83203125" customWidth="1"/>
    <col min="12545" max="12545" width="50.1640625" customWidth="1"/>
    <col min="12546" max="12546" width="14.83203125" customWidth="1"/>
    <col min="12547" max="12547" width="15.83203125" customWidth="1"/>
    <col min="12801" max="12801" width="50.1640625" customWidth="1"/>
    <col min="12802" max="12802" width="14.83203125" customWidth="1"/>
    <col min="12803" max="12803" width="15.83203125" customWidth="1"/>
    <col min="13057" max="13057" width="50.1640625" customWidth="1"/>
    <col min="13058" max="13058" width="14.83203125" customWidth="1"/>
    <col min="13059" max="13059" width="15.83203125" customWidth="1"/>
    <col min="13313" max="13313" width="50.1640625" customWidth="1"/>
    <col min="13314" max="13314" width="14.83203125" customWidth="1"/>
    <col min="13315" max="13315" width="15.83203125" customWidth="1"/>
    <col min="13569" max="13569" width="50.1640625" customWidth="1"/>
    <col min="13570" max="13570" width="14.83203125" customWidth="1"/>
    <col min="13571" max="13571" width="15.83203125" customWidth="1"/>
    <col min="13825" max="13825" width="50.1640625" customWidth="1"/>
    <col min="13826" max="13826" width="14.83203125" customWidth="1"/>
    <col min="13827" max="13827" width="15.83203125" customWidth="1"/>
    <col min="14081" max="14081" width="50.1640625" customWidth="1"/>
    <col min="14082" max="14082" width="14.83203125" customWidth="1"/>
    <col min="14083" max="14083" width="15.83203125" customWidth="1"/>
    <col min="14337" max="14337" width="50.1640625" customWidth="1"/>
    <col min="14338" max="14338" width="14.83203125" customWidth="1"/>
    <col min="14339" max="14339" width="15.83203125" customWidth="1"/>
    <col min="14593" max="14593" width="50.1640625" customWidth="1"/>
    <col min="14594" max="14594" width="14.83203125" customWidth="1"/>
    <col min="14595" max="14595" width="15.83203125" customWidth="1"/>
    <col min="14849" max="14849" width="50.1640625" customWidth="1"/>
    <col min="14850" max="14850" width="14.83203125" customWidth="1"/>
    <col min="14851" max="14851" width="15.83203125" customWidth="1"/>
    <col min="15105" max="15105" width="50.1640625" customWidth="1"/>
    <col min="15106" max="15106" width="14.83203125" customWidth="1"/>
    <col min="15107" max="15107" width="15.83203125" customWidth="1"/>
    <col min="15361" max="15361" width="50.1640625" customWidth="1"/>
    <col min="15362" max="15362" width="14.83203125" customWidth="1"/>
    <col min="15363" max="15363" width="15.83203125" customWidth="1"/>
    <col min="15617" max="15617" width="50.1640625" customWidth="1"/>
    <col min="15618" max="15618" width="14.83203125" customWidth="1"/>
    <col min="15619" max="15619" width="15.83203125" customWidth="1"/>
    <col min="15873" max="15873" width="50.1640625" customWidth="1"/>
    <col min="15874" max="15874" width="14.83203125" customWidth="1"/>
    <col min="15875" max="15875" width="15.83203125" customWidth="1"/>
    <col min="16129" max="16129" width="50.1640625" customWidth="1"/>
    <col min="16130" max="16130" width="14.83203125" customWidth="1"/>
    <col min="16131" max="16131" width="15.83203125" customWidth="1"/>
  </cols>
  <sheetData>
    <row r="1" spans="1:15" x14ac:dyDescent="0.2">
      <c r="A1" s="20" t="s">
        <v>115</v>
      </c>
    </row>
    <row r="2" spans="1:15" x14ac:dyDescent="0.2">
      <c r="A2" s="20"/>
      <c r="C2" s="79"/>
    </row>
    <row r="3" spans="1:15" x14ac:dyDescent="0.2">
      <c r="A3" s="65" t="s">
        <v>176</v>
      </c>
      <c r="C3" s="79"/>
    </row>
    <row r="5" spans="1:15" ht="45" x14ac:dyDescent="0.2">
      <c r="A5" t="s">
        <v>34</v>
      </c>
      <c r="B5" s="41" t="s">
        <v>35</v>
      </c>
      <c r="C5" s="41" t="s">
        <v>127</v>
      </c>
      <c r="D5" s="41" t="s">
        <v>114</v>
      </c>
      <c r="F5" s="41" t="s">
        <v>108</v>
      </c>
      <c r="G5" s="41" t="s">
        <v>109</v>
      </c>
      <c r="H5" s="41" t="s">
        <v>110</v>
      </c>
      <c r="I5" s="41" t="s">
        <v>154</v>
      </c>
      <c r="J5" s="72" t="s">
        <v>108</v>
      </c>
      <c r="K5" s="72" t="s">
        <v>109</v>
      </c>
      <c r="L5" s="76"/>
      <c r="M5" t="s">
        <v>153</v>
      </c>
    </row>
    <row r="6" spans="1:15" x14ac:dyDescent="0.2">
      <c r="A6" s="9" t="s">
        <v>78</v>
      </c>
      <c r="B6" s="67">
        <f>'Rebalanced Portfolio'!I65</f>
        <v>825092.52200563368</v>
      </c>
      <c r="C6" s="67">
        <f>'Non-Rebalanced Portfolio'!I65</f>
        <v>838644.6628670682</v>
      </c>
      <c r="D6" s="67">
        <f>'Panic Portfolio'!I65</f>
        <v>556678.59269060323</v>
      </c>
      <c r="E6" s="42"/>
      <c r="F6" s="6">
        <f>(B6-D6)/D6</f>
        <v>0.48217038132848128</v>
      </c>
      <c r="G6" s="6">
        <f>(C6-D6)/D6</f>
        <v>0.50651502299313145</v>
      </c>
      <c r="H6" s="6">
        <f>(B6-C6)/C6</f>
        <v>-1.6159574443726753E-2</v>
      </c>
      <c r="I6" s="67">
        <f>'Annual Rebalance Portfolio'!I65</f>
        <v>811155.23994019104</v>
      </c>
      <c r="J6" s="40">
        <f>B6-D6</f>
        <v>268413.92931503046</v>
      </c>
      <c r="K6" s="40">
        <f>C6-D6</f>
        <v>281966.07017646497</v>
      </c>
      <c r="L6" s="63"/>
    </row>
    <row r="7" spans="1:15" x14ac:dyDescent="0.2">
      <c r="A7" s="11" t="s">
        <v>36</v>
      </c>
      <c r="B7" s="70">
        <f>'Rebalanced Portfolio'!I66</f>
        <v>7.2509252200563372</v>
      </c>
      <c r="C7" s="70">
        <f>'Non-Rebalanced Portfolio'!I66</f>
        <v>7.386446628670682</v>
      </c>
      <c r="D7" s="70">
        <f>'Panic Portfolio'!I66</f>
        <v>4.5667859269060322</v>
      </c>
      <c r="F7" s="6">
        <f>(B7-D7)/D7</f>
        <v>0.58775237904983035</v>
      </c>
      <c r="G7" s="6">
        <f>(C7-D7)/D7</f>
        <v>0.6174278249287134</v>
      </c>
      <c r="H7" s="6">
        <f t="shared" ref="H7:H11" si="0">(B7-C7)/C7</f>
        <v>-1.8347307633458688E-2</v>
      </c>
      <c r="I7" s="70">
        <f>'Annual Rebalance Portfolio'!I66</f>
        <v>7.1115523994019103</v>
      </c>
    </row>
    <row r="8" spans="1:15" x14ac:dyDescent="0.2">
      <c r="A8" s="1" t="s">
        <v>80</v>
      </c>
      <c r="B8" s="70">
        <f>'Rebalanced Portfolio'!I67</f>
        <v>0.12433838434817131</v>
      </c>
      <c r="C8" s="70">
        <f>'Non-Rebalanced Portfolio'!I67</f>
        <v>0.13599395058058086</v>
      </c>
      <c r="D8" s="70">
        <f>'Panic Portfolio'!I67</f>
        <v>0.12250651208242375</v>
      </c>
      <c r="F8" s="6">
        <f>(B8-D8)/D8</f>
        <v>1.4953264398835035E-2</v>
      </c>
      <c r="G8" s="6">
        <f>(C8-D8)/D8</f>
        <v>0.11009568608959022</v>
      </c>
      <c r="H8" s="6">
        <f t="shared" si="0"/>
        <v>-8.5706505198576838E-2</v>
      </c>
      <c r="I8" s="70">
        <f>'Annual Rebalance Portfolio'!I67</f>
        <v>0.1247223526380872</v>
      </c>
      <c r="M8" t="s">
        <v>145</v>
      </c>
      <c r="O8" s="6">
        <f>(B8-C8)/C8</f>
        <v>-8.5706505198576838E-2</v>
      </c>
    </row>
    <row r="9" spans="1:15" x14ac:dyDescent="0.2">
      <c r="A9" s="1" t="s">
        <v>37</v>
      </c>
      <c r="B9" s="70">
        <f>'Rebalanced Portfolio'!I68</f>
        <v>8.8078192195103266E-2</v>
      </c>
      <c r="C9" s="70">
        <f>'Non-Rebalanced Portfolio'!I68</f>
        <v>8.8787483109425525E-2</v>
      </c>
      <c r="D9" s="70">
        <f>'Panic Portfolio'!I68</f>
        <v>7.1085600648647995E-2</v>
      </c>
      <c r="F9" s="6">
        <f>(B9-D9)/D9</f>
        <v>0.23904407350292903</v>
      </c>
      <c r="G9" s="6">
        <f>(C9-D9)/D9</f>
        <v>0.24902205649596926</v>
      </c>
      <c r="H9" s="6">
        <f t="shared" si="0"/>
        <v>-7.9886363424458984E-3</v>
      </c>
      <c r="I9" s="70">
        <f>'Annual Rebalance Portfolio'!I68</f>
        <v>8.7336981537208924E-2</v>
      </c>
      <c r="M9" t="s">
        <v>146</v>
      </c>
      <c r="O9" s="6">
        <f>B9-C9</f>
        <v>-7.092909143222581E-4</v>
      </c>
    </row>
    <row r="10" spans="1:15" x14ac:dyDescent="0.2">
      <c r="A10" s="1" t="s">
        <v>82</v>
      </c>
      <c r="B10" s="68">
        <f>'Rebalanced Portfolio'!I69</f>
        <v>78162.574803290598</v>
      </c>
      <c r="C10" s="68">
        <f>'Non-Rebalanced Portfolio'!I69</f>
        <v>80317.270531552786</v>
      </c>
      <c r="D10" s="69">
        <f>'Panic Portfolio'!I69</f>
        <v>49795.712033580989</v>
      </c>
      <c r="F10" s="2">
        <f>B10-D10</f>
        <v>28366.862769709609</v>
      </c>
      <c r="G10" s="2">
        <f>C10-D10</f>
        <v>30521.558497971797</v>
      </c>
      <c r="H10" s="2">
        <f>B10-C10</f>
        <v>-2154.6957282621879</v>
      </c>
      <c r="I10" s="69">
        <f>'Annual Rebalance Portfolio'!I69</f>
        <v>73887.725205247873</v>
      </c>
    </row>
    <row r="11" spans="1:15" x14ac:dyDescent="0.2">
      <c r="A11" s="1" t="s">
        <v>38</v>
      </c>
      <c r="B11" s="6">
        <f>'Rebalanced Portfolio'!I70</f>
        <v>0.15677655860111775</v>
      </c>
      <c r="C11" s="6">
        <f>'Non-Rebalanced Portfolio'!I70</f>
        <v>0.17325097102174961</v>
      </c>
      <c r="D11" s="12">
        <f>'Panic Portfolio'!I70</f>
        <v>0.14996000000000012</v>
      </c>
      <c r="F11" s="6">
        <f>(B11-D11)/D11</f>
        <v>4.5455845566268492E-2</v>
      </c>
      <c r="G11" s="6">
        <f>(C11-D11)/D11</f>
        <v>0.15531455736029251</v>
      </c>
      <c r="H11" s="6">
        <f t="shared" si="0"/>
        <v>-9.5089870627990236E-2</v>
      </c>
      <c r="I11" s="12">
        <f>'Annual Rebalance Portfolio'!I70</f>
        <v>0.14995999999999998</v>
      </c>
    </row>
    <row r="12" spans="1:15" x14ac:dyDescent="0.2">
      <c r="A12" s="1" t="s">
        <v>105</v>
      </c>
      <c r="B12" s="6">
        <f>'Rebalanced Portfolio'!I74</f>
        <v>0.69895518389322975</v>
      </c>
      <c r="C12" s="6">
        <f>'Non-Rebalanced Portfolio'!I77</f>
        <v>0.83606704127157305</v>
      </c>
      <c r="D12" s="12">
        <f>'Panic Portfolio'!I74</f>
        <v>0.72173160252452018</v>
      </c>
      <c r="I12" s="12">
        <f>'Annual Rebalance Portfolio'!I74</f>
        <v>0.72369015056961528</v>
      </c>
    </row>
    <row r="13" spans="1:15" x14ac:dyDescent="0.2">
      <c r="A13" s="1" t="s">
        <v>106</v>
      </c>
      <c r="B13" s="6">
        <f>'Rebalanced Portfolio'!I75</f>
        <v>0.30104481610677025</v>
      </c>
      <c r="C13" s="6">
        <f>'Non-Rebalanced Portfolio'!I78</f>
        <v>0.16393295872842686</v>
      </c>
      <c r="D13" s="12">
        <f>'Panic Portfolio'!I75</f>
        <v>0.27826839747547982</v>
      </c>
      <c r="I13" s="12">
        <f>'Annual Rebalance Portfolio'!I75</f>
        <v>0.27630984943038478</v>
      </c>
    </row>
    <row r="14" spans="1:15" hidden="1" x14ac:dyDescent="0.2">
      <c r="A14" s="3" t="s">
        <v>107</v>
      </c>
      <c r="B14" s="58">
        <f>B12+B13</f>
        <v>1</v>
      </c>
      <c r="C14" s="58">
        <f>C12+C13</f>
        <v>0.99999999999999989</v>
      </c>
      <c r="D14" s="58">
        <f>D12+D13</f>
        <v>1</v>
      </c>
      <c r="I14" s="58">
        <f>I12+I13</f>
        <v>1</v>
      </c>
    </row>
    <row r="15" spans="1:15" x14ac:dyDescent="0.2">
      <c r="A15" s="1"/>
      <c r="B15" s="6"/>
      <c r="C15" s="6"/>
      <c r="F15" s="41"/>
      <c r="G15" s="41"/>
      <c r="H15" s="41"/>
    </row>
    <row r="16" spans="1:15" x14ac:dyDescent="0.2">
      <c r="A16" s="1"/>
      <c r="B16" s="6"/>
      <c r="C16" s="6"/>
      <c r="F16" s="6"/>
      <c r="G16" s="6"/>
      <c r="H16" s="6"/>
    </row>
    <row r="17" spans="1:15" x14ac:dyDescent="0.2">
      <c r="B17" s="6"/>
      <c r="C17" s="6"/>
      <c r="F17" s="6"/>
      <c r="G17" s="6"/>
      <c r="H17" s="6"/>
    </row>
    <row r="18" spans="1:15" x14ac:dyDescent="0.2">
      <c r="A18" s="65" t="s">
        <v>177</v>
      </c>
      <c r="F18" s="6"/>
      <c r="G18" s="6"/>
      <c r="H18" s="6"/>
    </row>
    <row r="19" spans="1:15" x14ac:dyDescent="0.2">
      <c r="F19" s="6"/>
      <c r="G19" s="6"/>
      <c r="H19" s="6"/>
    </row>
    <row r="20" spans="1:15" ht="45" x14ac:dyDescent="0.2">
      <c r="A20" t="s">
        <v>34</v>
      </c>
      <c r="B20" s="41" t="s">
        <v>35</v>
      </c>
      <c r="C20" s="41" t="s">
        <v>127</v>
      </c>
      <c r="D20" s="41" t="s">
        <v>114</v>
      </c>
      <c r="F20" s="41" t="s">
        <v>108</v>
      </c>
      <c r="G20" s="41" t="s">
        <v>109</v>
      </c>
      <c r="H20" s="41" t="s">
        <v>108</v>
      </c>
      <c r="I20" s="41" t="str">
        <f>I5</f>
        <v>Rebalancing Annually</v>
      </c>
      <c r="J20" s="72" t="s">
        <v>108</v>
      </c>
      <c r="K20" s="72" t="s">
        <v>109</v>
      </c>
      <c r="L20" s="76"/>
      <c r="M20" t="s">
        <v>153</v>
      </c>
    </row>
    <row r="21" spans="1:15" x14ac:dyDescent="0.2">
      <c r="A21" s="9" t="s">
        <v>78</v>
      </c>
      <c r="B21" s="67">
        <f>'4.5% Withdrawals-Rebalanced'!I65</f>
        <v>402722.73473428632</v>
      </c>
      <c r="C21" s="67">
        <f>'4.5% Withdrawals-No Rebalancing'!I65</f>
        <v>412988.8975006917</v>
      </c>
      <c r="D21" s="67">
        <f>'4.5% 60-40 Portfolio'!I65</f>
        <v>369989.16346910561</v>
      </c>
      <c r="E21" s="77"/>
      <c r="F21" s="6">
        <f>(B21-D21)/D21</f>
        <v>8.8471702679784006E-2</v>
      </c>
      <c r="G21" s="6">
        <f>(C21-D21)/D21</f>
        <v>0.11621890119270102</v>
      </c>
      <c r="H21" s="6">
        <f>(B21-C21)/C21</f>
        <v>-2.485820521697726E-2</v>
      </c>
      <c r="I21" s="67">
        <f>'4.5% Withdrawals-Annual Rebal'!I65</f>
        <v>404168.37730000285</v>
      </c>
      <c r="J21" s="40">
        <f>B21-D21</f>
        <v>32733.571265180712</v>
      </c>
      <c r="K21" s="40">
        <f>C21-D21</f>
        <v>42999.734031586093</v>
      </c>
      <c r="L21" s="63"/>
    </row>
    <row r="22" spans="1:15" x14ac:dyDescent="0.2">
      <c r="A22" s="11" t="s">
        <v>36</v>
      </c>
      <c r="B22" s="70">
        <f>'4.5% Withdrawals-Rebalanced'!I66</f>
        <v>3.0272273473428633</v>
      </c>
      <c r="C22" s="70">
        <f>'4.5% Withdrawals-No Rebalancing'!I66</f>
        <v>3.1298889750069172</v>
      </c>
      <c r="D22" s="70">
        <f>'4.5% 60-40 Portfolio'!I66</f>
        <v>2.6998916346910562</v>
      </c>
      <c r="E22" s="77"/>
      <c r="F22" s="6">
        <f>(B22-D22)/D22</f>
        <v>0.12124031514667198</v>
      </c>
      <c r="G22" s="6">
        <f>(C22-D22)/D22</f>
        <v>0.15926466632615974</v>
      </c>
      <c r="H22" s="6">
        <f t="shared" ref="H22:H26" si="1">(B22-C22)/C22</f>
        <v>-3.2800405536374359E-2</v>
      </c>
      <c r="I22" s="86">
        <f>'4.5% Withdrawals-Annual Rebal'!I66</f>
        <v>3.0416837730000279</v>
      </c>
    </row>
    <row r="23" spans="1:15" x14ac:dyDescent="0.2">
      <c r="A23" s="1" t="s">
        <v>80</v>
      </c>
      <c r="B23" s="70">
        <f>'4.5% Withdrawals-Rebalanced'!I67</f>
        <v>0.12161997644615873</v>
      </c>
      <c r="C23" s="70">
        <f>'4.5% Withdrawals-No Rebalancing'!I67</f>
        <v>0.13112745436008305</v>
      </c>
      <c r="D23" s="70">
        <f>'4.5% 60-40 Portfolio'!I67</f>
        <v>0.10968354039888555</v>
      </c>
      <c r="E23" s="77"/>
      <c r="F23" s="6">
        <f>(B23-D23)/D23</f>
        <v>0.10882613748484055</v>
      </c>
      <c r="G23" s="6">
        <f>(C23-D23)/D23</f>
        <v>0.19550712789915914</v>
      </c>
      <c r="H23" s="6">
        <f t="shared" si="1"/>
        <v>-7.2505624091628279E-2</v>
      </c>
      <c r="I23" s="86">
        <f>'4.5% Withdrawals-Annual Rebal'!I67</f>
        <v>0.12217498251618647</v>
      </c>
      <c r="M23" t="s">
        <v>145</v>
      </c>
      <c r="O23" s="6">
        <f>(B23-C23)/C23</f>
        <v>-7.2505624091628279E-2</v>
      </c>
    </row>
    <row r="24" spans="1:15" x14ac:dyDescent="0.2">
      <c r="A24" s="1" t="s">
        <v>37</v>
      </c>
      <c r="B24" s="70">
        <f>'4.5% Withdrawals-Rebalanced'!I68</f>
        <v>5.7304902378479072E-2</v>
      </c>
      <c r="C24" s="70">
        <f>'4.5% Withdrawals-No Rebalancing'!I68</f>
        <v>5.8370034096637102E-2</v>
      </c>
      <c r="D24" s="70">
        <f>'4.5% 60-40 Portfolio'!I68</f>
        <v>5.372567016079377E-2</v>
      </c>
      <c r="E24" s="77"/>
      <c r="F24" s="6">
        <f>(B24-D24)/D24</f>
        <v>6.6620522498335277E-2</v>
      </c>
      <c r="G24" s="6">
        <f>(C24-D24)/D24</f>
        <v>8.644590047817681E-2</v>
      </c>
      <c r="H24" s="6">
        <f t="shared" si="1"/>
        <v>-1.8247920095345566E-2</v>
      </c>
      <c r="I24" s="86">
        <f>'4.5% Withdrawals-Annual Rebal'!I68</f>
        <v>5.7456456522875232E-2</v>
      </c>
      <c r="M24" t="s">
        <v>146</v>
      </c>
      <c r="O24" s="6">
        <f>B24-C24</f>
        <v>-1.06513171815803E-3</v>
      </c>
    </row>
    <row r="25" spans="1:15" x14ac:dyDescent="0.2">
      <c r="A25" s="1" t="s">
        <v>82</v>
      </c>
      <c r="B25" s="68">
        <f>'4.5% Withdrawals-Rebalanced'!I69</f>
        <v>35184.795089903288</v>
      </c>
      <c r="C25" s="68">
        <f>'4.5% Withdrawals-No Rebalancing'!I69</f>
        <v>37466.501718619431</v>
      </c>
      <c r="D25" s="69">
        <f>'4.5% 60-40 Portfolio'!I69</f>
        <v>21135.319434428588</v>
      </c>
      <c r="E25" s="77"/>
      <c r="F25" s="68">
        <f>B25-D25</f>
        <v>14049.4756554747</v>
      </c>
      <c r="G25" s="68">
        <f>C25-D25</f>
        <v>16331.182284190843</v>
      </c>
      <c r="H25" s="68">
        <f>B25-C25</f>
        <v>-2281.7066287161433</v>
      </c>
      <c r="I25" s="86">
        <f>'4.5% Withdrawals-Annual Rebal'!I69</f>
        <v>34289.041125489166</v>
      </c>
    </row>
    <row r="26" spans="1:15" x14ac:dyDescent="0.2">
      <c r="A26" s="1" t="s">
        <v>38</v>
      </c>
      <c r="B26" s="6">
        <f>'4.5% Withdrawals-Rebalanced'!I70</f>
        <v>0.12656061018004658</v>
      </c>
      <c r="C26" s="70">
        <f>'4.5% Withdrawals-No Rebalancing'!I70</f>
        <v>0.14644653840811367</v>
      </c>
      <c r="D26" s="70">
        <f>'4.5% 60-40 Portfolio'!I70</f>
        <v>8.2064373977924765E-2</v>
      </c>
      <c r="E26" s="77"/>
      <c r="F26" s="6">
        <f>(B26-D26)/D26</f>
        <v>0.54221136463054309</v>
      </c>
      <c r="G26" s="6">
        <f>(C26-D26)/D26</f>
        <v>0.7845324506771677</v>
      </c>
      <c r="H26" s="6">
        <f t="shared" si="1"/>
        <v>-0.13578967754532692</v>
      </c>
      <c r="I26" s="86">
        <f>'4.5% Withdrawals-Annual Rebal'!I70</f>
        <v>0.1235455604783943</v>
      </c>
    </row>
    <row r="27" spans="1:15" x14ac:dyDescent="0.2">
      <c r="A27" s="1" t="s">
        <v>42</v>
      </c>
      <c r="B27" s="68">
        <f>'4.5% Withdrawals-Rebalanced'!I71</f>
        <v>153095.61715261915</v>
      </c>
      <c r="C27" s="68">
        <f>'4.5% Withdrawals-No Rebalancing'!I71</f>
        <v>153095.61715261915</v>
      </c>
      <c r="D27" s="69">
        <f>'4.5% 60-40 Portfolio'!I71</f>
        <v>163063.29239065514</v>
      </c>
      <c r="E27" s="77"/>
      <c r="F27" s="68">
        <f>B27-D27</f>
        <v>-9967.6752380359976</v>
      </c>
      <c r="G27" s="68">
        <f>C27-D27</f>
        <v>-9967.6752380359976</v>
      </c>
      <c r="H27" s="68">
        <f>B27-C27</f>
        <v>0</v>
      </c>
      <c r="I27" s="86">
        <f>'4.5% Withdrawals-Annual Rebal'!I71</f>
        <v>136084.99302455035</v>
      </c>
    </row>
    <row r="28" spans="1:15" x14ac:dyDescent="0.2">
      <c r="A28" t="str">
        <f>A12</f>
        <v>Ending Equity Allocation</v>
      </c>
      <c r="B28" s="6">
        <f>'4.5% Withdrawals-Rebalanced'!I76</f>
        <v>0.75244905354620506</v>
      </c>
      <c r="C28" s="6">
        <f>'4.5% Withdrawals-No Rebalancing'!I76</f>
        <v>0.82242415238181032</v>
      </c>
      <c r="D28" s="12">
        <f>'4.5% Withdrawals-Panic'!I76</f>
        <v>0.76744175210171373</v>
      </c>
      <c r="E28" s="77"/>
      <c r="F28" s="78"/>
      <c r="G28" s="6"/>
      <c r="H28" s="78"/>
      <c r="I28" s="70">
        <f>'4.5% Withdrawals-Annual Rebal'!I76</f>
        <v>0.70000000000000007</v>
      </c>
    </row>
    <row r="29" spans="1:15" x14ac:dyDescent="0.2">
      <c r="A29" t="str">
        <f t="shared" ref="A29:A30" si="2">A13</f>
        <v>Ending Fixed-Income Allocation</v>
      </c>
      <c r="B29" s="6">
        <f>'4.5% Withdrawals-Rebalanced'!I77</f>
        <v>0.24755094645379502</v>
      </c>
      <c r="C29" s="6">
        <f>'4.5% Withdrawals-No Rebalancing'!I77</f>
        <v>0.17757584761818962</v>
      </c>
      <c r="D29" s="12">
        <f>'4.5% Withdrawals-Panic'!I77</f>
        <v>0.23255824789828622</v>
      </c>
      <c r="E29" s="77"/>
      <c r="F29" s="77"/>
      <c r="G29" s="77"/>
      <c r="H29" s="77"/>
      <c r="I29" s="70">
        <f>'4.5% Withdrawals-Annual Rebal'!I77</f>
        <v>0.29999999999999993</v>
      </c>
    </row>
    <row r="30" spans="1:15" hidden="1" x14ac:dyDescent="0.2">
      <c r="A30" s="3" t="str">
        <f t="shared" si="2"/>
        <v>Allocation Check</v>
      </c>
      <c r="B30" s="66">
        <f>SUM(B28:B29)</f>
        <v>1</v>
      </c>
      <c r="C30" s="66">
        <f>SUM(C28:C29)</f>
        <v>1</v>
      </c>
      <c r="D30" s="66">
        <f>SUM(D28:D29)</f>
        <v>1</v>
      </c>
      <c r="I30" s="66">
        <f>SUM(I28:I29)</f>
        <v>1</v>
      </c>
    </row>
    <row r="34" spans="5:5" x14ac:dyDescent="0.2">
      <c r="E34" s="20"/>
    </row>
  </sheetData>
  <phoneticPr fontId="11" type="noConversion"/>
  <pageMargins left="0.45" right="0.45" top="0.5" bottom="0.5" header="0.3" footer="0.3"/>
  <pageSetup orientation="landscape" horizontalDpi="4294967293" verticalDpi="4294967293" r:id="rId1"/>
  <headerFooter>
    <oddFooter>&amp;A</oddFooter>
  </headerFooter>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79"/>
  <sheetViews>
    <sheetView topLeftCell="A65" zoomScale="110" zoomScaleNormal="110" workbookViewId="0">
      <selection activeCell="A77" sqref="A77:I79"/>
    </sheetView>
  </sheetViews>
  <sheetFormatPr baseColWidth="10" defaultColWidth="8.83203125" defaultRowHeight="15" x14ac:dyDescent="0.2"/>
  <cols>
    <col min="1" max="1" width="25.5" customWidth="1"/>
    <col min="2" max="4" width="9.33203125" bestFit="1" customWidth="1"/>
    <col min="5" max="5" width="9.5" bestFit="1" customWidth="1"/>
    <col min="7" max="7" width="9.83203125" bestFit="1" customWidth="1"/>
    <col min="8" max="8" width="9.33203125" bestFit="1" customWidth="1"/>
    <col min="9" max="9" width="11.6640625" customWidth="1"/>
    <col min="10" max="10" width="10" bestFit="1" customWidth="1"/>
  </cols>
  <sheetData>
    <row r="1" spans="1:9" x14ac:dyDescent="0.2">
      <c r="A1" s="20" t="s">
        <v>49</v>
      </c>
    </row>
    <row r="2" spans="1:9" x14ac:dyDescent="0.2">
      <c r="A2" s="14"/>
      <c r="B2" s="14" t="s">
        <v>50</v>
      </c>
      <c r="C2" s="14" t="s">
        <v>51</v>
      </c>
      <c r="D2" s="14" t="s">
        <v>52</v>
      </c>
      <c r="E2" s="14" t="s">
        <v>53</v>
      </c>
      <c r="F2" s="14" t="s">
        <v>60</v>
      </c>
      <c r="G2" s="14" t="s">
        <v>62</v>
      </c>
      <c r="H2" s="14" t="s">
        <v>63</v>
      </c>
    </row>
    <row r="3" spans="1:9" x14ac:dyDescent="0.2">
      <c r="A3" s="14" t="s">
        <v>48</v>
      </c>
      <c r="B3" s="14" t="s">
        <v>54</v>
      </c>
      <c r="C3" s="14" t="s">
        <v>55</v>
      </c>
      <c r="D3" s="14" t="s">
        <v>56</v>
      </c>
      <c r="E3" s="14" t="s">
        <v>57</v>
      </c>
      <c r="F3" s="14" t="s">
        <v>61</v>
      </c>
      <c r="G3" s="14" t="s">
        <v>64</v>
      </c>
      <c r="H3" s="14" t="s">
        <v>65</v>
      </c>
      <c r="I3" s="14" t="s">
        <v>48</v>
      </c>
    </row>
    <row r="4" spans="1:9" x14ac:dyDescent="0.2">
      <c r="A4" s="14">
        <v>1990</v>
      </c>
      <c r="B4" s="14">
        <v>-3.32</v>
      </c>
      <c r="C4" s="14">
        <v>-14.045</v>
      </c>
      <c r="D4" s="14"/>
      <c r="E4" s="14"/>
      <c r="F4" s="14">
        <v>-12.26</v>
      </c>
      <c r="G4" s="14"/>
      <c r="H4" s="14">
        <v>8.65</v>
      </c>
      <c r="I4">
        <v>1</v>
      </c>
    </row>
    <row r="5" spans="1:9" x14ac:dyDescent="0.2">
      <c r="A5" s="14">
        <v>1991</v>
      </c>
      <c r="B5" s="14">
        <v>30.22</v>
      </c>
      <c r="C5" s="14">
        <v>41.85</v>
      </c>
      <c r="D5" s="14"/>
      <c r="E5" s="14"/>
      <c r="F5" s="14">
        <v>9.9559999999999995</v>
      </c>
      <c r="G5" s="14"/>
      <c r="H5" s="14">
        <v>15.25</v>
      </c>
      <c r="I5">
        <f>I4+1</f>
        <v>2</v>
      </c>
    </row>
    <row r="6" spans="1:9" x14ac:dyDescent="0.2">
      <c r="A6" s="14">
        <v>1992</v>
      </c>
      <c r="B6" s="14">
        <v>7.42</v>
      </c>
      <c r="C6" s="14">
        <v>12.465999999999999</v>
      </c>
      <c r="D6" s="14"/>
      <c r="E6" s="14"/>
      <c r="F6" s="14">
        <v>-8.7210000000000001</v>
      </c>
      <c r="G6" s="14"/>
      <c r="H6" s="14">
        <v>7.14</v>
      </c>
      <c r="I6">
        <f t="shared" ref="I6:I28" si="0">I5+1</f>
        <v>3</v>
      </c>
    </row>
    <row r="7" spans="1:9" x14ac:dyDescent="0.2">
      <c r="A7" s="14">
        <v>1993</v>
      </c>
      <c r="B7" s="14">
        <v>9.89</v>
      </c>
      <c r="C7" s="14">
        <v>14.49</v>
      </c>
      <c r="D7" s="14"/>
      <c r="E7" s="14"/>
      <c r="F7" s="14">
        <v>30.494</v>
      </c>
      <c r="G7" s="14"/>
      <c r="H7" s="14">
        <v>9.68</v>
      </c>
      <c r="I7">
        <f t="shared" si="0"/>
        <v>4</v>
      </c>
    </row>
    <row r="8" spans="1:9" x14ac:dyDescent="0.2">
      <c r="A8" s="14">
        <v>1994</v>
      </c>
      <c r="B8" s="14">
        <v>1.18</v>
      </c>
      <c r="C8" s="14">
        <v>-1.764</v>
      </c>
      <c r="D8" s="14"/>
      <c r="E8" s="14"/>
      <c r="F8" s="14">
        <v>5.2549999999999999</v>
      </c>
      <c r="G8" s="14"/>
      <c r="H8" s="14">
        <v>-2.66</v>
      </c>
      <c r="I8">
        <f t="shared" si="0"/>
        <v>5</v>
      </c>
    </row>
    <row r="9" spans="1:9" x14ac:dyDescent="0.2">
      <c r="A9" s="14">
        <v>1995</v>
      </c>
      <c r="B9" s="14">
        <v>37.450000000000003</v>
      </c>
      <c r="C9" s="14">
        <v>33.796999999999997</v>
      </c>
      <c r="D9" s="14"/>
      <c r="E9" s="14"/>
      <c r="F9" s="14">
        <v>9.6460000000000008</v>
      </c>
      <c r="G9" s="14"/>
      <c r="H9" s="14">
        <v>18.18</v>
      </c>
      <c r="I9">
        <f t="shared" si="0"/>
        <v>6</v>
      </c>
    </row>
    <row r="10" spans="1:9" x14ac:dyDescent="0.2">
      <c r="A10" s="14">
        <v>1996</v>
      </c>
      <c r="B10" s="14">
        <v>22.88</v>
      </c>
      <c r="C10" s="14">
        <v>17.646999999999998</v>
      </c>
      <c r="D10" s="14"/>
      <c r="E10" s="14"/>
      <c r="F10" s="14">
        <v>10.218999999999999</v>
      </c>
      <c r="G10" s="14"/>
      <c r="H10" s="14">
        <v>3.58</v>
      </c>
      <c r="I10">
        <f t="shared" si="0"/>
        <v>7</v>
      </c>
    </row>
    <row r="11" spans="1:9" x14ac:dyDescent="0.2">
      <c r="A11" s="14">
        <v>1997</v>
      </c>
      <c r="B11" s="14">
        <v>33.19</v>
      </c>
      <c r="C11" s="14">
        <v>26.687000000000001</v>
      </c>
      <c r="D11" s="14"/>
      <c r="E11" s="14"/>
      <c r="F11" s="14"/>
      <c r="G11" s="16">
        <v>-0.77500000000000002</v>
      </c>
      <c r="H11" s="14">
        <v>9.44</v>
      </c>
      <c r="I11">
        <f t="shared" si="0"/>
        <v>8</v>
      </c>
    </row>
    <row r="12" spans="1:9" x14ac:dyDescent="0.2">
      <c r="A12" s="14">
        <v>1998</v>
      </c>
      <c r="B12" s="14">
        <v>28.66</v>
      </c>
      <c r="C12" s="14">
        <v>8.3529999999999998</v>
      </c>
      <c r="D12" s="14"/>
      <c r="E12" s="14"/>
      <c r="F12" s="14"/>
      <c r="G12" s="14">
        <v>15.603</v>
      </c>
      <c r="H12" s="14">
        <v>8.58</v>
      </c>
      <c r="I12">
        <f t="shared" si="0"/>
        <v>9</v>
      </c>
    </row>
    <row r="13" spans="1:9" x14ac:dyDescent="0.2">
      <c r="A13" s="14">
        <v>1999</v>
      </c>
      <c r="B13" s="14">
        <v>21.07</v>
      </c>
      <c r="C13" s="14"/>
      <c r="D13" s="16">
        <v>15.319000000000001</v>
      </c>
      <c r="E13" s="16">
        <v>23.132999999999999</v>
      </c>
      <c r="F13" s="14"/>
      <c r="G13" s="14">
        <v>29.919</v>
      </c>
      <c r="H13" s="14">
        <v>-0.76</v>
      </c>
      <c r="I13">
        <f t="shared" si="0"/>
        <v>10</v>
      </c>
    </row>
    <row r="14" spans="1:9" x14ac:dyDescent="0.2">
      <c r="A14" s="14">
        <v>2000</v>
      </c>
      <c r="B14" s="14">
        <v>-9.06</v>
      </c>
      <c r="C14" s="14"/>
      <c r="D14" s="14">
        <v>18.097999999999999</v>
      </c>
      <c r="E14" s="14">
        <v>-2.665</v>
      </c>
      <c r="F14" s="14"/>
      <c r="G14" s="14">
        <v>-15.614000000000001</v>
      </c>
      <c r="H14" s="14">
        <v>11.39</v>
      </c>
      <c r="I14">
        <f t="shared" si="0"/>
        <v>11</v>
      </c>
    </row>
    <row r="15" spans="1:9" x14ac:dyDescent="0.2">
      <c r="A15" s="14">
        <v>2001</v>
      </c>
      <c r="B15" s="14">
        <v>-12.02</v>
      </c>
      <c r="C15" s="14"/>
      <c r="D15" s="14">
        <v>-0.499</v>
      </c>
      <c r="E15" s="14">
        <v>3.1</v>
      </c>
      <c r="F15" s="14"/>
      <c r="G15" s="14">
        <v>-20.152999999999999</v>
      </c>
      <c r="H15" s="14">
        <v>8.43</v>
      </c>
      <c r="I15">
        <f t="shared" si="0"/>
        <v>12</v>
      </c>
    </row>
    <row r="16" spans="1:9" x14ac:dyDescent="0.2">
      <c r="A16" s="14">
        <v>2002</v>
      </c>
      <c r="B16" s="14">
        <v>-22.15</v>
      </c>
      <c r="C16" s="14"/>
      <c r="D16" s="14">
        <v>-14.608000000000001</v>
      </c>
      <c r="E16" s="14">
        <v>-20.021999999999998</v>
      </c>
      <c r="F16" s="14"/>
      <c r="G16" s="14">
        <v>-15.083</v>
      </c>
      <c r="H16" s="14">
        <v>8.26</v>
      </c>
      <c r="I16">
        <f t="shared" si="0"/>
        <v>13</v>
      </c>
    </row>
    <row r="17" spans="1:9" x14ac:dyDescent="0.2">
      <c r="A17" s="14">
        <v>2003</v>
      </c>
      <c r="B17" s="14">
        <v>28.5</v>
      </c>
      <c r="C17" s="14"/>
      <c r="D17" s="14">
        <v>34.142000000000003</v>
      </c>
      <c r="E17" s="14">
        <v>45.628</v>
      </c>
      <c r="F17" s="14"/>
      <c r="G17" s="14">
        <v>40.340000000000003</v>
      </c>
      <c r="H17" s="14">
        <v>3.97</v>
      </c>
      <c r="I17">
        <f t="shared" si="0"/>
        <v>14</v>
      </c>
    </row>
    <row r="18" spans="1:9" x14ac:dyDescent="0.2">
      <c r="A18" s="14">
        <v>2004</v>
      </c>
      <c r="B18" s="14">
        <v>10.74</v>
      </c>
      <c r="C18" s="14"/>
      <c r="D18" s="14">
        <v>20.353000000000002</v>
      </c>
      <c r="E18" s="14">
        <v>19.896999999999998</v>
      </c>
      <c r="F18" s="14"/>
      <c r="G18" s="14">
        <v>20.837</v>
      </c>
      <c r="H18" s="14">
        <v>4.24</v>
      </c>
      <c r="I18">
        <f t="shared" si="0"/>
        <v>15</v>
      </c>
    </row>
    <row r="19" spans="1:9" x14ac:dyDescent="0.2">
      <c r="A19" s="14">
        <v>2005</v>
      </c>
      <c r="B19" s="14">
        <v>4.7699999999999996</v>
      </c>
      <c r="C19" s="14"/>
      <c r="D19" s="14">
        <v>13.930999999999999</v>
      </c>
      <c r="E19" s="14">
        <v>7.3630000000000004</v>
      </c>
      <c r="F19" s="14"/>
      <c r="G19" s="14">
        <v>15.571</v>
      </c>
      <c r="H19" s="14">
        <v>2.4</v>
      </c>
      <c r="I19">
        <f t="shared" si="0"/>
        <v>16</v>
      </c>
    </row>
    <row r="20" spans="1:9" x14ac:dyDescent="0.2">
      <c r="A20" s="14">
        <v>2006</v>
      </c>
      <c r="B20" s="14">
        <v>15.64</v>
      </c>
      <c r="C20" s="14"/>
      <c r="D20" s="14">
        <v>13.597</v>
      </c>
      <c r="E20" s="14">
        <v>15.656000000000001</v>
      </c>
      <c r="F20" s="14"/>
      <c r="G20" s="14">
        <v>26.637</v>
      </c>
      <c r="H20" s="14">
        <v>4.2699999999999996</v>
      </c>
      <c r="I20">
        <f t="shared" si="0"/>
        <v>17</v>
      </c>
    </row>
    <row r="21" spans="1:9" x14ac:dyDescent="0.2">
      <c r="A21" s="14">
        <v>2007</v>
      </c>
      <c r="B21" s="14">
        <v>5.39</v>
      </c>
      <c r="C21" s="14"/>
      <c r="D21" s="14">
        <v>6.0209999999999999</v>
      </c>
      <c r="E21" s="14">
        <v>1.1559999999999999</v>
      </c>
      <c r="F21" s="14"/>
      <c r="G21" s="14">
        <v>15.522</v>
      </c>
      <c r="H21" s="14">
        <v>6.92</v>
      </c>
      <c r="I21">
        <f t="shared" si="0"/>
        <v>18</v>
      </c>
    </row>
    <row r="22" spans="1:9" x14ac:dyDescent="0.2">
      <c r="A22" s="14">
        <v>2008</v>
      </c>
      <c r="B22" s="14">
        <v>-37.020000000000003</v>
      </c>
      <c r="C22" s="14"/>
      <c r="D22" s="14">
        <v>-41.823999999999998</v>
      </c>
      <c r="E22" s="14">
        <v>-36.07</v>
      </c>
      <c r="F22" s="14"/>
      <c r="G22" s="14">
        <v>-44.100999999999999</v>
      </c>
      <c r="H22" s="14">
        <v>5.05</v>
      </c>
      <c r="I22">
        <f t="shared" si="0"/>
        <v>19</v>
      </c>
    </row>
    <row r="23" spans="1:9" x14ac:dyDescent="0.2">
      <c r="A23" s="14">
        <v>2009</v>
      </c>
      <c r="B23" s="14">
        <v>26.49</v>
      </c>
      <c r="C23" s="14"/>
      <c r="D23" s="14">
        <v>40.218000000000004</v>
      </c>
      <c r="E23" s="14">
        <v>36.118000000000002</v>
      </c>
      <c r="F23" s="14"/>
      <c r="G23" s="14">
        <v>36.726999999999997</v>
      </c>
      <c r="H23" s="14">
        <v>5.93</v>
      </c>
      <c r="I23">
        <f t="shared" si="0"/>
        <v>20</v>
      </c>
    </row>
    <row r="24" spans="1:9" x14ac:dyDescent="0.2">
      <c r="A24" s="14">
        <v>2010</v>
      </c>
      <c r="B24" s="14">
        <v>14.91</v>
      </c>
      <c r="C24" s="14"/>
      <c r="D24" s="14">
        <v>25.46</v>
      </c>
      <c r="E24" s="14">
        <v>27.72</v>
      </c>
      <c r="F24" s="14"/>
      <c r="G24" s="14">
        <v>11.12</v>
      </c>
      <c r="H24" s="14">
        <v>6.42</v>
      </c>
      <c r="I24">
        <f t="shared" si="0"/>
        <v>21</v>
      </c>
    </row>
    <row r="25" spans="1:9" x14ac:dyDescent="0.2">
      <c r="A25" s="14">
        <v>2011</v>
      </c>
      <c r="B25" s="14">
        <v>1.97</v>
      </c>
      <c r="C25" s="14"/>
      <c r="D25" s="14">
        <v>-2.11</v>
      </c>
      <c r="E25" s="15">
        <v>-2.8</v>
      </c>
      <c r="F25" s="14"/>
      <c r="G25" s="14">
        <v>-14.56</v>
      </c>
      <c r="H25" s="14">
        <v>7.56</v>
      </c>
      <c r="I25">
        <f t="shared" si="0"/>
        <v>22</v>
      </c>
    </row>
    <row r="26" spans="1:9" x14ac:dyDescent="0.2">
      <c r="A26" s="14">
        <v>2012</v>
      </c>
      <c r="B26" s="15">
        <v>15.82</v>
      </c>
      <c r="C26" s="15"/>
      <c r="D26" s="15">
        <v>15.8</v>
      </c>
      <c r="E26" s="15">
        <v>18.04</v>
      </c>
      <c r="F26" s="15"/>
      <c r="G26" s="15">
        <v>18.14</v>
      </c>
      <c r="H26" s="15">
        <v>4.05</v>
      </c>
      <c r="I26">
        <f t="shared" si="0"/>
        <v>23</v>
      </c>
    </row>
    <row r="27" spans="1:9" x14ac:dyDescent="0.2">
      <c r="A27" s="14">
        <v>2013</v>
      </c>
      <c r="B27" s="15">
        <v>32.18</v>
      </c>
      <c r="C27" s="15"/>
      <c r="D27" s="15">
        <v>35</v>
      </c>
      <c r="E27" s="15">
        <v>37.619999999999997</v>
      </c>
      <c r="F27" s="15"/>
      <c r="G27" s="15">
        <v>15.04</v>
      </c>
      <c r="H27" s="15">
        <v>-2.2599999999999998</v>
      </c>
      <c r="I27">
        <f t="shared" si="0"/>
        <v>24</v>
      </c>
    </row>
    <row r="28" spans="1:9" x14ac:dyDescent="0.2">
      <c r="A28" s="14">
        <v>2014</v>
      </c>
      <c r="B28" s="15">
        <v>13.51</v>
      </c>
      <c r="C28" s="15"/>
      <c r="D28" s="15">
        <v>13.6</v>
      </c>
      <c r="E28" s="15">
        <v>7.37</v>
      </c>
      <c r="F28" s="15"/>
      <c r="G28" s="15">
        <v>-4.24</v>
      </c>
      <c r="H28" s="15">
        <v>5.76</v>
      </c>
      <c r="I28">
        <f t="shared" si="0"/>
        <v>25</v>
      </c>
    </row>
    <row r="29" spans="1:9" x14ac:dyDescent="0.2">
      <c r="A29" s="14">
        <v>2015</v>
      </c>
      <c r="B29" s="15">
        <v>1.25</v>
      </c>
      <c r="C29" s="15"/>
      <c r="D29" s="15">
        <v>-1.46</v>
      </c>
      <c r="E29" s="15">
        <v>-3.78</v>
      </c>
      <c r="F29" s="15"/>
      <c r="G29" s="15">
        <v>-4.37</v>
      </c>
      <c r="H29" s="15">
        <v>0.3</v>
      </c>
    </row>
    <row r="30" spans="1:9" x14ac:dyDescent="0.2">
      <c r="A30" s="14">
        <v>2016</v>
      </c>
      <c r="B30" s="15">
        <v>11.82</v>
      </c>
      <c r="C30" s="15"/>
      <c r="D30" s="15">
        <v>11.07</v>
      </c>
      <c r="E30" s="15">
        <v>18.170000000000002</v>
      </c>
      <c r="F30" s="15"/>
      <c r="G30" s="15">
        <v>4.6500000000000004</v>
      </c>
      <c r="H30" s="15">
        <v>2.5</v>
      </c>
    </row>
    <row r="31" spans="1:9" x14ac:dyDescent="0.2">
      <c r="A31" s="14">
        <v>2017</v>
      </c>
      <c r="B31" s="15">
        <v>21.67</v>
      </c>
      <c r="C31" s="15"/>
      <c r="D31" s="15">
        <v>19.600000000000001</v>
      </c>
      <c r="E31" s="15">
        <v>16.100000000000001</v>
      </c>
      <c r="F31" s="15"/>
      <c r="G31" s="15">
        <v>27.4</v>
      </c>
      <c r="H31" s="15">
        <v>3.46</v>
      </c>
    </row>
    <row r="32" spans="1:9" x14ac:dyDescent="0.2">
      <c r="A32" s="14">
        <v>2017</v>
      </c>
      <c r="B32" s="15">
        <v>21.67</v>
      </c>
      <c r="C32" s="15"/>
      <c r="D32" s="15">
        <v>19.600000000000001</v>
      </c>
      <c r="E32" s="15">
        <v>16.100000000000001</v>
      </c>
      <c r="F32" s="15"/>
      <c r="G32" s="15">
        <v>27.4</v>
      </c>
      <c r="H32" s="15">
        <v>3.46</v>
      </c>
    </row>
    <row r="33" spans="1:25" x14ac:dyDescent="0.2">
      <c r="A33" s="14">
        <v>2017</v>
      </c>
      <c r="B33" s="15">
        <v>21.67</v>
      </c>
      <c r="C33" s="15"/>
      <c r="D33" s="15">
        <v>19.600000000000001</v>
      </c>
      <c r="E33" s="15">
        <v>16.100000000000001</v>
      </c>
      <c r="F33" s="15"/>
      <c r="G33" s="15">
        <v>27.4</v>
      </c>
      <c r="H33" s="15">
        <v>3.46</v>
      </c>
    </row>
    <row r="36" spans="1:25" x14ac:dyDescent="0.2">
      <c r="A36" s="20" t="s">
        <v>123</v>
      </c>
      <c r="O36" s="20" t="s">
        <v>130</v>
      </c>
    </row>
    <row r="37" spans="1:25" x14ac:dyDescent="0.2">
      <c r="B37" s="4" t="str">
        <f t="shared" ref="B37:H38" si="1">B2</f>
        <v>LC Stocks</v>
      </c>
      <c r="C37" s="4" t="str">
        <f t="shared" si="1"/>
        <v>Ext Mkt</v>
      </c>
      <c r="D37" s="4" t="str">
        <f t="shared" si="1"/>
        <v>Mcap Stk</v>
      </c>
      <c r="E37" s="4" t="str">
        <f t="shared" si="1"/>
        <v>Small Cap</v>
      </c>
      <c r="F37" s="4" t="str">
        <f t="shared" si="1"/>
        <v>Intl Val</v>
      </c>
      <c r="G37" s="4" t="str">
        <f t="shared" si="1"/>
        <v>Tot Int Stk</v>
      </c>
      <c r="H37" s="4" t="str">
        <f t="shared" si="1"/>
        <v>Bonds</v>
      </c>
      <c r="I37" s="5"/>
      <c r="J37" s="5" t="s">
        <v>76</v>
      </c>
      <c r="K37" s="5" t="s">
        <v>73</v>
      </c>
      <c r="L37" s="5" t="s">
        <v>74</v>
      </c>
      <c r="P37" s="4" t="str">
        <f>B37</f>
        <v>LC Stocks</v>
      </c>
      <c r="Q37" s="4" t="str">
        <f t="shared" ref="Q37:V38" si="2">C37</f>
        <v>Ext Mkt</v>
      </c>
      <c r="R37" s="4" t="str">
        <f t="shared" si="2"/>
        <v>Mcap Stk</v>
      </c>
      <c r="S37" s="4" t="str">
        <f t="shared" si="2"/>
        <v>Small Cap</v>
      </c>
      <c r="T37" s="4" t="str">
        <f t="shared" si="2"/>
        <v>Intl Val</v>
      </c>
      <c r="U37" s="4" t="str">
        <f t="shared" si="2"/>
        <v>Tot Int Stk</v>
      </c>
      <c r="V37" s="4" t="str">
        <f t="shared" si="2"/>
        <v>Bonds</v>
      </c>
      <c r="W37" s="5"/>
      <c r="X37" s="5" t="s">
        <v>111</v>
      </c>
      <c r="Y37" s="3" t="s">
        <v>112</v>
      </c>
    </row>
    <row r="38" spans="1:25" x14ac:dyDescent="0.2">
      <c r="A38" t="s">
        <v>72</v>
      </c>
      <c r="B38" s="4" t="str">
        <f t="shared" si="1"/>
        <v>VFINX</v>
      </c>
      <c r="C38" s="4" t="str">
        <f t="shared" si="1"/>
        <v>VEXMX</v>
      </c>
      <c r="D38" s="4" t="str">
        <f t="shared" si="1"/>
        <v>VIMSX</v>
      </c>
      <c r="E38" s="4" t="str">
        <f t="shared" si="1"/>
        <v>NAESX</v>
      </c>
      <c r="F38" s="4" t="str">
        <f t="shared" si="1"/>
        <v>VTRIX</v>
      </c>
      <c r="G38" s="4" t="str">
        <f t="shared" si="1"/>
        <v>VGTSX</v>
      </c>
      <c r="H38" s="4" t="str">
        <f t="shared" si="1"/>
        <v>VBMFX</v>
      </c>
      <c r="I38" s="5" t="s">
        <v>70</v>
      </c>
      <c r="J38" s="5" t="s">
        <v>77</v>
      </c>
      <c r="K38" s="5" t="s">
        <v>75</v>
      </c>
      <c r="L38" s="5" t="s">
        <v>75</v>
      </c>
      <c r="O38" t="s">
        <v>72</v>
      </c>
      <c r="P38" s="4" t="str">
        <f>B38</f>
        <v>VFINX</v>
      </c>
      <c r="Q38" s="4" t="str">
        <f t="shared" si="2"/>
        <v>VEXMX</v>
      </c>
      <c r="R38" s="4" t="str">
        <f t="shared" si="2"/>
        <v>VIMSX</v>
      </c>
      <c r="S38" s="4" t="str">
        <f t="shared" si="2"/>
        <v>NAESX</v>
      </c>
      <c r="T38" s="4" t="str">
        <f t="shared" si="2"/>
        <v>VTRIX</v>
      </c>
      <c r="U38" s="4" t="str">
        <f t="shared" si="2"/>
        <v>VGTSX</v>
      </c>
      <c r="V38" s="4" t="str">
        <f t="shared" si="2"/>
        <v>VBMFX</v>
      </c>
      <c r="W38" s="5" t="s">
        <v>70</v>
      </c>
      <c r="X38" s="5" t="s">
        <v>112</v>
      </c>
      <c r="Y38" s="3" t="s">
        <v>87</v>
      </c>
    </row>
    <row r="39" spans="1:25" x14ac:dyDescent="0.2">
      <c r="A39" t="s">
        <v>71</v>
      </c>
      <c r="B39" s="31">
        <v>20000</v>
      </c>
      <c r="C39" s="31">
        <v>30000</v>
      </c>
      <c r="F39" s="31">
        <v>20000</v>
      </c>
      <c r="H39" s="31">
        <v>30000</v>
      </c>
      <c r="I39" s="2">
        <f>SUM(B39:H39)</f>
        <v>100000</v>
      </c>
      <c r="O39" s="21" t="s">
        <v>86</v>
      </c>
      <c r="P39" s="22">
        <f>B39/$I39</f>
        <v>0.2</v>
      </c>
      <c r="Q39" s="22">
        <f>C39/$I39</f>
        <v>0.3</v>
      </c>
      <c r="R39" s="23">
        <v>0.2</v>
      </c>
      <c r="S39" s="23">
        <v>0.1</v>
      </c>
      <c r="T39" s="22">
        <f>F39/$I39</f>
        <v>0.2</v>
      </c>
      <c r="U39" s="23">
        <v>0.2</v>
      </c>
      <c r="V39" s="22">
        <f>H39/$I39</f>
        <v>0.3</v>
      </c>
      <c r="W39" s="6">
        <f>I39/$I39</f>
        <v>1</v>
      </c>
      <c r="X39" s="24"/>
    </row>
    <row r="40" spans="1:25" x14ac:dyDescent="0.2">
      <c r="A40">
        <f t="shared" ref="A40:A64" si="3">A4</f>
        <v>1990</v>
      </c>
      <c r="B40" s="2">
        <f t="shared" ref="B40:B50" si="4">B39*(1+(B4/100))</f>
        <v>19336</v>
      </c>
      <c r="C40" s="2">
        <f t="shared" ref="C40:E51" si="5">C39*(1+(C4/100))</f>
        <v>25786.5</v>
      </c>
      <c r="D40" s="2"/>
      <c r="E40" s="2"/>
      <c r="F40" s="2">
        <f t="shared" ref="F40:F46" si="6">F39*(1+(F4/100))</f>
        <v>17548</v>
      </c>
      <c r="G40" s="2"/>
      <c r="H40" s="2">
        <f t="shared" ref="H40:H64" si="7">H39*(1+(H4/100))</f>
        <v>32595</v>
      </c>
      <c r="I40" s="2">
        <f>SUM(B40:H40)</f>
        <v>95265.5</v>
      </c>
      <c r="J40" s="2">
        <f>I40-I39</f>
        <v>-4734.5</v>
      </c>
      <c r="K40" s="6">
        <f>(J40/I39)</f>
        <v>-4.7344999999999998E-2</v>
      </c>
      <c r="L40" s="7">
        <f>K40+1</f>
        <v>0.95265500000000003</v>
      </c>
      <c r="O40">
        <f>A40</f>
        <v>1990</v>
      </c>
      <c r="P40" s="6">
        <f t="shared" ref="P40:U64" si="8">B40/$I40</f>
        <v>0.20296959549889521</v>
      </c>
      <c r="Q40" s="6">
        <f t="shared" si="8"/>
        <v>0.27068036172591337</v>
      </c>
      <c r="R40" s="7"/>
      <c r="S40" s="7"/>
      <c r="T40" s="6">
        <f t="shared" ref="T40:T46" si="9">F40/$I40</f>
        <v>0.184200996163354</v>
      </c>
      <c r="U40" s="7"/>
      <c r="V40" s="6">
        <f t="shared" ref="V40:V64" si="10">H40/$I40</f>
        <v>0.34214904661183743</v>
      </c>
      <c r="W40" s="6">
        <f>SUM(P40:V40)</f>
        <v>1</v>
      </c>
      <c r="X40" s="7">
        <f>SUM(P40:U40)</f>
        <v>0.65785095338816257</v>
      </c>
      <c r="Y40" s="7">
        <f>W40-(X40+V40)</f>
        <v>0</v>
      </c>
    </row>
    <row r="41" spans="1:25" x14ac:dyDescent="0.2">
      <c r="A41">
        <f t="shared" si="3"/>
        <v>1991</v>
      </c>
      <c r="B41" s="2">
        <f t="shared" si="4"/>
        <v>25179.339200000002</v>
      </c>
      <c r="C41" s="2">
        <f t="shared" si="5"/>
        <v>36578.150250000006</v>
      </c>
      <c r="D41" s="2"/>
      <c r="E41" s="2"/>
      <c r="F41" s="2">
        <f t="shared" si="6"/>
        <v>19295.078880000001</v>
      </c>
      <c r="G41" s="2"/>
      <c r="H41" s="2">
        <f t="shared" si="7"/>
        <v>37565.737500000003</v>
      </c>
      <c r="I41" s="2">
        <f t="shared" ref="I41:I48" si="11">SUM(B41:H41)</f>
        <v>118618.30583000001</v>
      </c>
      <c r="J41" s="2">
        <f t="shared" ref="J41:J64" si="12">I41-I40</f>
        <v>23352.805830000012</v>
      </c>
      <c r="K41" s="6">
        <f t="shared" ref="K41:K48" si="13">(J41/I40)</f>
        <v>0.24513392392838973</v>
      </c>
      <c r="L41" s="7">
        <f t="shared" ref="L41:L64" si="14">K41+1</f>
        <v>1.2451339239283898</v>
      </c>
      <c r="O41">
        <f t="shared" ref="O41:O64" si="15">A41</f>
        <v>1991</v>
      </c>
      <c r="P41" s="6">
        <f t="shared" si="8"/>
        <v>0.2122719509759837</v>
      </c>
      <c r="Q41" s="6">
        <f t="shared" si="8"/>
        <v>0.30836851018950356</v>
      </c>
      <c r="R41" s="7"/>
      <c r="S41" s="7"/>
      <c r="T41" s="6">
        <f t="shared" si="9"/>
        <v>0.16266527113996296</v>
      </c>
      <c r="U41" s="7"/>
      <c r="V41" s="6">
        <f t="shared" si="10"/>
        <v>0.31669426769454984</v>
      </c>
      <c r="W41" s="6">
        <f t="shared" ref="W41:W64" si="16">SUM(P41:V41)</f>
        <v>1</v>
      </c>
      <c r="X41" s="7">
        <f t="shared" ref="X41:X64" si="17">SUM(P41:U41)</f>
        <v>0.68330573230545022</v>
      </c>
      <c r="Y41" s="7">
        <f t="shared" ref="Y41:Y64" si="18">W41-(X41+V41)</f>
        <v>0</v>
      </c>
    </row>
    <row r="42" spans="1:25" x14ac:dyDescent="0.2">
      <c r="A42">
        <f t="shared" si="3"/>
        <v>1992</v>
      </c>
      <c r="B42" s="2">
        <f t="shared" si="4"/>
        <v>27047.646168640003</v>
      </c>
      <c r="C42" s="2">
        <f t="shared" si="5"/>
        <v>41137.982460165003</v>
      </c>
      <c r="D42" s="2"/>
      <c r="E42" s="2"/>
      <c r="F42" s="2">
        <f t="shared" si="6"/>
        <v>17612.355050875201</v>
      </c>
      <c r="G42" s="2"/>
      <c r="H42" s="2">
        <f t="shared" si="7"/>
        <v>40247.931157500003</v>
      </c>
      <c r="I42" s="2">
        <f t="shared" si="11"/>
        <v>126045.91483718021</v>
      </c>
      <c r="J42" s="2">
        <f t="shared" si="12"/>
        <v>7427.6090071802028</v>
      </c>
      <c r="K42" s="6">
        <f t="shared" si="13"/>
        <v>6.2617729659916202E-2</v>
      </c>
      <c r="L42" s="7">
        <f t="shared" si="14"/>
        <v>1.0626177296599162</v>
      </c>
      <c r="O42">
        <f t="shared" si="15"/>
        <v>1992</v>
      </c>
      <c r="P42" s="6">
        <f t="shared" si="8"/>
        <v>0.21458566272122975</v>
      </c>
      <c r="Q42" s="6">
        <f t="shared" si="8"/>
        <v>0.32637299283602317</v>
      </c>
      <c r="R42" s="7"/>
      <c r="S42" s="7"/>
      <c r="T42" s="6">
        <f t="shared" si="9"/>
        <v>0.1397296776625086</v>
      </c>
      <c r="U42" s="7"/>
      <c r="V42" s="6">
        <f t="shared" si="10"/>
        <v>0.31931166678023848</v>
      </c>
      <c r="W42" s="6">
        <f t="shared" si="16"/>
        <v>1</v>
      </c>
      <c r="X42" s="7">
        <f t="shared" si="17"/>
        <v>0.68068833321976152</v>
      </c>
      <c r="Y42" s="7">
        <f t="shared" si="18"/>
        <v>0</v>
      </c>
    </row>
    <row r="43" spans="1:25" x14ac:dyDescent="0.2">
      <c r="A43">
        <f t="shared" si="3"/>
        <v>1993</v>
      </c>
      <c r="B43" s="2">
        <f t="shared" si="4"/>
        <v>29722.6583747185</v>
      </c>
      <c r="C43" s="2">
        <f t="shared" si="5"/>
        <v>47098.876118642911</v>
      </c>
      <c r="D43" s="2"/>
      <c r="E43" s="2"/>
      <c r="F43" s="2">
        <f t="shared" si="6"/>
        <v>22983.066600089085</v>
      </c>
      <c r="G43" s="2"/>
      <c r="H43" s="2">
        <f t="shared" si="7"/>
        <v>44143.930893545999</v>
      </c>
      <c r="I43" s="2">
        <f t="shared" si="11"/>
        <v>143948.5319869965</v>
      </c>
      <c r="J43" s="2">
        <f t="shared" si="12"/>
        <v>17902.617149816288</v>
      </c>
      <c r="K43" s="6">
        <f t="shared" si="13"/>
        <v>0.14203250595580183</v>
      </c>
      <c r="L43" s="7">
        <f t="shared" si="14"/>
        <v>1.1420325059558019</v>
      </c>
      <c r="O43">
        <f t="shared" si="15"/>
        <v>1993</v>
      </c>
      <c r="P43" s="6">
        <f t="shared" si="8"/>
        <v>0.20648114964731615</v>
      </c>
      <c r="Q43" s="6">
        <f t="shared" si="8"/>
        <v>0.32719247267417467</v>
      </c>
      <c r="R43" s="7"/>
      <c r="S43" s="7"/>
      <c r="T43" s="6">
        <f t="shared" si="9"/>
        <v>0.15966169493250021</v>
      </c>
      <c r="U43" s="7"/>
      <c r="V43" s="6">
        <f t="shared" si="10"/>
        <v>0.30666468274600894</v>
      </c>
      <c r="W43" s="6">
        <f t="shared" si="16"/>
        <v>1</v>
      </c>
      <c r="X43" s="7">
        <f t="shared" si="17"/>
        <v>0.69333531725399111</v>
      </c>
      <c r="Y43" s="7">
        <f t="shared" si="18"/>
        <v>0</v>
      </c>
    </row>
    <row r="44" spans="1:25" x14ac:dyDescent="0.2">
      <c r="A44">
        <f t="shared" si="3"/>
        <v>1994</v>
      </c>
      <c r="B44" s="2">
        <f t="shared" si="4"/>
        <v>30073.385743540181</v>
      </c>
      <c r="C44" s="2">
        <f t="shared" si="5"/>
        <v>46268.051943910054</v>
      </c>
      <c r="D44" s="2"/>
      <c r="E44" s="2"/>
      <c r="F44" s="2">
        <f t="shared" si="6"/>
        <v>24190.82674992377</v>
      </c>
      <c r="G44" s="2"/>
      <c r="H44" s="2">
        <f t="shared" si="7"/>
        <v>42969.702331777677</v>
      </c>
      <c r="I44" s="2">
        <f t="shared" si="11"/>
        <v>143501.96676915168</v>
      </c>
      <c r="J44" s="2">
        <f t="shared" si="12"/>
        <v>-446.56521784482175</v>
      </c>
      <c r="K44" s="6">
        <f t="shared" si="13"/>
        <v>-3.1022561444750399E-3</v>
      </c>
      <c r="L44" s="7">
        <f t="shared" si="14"/>
        <v>0.99689774385552499</v>
      </c>
      <c r="O44">
        <f t="shared" si="15"/>
        <v>1994</v>
      </c>
      <c r="P44" s="6">
        <f t="shared" si="8"/>
        <v>0.20956776008456068</v>
      </c>
      <c r="Q44" s="6">
        <f t="shared" si="8"/>
        <v>0.32242103007786926</v>
      </c>
      <c r="R44" s="7"/>
      <c r="S44" s="7"/>
      <c r="T44" s="6">
        <f t="shared" si="9"/>
        <v>0.16857487945680213</v>
      </c>
      <c r="U44" s="7"/>
      <c r="V44" s="6">
        <f t="shared" si="10"/>
        <v>0.29943633038076789</v>
      </c>
      <c r="W44" s="6">
        <f t="shared" si="16"/>
        <v>1</v>
      </c>
      <c r="X44" s="7">
        <f t="shared" si="17"/>
        <v>0.70056366961923211</v>
      </c>
      <c r="Y44" s="7">
        <f t="shared" si="18"/>
        <v>0</v>
      </c>
    </row>
    <row r="45" spans="1:25" x14ac:dyDescent="0.2">
      <c r="A45">
        <f t="shared" si="3"/>
        <v>1995</v>
      </c>
      <c r="B45" s="2">
        <f t="shared" si="4"/>
        <v>41335.868704495981</v>
      </c>
      <c r="C45" s="2">
        <f t="shared" si="5"/>
        <v>61905.265459393326</v>
      </c>
      <c r="D45" s="2"/>
      <c r="E45" s="2"/>
      <c r="F45" s="2">
        <f t="shared" si="6"/>
        <v>26524.273898221418</v>
      </c>
      <c r="G45" s="2"/>
      <c r="H45" s="2">
        <f t="shared" si="7"/>
        <v>50781.594215694859</v>
      </c>
      <c r="I45" s="2">
        <f t="shared" si="11"/>
        <v>180547.00227780559</v>
      </c>
      <c r="J45" s="2">
        <f t="shared" si="12"/>
        <v>37045.035508653906</v>
      </c>
      <c r="K45" s="6">
        <f t="shared" si="13"/>
        <v>0.25815001942271221</v>
      </c>
      <c r="L45" s="7">
        <f t="shared" si="14"/>
        <v>1.2581500194227122</v>
      </c>
      <c r="O45">
        <f t="shared" si="15"/>
        <v>1995</v>
      </c>
      <c r="P45" s="6">
        <f t="shared" si="8"/>
        <v>0.22894796470169557</v>
      </c>
      <c r="Q45" s="6">
        <f t="shared" si="8"/>
        <v>0.34287617450518737</v>
      </c>
      <c r="R45" s="7"/>
      <c r="S45" s="7"/>
      <c r="T45" s="6">
        <f t="shared" si="9"/>
        <v>0.14691063027127321</v>
      </c>
      <c r="U45" s="7"/>
      <c r="V45" s="6">
        <f t="shared" si="10"/>
        <v>0.28126523052184388</v>
      </c>
      <c r="W45" s="6">
        <f t="shared" si="16"/>
        <v>1</v>
      </c>
      <c r="X45" s="7">
        <f t="shared" si="17"/>
        <v>0.71873476947815607</v>
      </c>
      <c r="Y45" s="7">
        <f t="shared" si="18"/>
        <v>0</v>
      </c>
    </row>
    <row r="46" spans="1:25" x14ac:dyDescent="0.2">
      <c r="A46">
        <f t="shared" si="3"/>
        <v>1996</v>
      </c>
      <c r="B46" s="2">
        <f t="shared" si="4"/>
        <v>50793.515464084667</v>
      </c>
      <c r="C46" s="2">
        <f t="shared" si="5"/>
        <v>72829.687655012458</v>
      </c>
      <c r="D46" s="2"/>
      <c r="E46" s="2"/>
      <c r="F46" s="2">
        <f t="shared" si="6"/>
        <v>29234.789447880663</v>
      </c>
      <c r="G46" s="2"/>
      <c r="H46" s="2">
        <f t="shared" si="7"/>
        <v>52599.575288616739</v>
      </c>
      <c r="I46" s="2">
        <f t="shared" si="11"/>
        <v>205457.56785559453</v>
      </c>
      <c r="J46" s="2">
        <f t="shared" si="12"/>
        <v>24910.565577788948</v>
      </c>
      <c r="K46" s="6">
        <f t="shared" si="13"/>
        <v>0.13797274539878179</v>
      </c>
      <c r="L46" s="7">
        <f t="shared" si="14"/>
        <v>1.1379727453987818</v>
      </c>
      <c r="O46">
        <f t="shared" si="15"/>
        <v>1996</v>
      </c>
      <c r="P46" s="6">
        <f t="shared" si="8"/>
        <v>0.24722143844214486</v>
      </c>
      <c r="Q46" s="6">
        <f t="shared" si="8"/>
        <v>0.35447556600203051</v>
      </c>
      <c r="R46" s="7"/>
      <c r="S46" s="7"/>
      <c r="T46" s="6">
        <f t="shared" si="9"/>
        <v>0.14229112975983577</v>
      </c>
      <c r="U46" s="7"/>
      <c r="V46" s="6">
        <f t="shared" si="10"/>
        <v>0.25601186579598884</v>
      </c>
      <c r="W46" s="6">
        <f t="shared" si="16"/>
        <v>1</v>
      </c>
      <c r="X46" s="7">
        <f t="shared" si="17"/>
        <v>0.74398813420401111</v>
      </c>
      <c r="Y46" s="7">
        <f t="shared" si="18"/>
        <v>0</v>
      </c>
    </row>
    <row r="47" spans="1:25" x14ac:dyDescent="0.2">
      <c r="A47">
        <f t="shared" si="3"/>
        <v>1997</v>
      </c>
      <c r="B47" s="2">
        <f t="shared" si="4"/>
        <v>67651.883246614365</v>
      </c>
      <c r="C47" s="2">
        <f t="shared" si="5"/>
        <v>92265.746399505631</v>
      </c>
      <c r="D47" s="2"/>
      <c r="E47" s="2"/>
      <c r="F47" s="2"/>
      <c r="G47" s="2">
        <f>F46*(1+(G11/100))</f>
        <v>29008.219829659585</v>
      </c>
      <c r="H47" s="2">
        <f t="shared" si="7"/>
        <v>57564.975195862164</v>
      </c>
      <c r="I47" s="2">
        <f t="shared" si="11"/>
        <v>246490.82467164175</v>
      </c>
      <c r="J47" s="2">
        <f t="shared" si="12"/>
        <v>41033.256816047215</v>
      </c>
      <c r="K47" s="6">
        <f t="shared" si="13"/>
        <v>0.19971645359341236</v>
      </c>
      <c r="L47" s="7">
        <f t="shared" si="14"/>
        <v>1.1997164535934124</v>
      </c>
      <c r="O47">
        <f t="shared" si="15"/>
        <v>1997</v>
      </c>
      <c r="P47" s="6">
        <f t="shared" si="8"/>
        <v>0.27446004668423496</v>
      </c>
      <c r="Q47" s="6">
        <f t="shared" si="8"/>
        <v>0.37431716382309871</v>
      </c>
      <c r="R47" s="7"/>
      <c r="S47" s="7"/>
      <c r="T47" s="6"/>
      <c r="U47" s="6">
        <f t="shared" si="8"/>
        <v>0.11768478550186343</v>
      </c>
      <c r="V47" s="6">
        <f t="shared" si="10"/>
        <v>0.23353800399080288</v>
      </c>
      <c r="W47" s="6">
        <f t="shared" si="16"/>
        <v>1</v>
      </c>
      <c r="X47" s="7">
        <f t="shared" si="17"/>
        <v>0.76646199600919718</v>
      </c>
      <c r="Y47" s="7">
        <f t="shared" si="18"/>
        <v>0</v>
      </c>
    </row>
    <row r="48" spans="1:25" x14ac:dyDescent="0.2">
      <c r="A48">
        <f t="shared" si="3"/>
        <v>1998</v>
      </c>
      <c r="B48" s="2">
        <f t="shared" si="4"/>
        <v>87040.912985094037</v>
      </c>
      <c r="C48" s="2">
        <f t="shared" si="5"/>
        <v>99972.704196256353</v>
      </c>
      <c r="D48" s="2"/>
      <c r="E48" s="2"/>
      <c r="F48" s="2"/>
      <c r="G48" s="2">
        <f t="shared" ref="G48:G64" si="19">G47*(1+(G12/100))</f>
        <v>33534.372369681369</v>
      </c>
      <c r="H48" s="2">
        <f t="shared" si="7"/>
        <v>62504.050067667144</v>
      </c>
      <c r="I48" s="2">
        <f t="shared" si="11"/>
        <v>283052.03961869888</v>
      </c>
      <c r="J48" s="2">
        <f t="shared" si="12"/>
        <v>36561.214947057131</v>
      </c>
      <c r="K48" s="6">
        <f t="shared" si="13"/>
        <v>0.14832687989811177</v>
      </c>
      <c r="L48" s="7">
        <f t="shared" si="14"/>
        <v>1.1483268798981117</v>
      </c>
      <c r="O48">
        <f t="shared" si="15"/>
        <v>1998</v>
      </c>
      <c r="P48" s="6">
        <f t="shared" si="8"/>
        <v>0.3075085171700136</v>
      </c>
      <c r="Q48" s="6">
        <f t="shared" si="8"/>
        <v>0.35319549129880917</v>
      </c>
      <c r="R48" s="7"/>
      <c r="S48" s="7"/>
      <c r="T48" s="6"/>
      <c r="U48" s="6">
        <f t="shared" si="8"/>
        <v>0.11847422973830439</v>
      </c>
      <c r="V48" s="6">
        <f t="shared" si="10"/>
        <v>0.22082176179287288</v>
      </c>
      <c r="W48" s="6">
        <f t="shared" si="16"/>
        <v>1</v>
      </c>
      <c r="X48" s="7">
        <f t="shared" si="17"/>
        <v>0.77917823820712706</v>
      </c>
      <c r="Y48" s="7">
        <f t="shared" si="18"/>
        <v>0</v>
      </c>
    </row>
    <row r="49" spans="1:25" x14ac:dyDescent="0.2">
      <c r="A49">
        <f t="shared" si="3"/>
        <v>1999</v>
      </c>
      <c r="B49" s="2">
        <f t="shared" si="4"/>
        <v>105380.43335105336</v>
      </c>
      <c r="C49" s="2"/>
      <c r="D49" s="2">
        <f>($C48*0.67)*(1+(D13/100))</f>
        <v>77242.640243894173</v>
      </c>
      <c r="E49" s="2">
        <f>($C48*0.33)*(1+(E13/100))</f>
        <v>40622.798653132195</v>
      </c>
      <c r="F49" s="2"/>
      <c r="G49" s="2">
        <f t="shared" si="19"/>
        <v>43567.521238966343</v>
      </c>
      <c r="H49" s="2">
        <f t="shared" si="7"/>
        <v>62029.019287152871</v>
      </c>
      <c r="I49" s="2">
        <f t="shared" ref="I49:I64" si="20">SUM(B49:H49)</f>
        <v>328842.41277419892</v>
      </c>
      <c r="J49" s="2">
        <f t="shared" si="12"/>
        <v>45790.373155500041</v>
      </c>
      <c r="K49" s="6">
        <f t="shared" ref="K49:K64" si="21">(J49/I48)</f>
        <v>0.1617736908632933</v>
      </c>
      <c r="L49" s="7">
        <f t="shared" si="14"/>
        <v>1.1617736908632934</v>
      </c>
      <c r="O49">
        <f t="shared" si="15"/>
        <v>1999</v>
      </c>
      <c r="P49" s="6">
        <f t="shared" si="8"/>
        <v>0.32045876461627015</v>
      </c>
      <c r="Q49" s="6"/>
      <c r="R49" s="6">
        <f t="shared" ref="R49:R50" si="22">D49/$I49</f>
        <v>0.23489257237913885</v>
      </c>
      <c r="S49" s="6">
        <f t="shared" ref="S49:S50" si="23">E49/$I49</f>
        <v>0.12353272289431234</v>
      </c>
      <c r="T49" s="6"/>
      <c r="U49" s="6">
        <f t="shared" si="8"/>
        <v>0.13248753672441327</v>
      </c>
      <c r="V49" s="6">
        <f t="shared" si="10"/>
        <v>0.18862840338586545</v>
      </c>
      <c r="W49" s="6">
        <f t="shared" si="16"/>
        <v>1.0000000000000002</v>
      </c>
      <c r="X49" s="7">
        <f t="shared" si="17"/>
        <v>0.81137159661413472</v>
      </c>
      <c r="Y49" s="7">
        <f t="shared" si="18"/>
        <v>0</v>
      </c>
    </row>
    <row r="50" spans="1:25" x14ac:dyDescent="0.2">
      <c r="A50">
        <f t="shared" si="3"/>
        <v>2000</v>
      </c>
      <c r="B50" s="2">
        <f t="shared" si="4"/>
        <v>95832.966089447931</v>
      </c>
      <c r="C50" s="2"/>
      <c r="D50" s="2">
        <f t="shared" si="5"/>
        <v>91222.013275234131</v>
      </c>
      <c r="E50" s="2">
        <f t="shared" si="5"/>
        <v>39540.201069026225</v>
      </c>
      <c r="F50" s="2"/>
      <c r="G50" s="2">
        <f t="shared" si="19"/>
        <v>36764.888472714141</v>
      </c>
      <c r="H50" s="2">
        <f t="shared" si="7"/>
        <v>69094.124583959594</v>
      </c>
      <c r="I50" s="2">
        <f t="shared" si="20"/>
        <v>332454.19349038199</v>
      </c>
      <c r="J50" s="2">
        <f t="shared" si="12"/>
        <v>3611.7807161830715</v>
      </c>
      <c r="K50" s="6">
        <f t="shared" si="21"/>
        <v>1.0983317771309252E-2</v>
      </c>
      <c r="L50" s="7">
        <f t="shared" si="14"/>
        <v>1.0109833177713092</v>
      </c>
      <c r="O50">
        <f t="shared" si="15"/>
        <v>2000</v>
      </c>
      <c r="P50" s="6">
        <f t="shared" si="8"/>
        <v>0.28825915860261336</v>
      </c>
      <c r="Q50" s="6"/>
      <c r="R50" s="6">
        <f t="shared" si="22"/>
        <v>0.27438972063341777</v>
      </c>
      <c r="S50" s="6">
        <f t="shared" si="23"/>
        <v>0.11893428280720464</v>
      </c>
      <c r="T50" s="7"/>
      <c r="U50" s="6">
        <f t="shared" si="8"/>
        <v>0.11058632795912608</v>
      </c>
      <c r="V50" s="6">
        <f t="shared" si="10"/>
        <v>0.20783050999763825</v>
      </c>
      <c r="W50" s="6">
        <f t="shared" si="16"/>
        <v>1</v>
      </c>
      <c r="X50" s="7">
        <f t="shared" si="17"/>
        <v>0.79216949000236181</v>
      </c>
      <c r="Y50" s="7">
        <f t="shared" si="18"/>
        <v>0</v>
      </c>
    </row>
    <row r="51" spans="1:25" x14ac:dyDescent="0.2">
      <c r="A51">
        <f t="shared" si="3"/>
        <v>2001</v>
      </c>
      <c r="B51" s="2">
        <f t="shared" ref="B51:B64" si="24">B50*(1+(B15/100))</f>
        <v>84313.843565496296</v>
      </c>
      <c r="C51" s="2"/>
      <c r="D51" s="2">
        <f t="shared" si="5"/>
        <v>90766.815428990711</v>
      </c>
      <c r="E51" s="2">
        <f t="shared" si="5"/>
        <v>40765.947302166038</v>
      </c>
      <c r="F51" s="2"/>
      <c r="G51" s="2">
        <f t="shared" si="19"/>
        <v>29355.660498808062</v>
      </c>
      <c r="H51" s="2">
        <f t="shared" si="7"/>
        <v>74918.759286387387</v>
      </c>
      <c r="I51" s="2">
        <f t="shared" si="20"/>
        <v>320121.02608184848</v>
      </c>
      <c r="J51" s="2">
        <f t="shared" si="12"/>
        <v>-12333.167408533511</v>
      </c>
      <c r="K51" s="6">
        <f t="shared" si="21"/>
        <v>-3.7097343483773242E-2</v>
      </c>
      <c r="L51" s="7">
        <f t="shared" si="14"/>
        <v>0.96290265651622675</v>
      </c>
      <c r="O51">
        <f t="shared" si="15"/>
        <v>2001</v>
      </c>
      <c r="P51" s="6">
        <f t="shared" si="8"/>
        <v>0.26338114867824691</v>
      </c>
      <c r="Q51" s="7"/>
      <c r="R51" s="6">
        <f t="shared" si="8"/>
        <v>0.28353906189774447</v>
      </c>
      <c r="S51" s="6">
        <f t="shared" si="8"/>
        <v>0.12734542245201666</v>
      </c>
      <c r="T51" s="7"/>
      <c r="U51" s="6">
        <f t="shared" si="8"/>
        <v>9.1701756857740457E-2</v>
      </c>
      <c r="V51" s="6">
        <f t="shared" si="10"/>
        <v>0.23403261011425153</v>
      </c>
      <c r="W51" s="6">
        <f t="shared" si="16"/>
        <v>1</v>
      </c>
      <c r="X51" s="7">
        <f t="shared" si="17"/>
        <v>0.76596738988574842</v>
      </c>
      <c r="Y51" s="7">
        <f t="shared" si="18"/>
        <v>0</v>
      </c>
    </row>
    <row r="52" spans="1:25" x14ac:dyDescent="0.2">
      <c r="A52">
        <f t="shared" si="3"/>
        <v>2002</v>
      </c>
      <c r="B52" s="2">
        <f t="shared" si="24"/>
        <v>65638.327215738871</v>
      </c>
      <c r="C52" s="2"/>
      <c r="D52" s="2">
        <f t="shared" ref="D52:D64" si="25">D51*(1+(D16/100))</f>
        <v>77507.599031123755</v>
      </c>
      <c r="E52" s="2">
        <f t="shared" ref="E52:E64" si="26">E51*(1+(E16/100))</f>
        <v>32603.789333326356</v>
      </c>
      <c r="F52" s="2"/>
      <c r="G52" s="2">
        <f t="shared" si="19"/>
        <v>24927.946225772841</v>
      </c>
      <c r="H52" s="2">
        <f t="shared" si="7"/>
        <v>81107.048803442987</v>
      </c>
      <c r="I52" s="2">
        <f t="shared" si="20"/>
        <v>281784.71060940484</v>
      </c>
      <c r="J52" s="2">
        <f t="shared" si="12"/>
        <v>-38336.315472443646</v>
      </c>
      <c r="K52" s="6">
        <f t="shared" si="21"/>
        <v>-0.11975569346901263</v>
      </c>
      <c r="L52" s="7">
        <f t="shared" si="14"/>
        <v>0.8802443065309874</v>
      </c>
      <c r="O52">
        <f t="shared" si="15"/>
        <v>2002</v>
      </c>
      <c r="P52" s="6">
        <f t="shared" si="8"/>
        <v>0.2329378590974131</v>
      </c>
      <c r="Q52" s="7"/>
      <c r="R52" s="6">
        <f t="shared" si="8"/>
        <v>0.27505963280797274</v>
      </c>
      <c r="S52" s="6">
        <f t="shared" si="8"/>
        <v>0.11570460747432113</v>
      </c>
      <c r="T52" s="7"/>
      <c r="U52" s="6">
        <f t="shared" si="8"/>
        <v>8.8464509560728613E-2</v>
      </c>
      <c r="V52" s="6">
        <f t="shared" si="10"/>
        <v>0.28783339105956435</v>
      </c>
      <c r="W52" s="6">
        <f t="shared" si="16"/>
        <v>0.99999999999999978</v>
      </c>
      <c r="X52" s="7">
        <f t="shared" si="17"/>
        <v>0.71216660894043549</v>
      </c>
      <c r="Y52" s="7">
        <f t="shared" si="18"/>
        <v>0</v>
      </c>
    </row>
    <row r="53" spans="1:25" x14ac:dyDescent="0.2">
      <c r="A53">
        <f t="shared" si="3"/>
        <v>2003</v>
      </c>
      <c r="B53" s="2">
        <f t="shared" si="24"/>
        <v>84345.250472224448</v>
      </c>
      <c r="C53" s="2"/>
      <c r="D53" s="2">
        <f t="shared" si="25"/>
        <v>103970.24349233003</v>
      </c>
      <c r="E53" s="2">
        <f t="shared" si="26"/>
        <v>47480.246330336508</v>
      </c>
      <c r="F53" s="2"/>
      <c r="G53" s="2">
        <f t="shared" si="19"/>
        <v>34983.879733249603</v>
      </c>
      <c r="H53" s="2">
        <f t="shared" si="7"/>
        <v>84326.998640939681</v>
      </c>
      <c r="I53" s="2">
        <f t="shared" si="20"/>
        <v>355106.61866908032</v>
      </c>
      <c r="J53" s="2">
        <f t="shared" si="12"/>
        <v>73321.908059675479</v>
      </c>
      <c r="K53" s="6">
        <f t="shared" si="21"/>
        <v>0.26020541675630676</v>
      </c>
      <c r="L53" s="7">
        <f t="shared" si="14"/>
        <v>1.2602054167563068</v>
      </c>
      <c r="O53">
        <f t="shared" si="15"/>
        <v>2003</v>
      </c>
      <c r="P53" s="6">
        <f t="shared" si="8"/>
        <v>0.23752091917730431</v>
      </c>
      <c r="Q53" s="7"/>
      <c r="R53" s="6">
        <f t="shared" si="8"/>
        <v>0.29278599166077129</v>
      </c>
      <c r="S53" s="6">
        <f t="shared" si="8"/>
        <v>0.13370701596126203</v>
      </c>
      <c r="T53" s="7"/>
      <c r="U53" s="6">
        <f t="shared" si="8"/>
        <v>9.8516552195977714E-2</v>
      </c>
      <c r="V53" s="6">
        <f t="shared" si="10"/>
        <v>0.23746952100468458</v>
      </c>
      <c r="W53" s="6">
        <f t="shared" si="16"/>
        <v>0.99999999999999989</v>
      </c>
      <c r="X53" s="7">
        <f t="shared" si="17"/>
        <v>0.76253047899531534</v>
      </c>
      <c r="Y53" s="7">
        <f t="shared" si="18"/>
        <v>0</v>
      </c>
    </row>
    <row r="54" spans="1:25" x14ac:dyDescent="0.2">
      <c r="A54">
        <f t="shared" si="3"/>
        <v>2004</v>
      </c>
      <c r="B54" s="2">
        <f t="shared" si="24"/>
        <v>93403.930372941351</v>
      </c>
      <c r="C54" s="2"/>
      <c r="D54" s="2">
        <f t="shared" si="25"/>
        <v>125131.30715032396</v>
      </c>
      <c r="E54" s="2">
        <f t="shared" si="26"/>
        <v>56927.390942683567</v>
      </c>
      <c r="F54" s="2"/>
      <c r="G54" s="2">
        <f t="shared" si="19"/>
        <v>42273.470753266818</v>
      </c>
      <c r="H54" s="2">
        <f t="shared" si="7"/>
        <v>87902.463383315524</v>
      </c>
      <c r="I54" s="2">
        <f t="shared" si="20"/>
        <v>405638.56260253122</v>
      </c>
      <c r="J54" s="2">
        <f t="shared" si="12"/>
        <v>50531.943933450908</v>
      </c>
      <c r="K54" s="6">
        <f t="shared" si="21"/>
        <v>0.14230076623984594</v>
      </c>
      <c r="L54" s="7">
        <f t="shared" si="14"/>
        <v>1.1423007662398459</v>
      </c>
      <c r="O54">
        <f t="shared" si="15"/>
        <v>2004</v>
      </c>
      <c r="P54" s="6">
        <f t="shared" si="8"/>
        <v>0.23026393194392633</v>
      </c>
      <c r="Q54" s="7"/>
      <c r="R54" s="6">
        <f t="shared" si="8"/>
        <v>0.3084798110601113</v>
      </c>
      <c r="S54" s="6">
        <f t="shared" si="8"/>
        <v>0.14034018505894472</v>
      </c>
      <c r="T54" s="7"/>
      <c r="U54" s="6">
        <f t="shared" si="8"/>
        <v>0.10421462516296529</v>
      </c>
      <c r="V54" s="6">
        <f t="shared" si="10"/>
        <v>0.21670144677405234</v>
      </c>
      <c r="W54" s="6">
        <f t="shared" si="16"/>
        <v>1</v>
      </c>
      <c r="X54" s="7">
        <f t="shared" si="17"/>
        <v>0.78329855322594766</v>
      </c>
      <c r="Y54" s="7">
        <f t="shared" si="18"/>
        <v>0</v>
      </c>
    </row>
    <row r="55" spans="1:25" x14ac:dyDescent="0.2">
      <c r="A55">
        <f t="shared" si="3"/>
        <v>2005</v>
      </c>
      <c r="B55" s="2">
        <f t="shared" si="24"/>
        <v>97859.297851730662</v>
      </c>
      <c r="C55" s="2"/>
      <c r="D55" s="2">
        <f t="shared" si="25"/>
        <v>142563.3495494356</v>
      </c>
      <c r="E55" s="2">
        <f t="shared" si="26"/>
        <v>61118.954737793363</v>
      </c>
      <c r="F55" s="2"/>
      <c r="G55" s="2">
        <f t="shared" si="19"/>
        <v>48855.872884257995</v>
      </c>
      <c r="H55" s="2">
        <f t="shared" si="7"/>
        <v>90012.122504515093</v>
      </c>
      <c r="I55" s="2">
        <f t="shared" si="20"/>
        <v>440409.59752773272</v>
      </c>
      <c r="J55" s="2">
        <f t="shared" si="12"/>
        <v>34771.0349252015</v>
      </c>
      <c r="K55" s="6">
        <f t="shared" si="21"/>
        <v>8.5719253865102138E-2</v>
      </c>
      <c r="L55" s="7">
        <f t="shared" si="14"/>
        <v>1.0857192538651022</v>
      </c>
      <c r="O55">
        <f t="shared" si="15"/>
        <v>2005</v>
      </c>
      <c r="P55" s="6">
        <f t="shared" si="8"/>
        <v>0.22220064776305978</v>
      </c>
      <c r="Q55" s="7"/>
      <c r="R55" s="6">
        <f t="shared" si="8"/>
        <v>0.32370627331857443</v>
      </c>
      <c r="S55" s="6">
        <f t="shared" si="8"/>
        <v>0.13877752683158701</v>
      </c>
      <c r="T55" s="7"/>
      <c r="U55" s="6">
        <f t="shared" si="8"/>
        <v>0.11093280700174007</v>
      </c>
      <c r="V55" s="6">
        <f t="shared" si="10"/>
        <v>0.2043827450850387</v>
      </c>
      <c r="W55" s="6">
        <f t="shared" si="16"/>
        <v>1</v>
      </c>
      <c r="X55" s="7">
        <f t="shared" si="17"/>
        <v>0.79561725491496138</v>
      </c>
      <c r="Y55" s="7">
        <f t="shared" si="18"/>
        <v>0</v>
      </c>
    </row>
    <row r="56" spans="1:25" x14ac:dyDescent="0.2">
      <c r="A56">
        <f t="shared" si="3"/>
        <v>2006</v>
      </c>
      <c r="B56" s="2">
        <f t="shared" si="24"/>
        <v>113164.49203574135</v>
      </c>
      <c r="C56" s="2"/>
      <c r="D56" s="2">
        <f t="shared" si="25"/>
        <v>161947.68818767235</v>
      </c>
      <c r="E56" s="2">
        <f t="shared" si="26"/>
        <v>70687.738291542293</v>
      </c>
      <c r="F56" s="2"/>
      <c r="G56" s="2">
        <f t="shared" si="19"/>
        <v>61869.611744437796</v>
      </c>
      <c r="H56" s="2">
        <f t="shared" si="7"/>
        <v>93855.640135457885</v>
      </c>
      <c r="I56" s="2">
        <f t="shared" si="20"/>
        <v>501525.17039485159</v>
      </c>
      <c r="J56" s="2">
        <f>I56-I55</f>
        <v>61115.57286711887</v>
      </c>
      <c r="K56" s="6">
        <f>(J56/I55)</f>
        <v>0.13876984791020683</v>
      </c>
      <c r="L56" s="7">
        <f t="shared" si="14"/>
        <v>1.1387698479102069</v>
      </c>
      <c r="O56">
        <f t="shared" si="15"/>
        <v>2006</v>
      </c>
      <c r="P56" s="6">
        <f t="shared" si="8"/>
        <v>0.22564070303120931</v>
      </c>
      <c r="Q56" s="7"/>
      <c r="R56" s="6">
        <f t="shared" si="8"/>
        <v>0.32291038964239954</v>
      </c>
      <c r="S56" s="6">
        <f t="shared" si="8"/>
        <v>0.14094554463914488</v>
      </c>
      <c r="T56" s="7"/>
      <c r="U56" s="6">
        <f t="shared" si="8"/>
        <v>0.12336292452825</v>
      </c>
      <c r="V56" s="6">
        <f t="shared" si="10"/>
        <v>0.18714043815899645</v>
      </c>
      <c r="W56" s="6">
        <f t="shared" si="16"/>
        <v>1.0000000000000002</v>
      </c>
      <c r="X56" s="7">
        <f t="shared" si="17"/>
        <v>0.81285956184100372</v>
      </c>
      <c r="Y56" s="7">
        <f t="shared" si="18"/>
        <v>0</v>
      </c>
    </row>
    <row r="57" spans="1:25" x14ac:dyDescent="0.2">
      <c r="A57">
        <f t="shared" si="3"/>
        <v>2007</v>
      </c>
      <c r="B57" s="2">
        <f t="shared" si="24"/>
        <v>119264.05815646781</v>
      </c>
      <c r="C57" s="2"/>
      <c r="D57" s="2">
        <f t="shared" si="25"/>
        <v>171698.55849345212</v>
      </c>
      <c r="E57" s="2">
        <f t="shared" si="26"/>
        <v>71504.888546192524</v>
      </c>
      <c r="F57" s="2"/>
      <c r="G57" s="2">
        <f t="shared" si="19"/>
        <v>71473.01287940942</v>
      </c>
      <c r="H57" s="2">
        <f t="shared" si="7"/>
        <v>100350.45043283157</v>
      </c>
      <c r="I57" s="2">
        <f t="shared" si="20"/>
        <v>534290.96850835346</v>
      </c>
      <c r="J57" s="2">
        <f t="shared" si="12"/>
        <v>32765.798113501864</v>
      </c>
      <c r="K57" s="6">
        <f t="shared" si="21"/>
        <v>6.5332310415657291E-2</v>
      </c>
      <c r="L57" s="7">
        <f t="shared" si="14"/>
        <v>1.0653323104156573</v>
      </c>
      <c r="O57">
        <f t="shared" si="15"/>
        <v>2007</v>
      </c>
      <c r="P57" s="6">
        <f t="shared" si="8"/>
        <v>0.2232193040609167</v>
      </c>
      <c r="Q57" s="7"/>
      <c r="R57" s="6">
        <f t="shared" si="8"/>
        <v>0.32135777809010013</v>
      </c>
      <c r="S57" s="6">
        <f t="shared" si="8"/>
        <v>0.13383136298526926</v>
      </c>
      <c r="T57" s="7"/>
      <c r="U57" s="6">
        <f t="shared" si="8"/>
        <v>0.13377170323307078</v>
      </c>
      <c r="V57" s="6">
        <f t="shared" si="10"/>
        <v>0.18781985163064313</v>
      </c>
      <c r="W57" s="6">
        <f t="shared" si="16"/>
        <v>1</v>
      </c>
      <c r="X57" s="7">
        <f t="shared" si="17"/>
        <v>0.81218014836935692</v>
      </c>
      <c r="Y57" s="7">
        <f t="shared" si="18"/>
        <v>0</v>
      </c>
    </row>
    <row r="58" spans="1:25" x14ac:dyDescent="0.2">
      <c r="A58">
        <f t="shared" si="3"/>
        <v>2008</v>
      </c>
      <c r="B58" s="2">
        <f t="shared" si="24"/>
        <v>75112.503826943415</v>
      </c>
      <c r="C58" s="2"/>
      <c r="D58" s="2">
        <f t="shared" si="25"/>
        <v>99887.35338915071</v>
      </c>
      <c r="E58" s="2">
        <f t="shared" si="26"/>
        <v>45713.075247580877</v>
      </c>
      <c r="F58" s="2"/>
      <c r="G58" s="2">
        <f t="shared" si="19"/>
        <v>39952.699469461069</v>
      </c>
      <c r="H58" s="2">
        <f t="shared" si="7"/>
        <v>105418.14817968955</v>
      </c>
      <c r="I58" s="2">
        <f t="shared" si="20"/>
        <v>366083.78011282563</v>
      </c>
      <c r="J58" s="2">
        <f t="shared" si="12"/>
        <v>-168207.18839552783</v>
      </c>
      <c r="K58" s="6">
        <f t="shared" si="21"/>
        <v>-0.31482319243601059</v>
      </c>
      <c r="L58" s="7">
        <f t="shared" si="14"/>
        <v>0.68517680756398947</v>
      </c>
      <c r="O58">
        <f t="shared" si="15"/>
        <v>2008</v>
      </c>
      <c r="P58" s="6">
        <f t="shared" si="8"/>
        <v>0.20517845342340496</v>
      </c>
      <c r="Q58" s="7"/>
      <c r="R58" s="6">
        <f t="shared" si="8"/>
        <v>0.27285380783154556</v>
      </c>
      <c r="S58" s="6">
        <f t="shared" si="8"/>
        <v>0.12487052890868937</v>
      </c>
      <c r="T58" s="7"/>
      <c r="U58" s="6">
        <f t="shared" si="8"/>
        <v>0.10913539916231142</v>
      </c>
      <c r="V58" s="6">
        <f t="shared" si="10"/>
        <v>0.28796181067404863</v>
      </c>
      <c r="W58" s="6">
        <f t="shared" si="16"/>
        <v>1</v>
      </c>
      <c r="X58" s="7">
        <f t="shared" si="17"/>
        <v>0.71203818932595131</v>
      </c>
      <c r="Y58" s="7">
        <f t="shared" si="18"/>
        <v>0</v>
      </c>
    </row>
    <row r="59" spans="1:25" x14ac:dyDescent="0.2">
      <c r="A59">
        <f t="shared" si="3"/>
        <v>2009</v>
      </c>
      <c r="B59" s="2">
        <f t="shared" si="24"/>
        <v>95009.806090700717</v>
      </c>
      <c r="C59" s="2"/>
      <c r="D59" s="2">
        <f t="shared" si="25"/>
        <v>140060.04917519935</v>
      </c>
      <c r="E59" s="2">
        <f t="shared" si="26"/>
        <v>62223.723765502138</v>
      </c>
      <c r="F59" s="2"/>
      <c r="G59" s="2">
        <f t="shared" si="19"/>
        <v>54626.127403610037</v>
      </c>
      <c r="H59" s="2">
        <f t="shared" si="7"/>
        <v>111669.44436674513</v>
      </c>
      <c r="I59" s="2">
        <f t="shared" si="20"/>
        <v>463589.15080175741</v>
      </c>
      <c r="J59" s="2">
        <f t="shared" si="12"/>
        <v>97505.370688931784</v>
      </c>
      <c r="K59" s="6">
        <f t="shared" si="21"/>
        <v>0.26634714780010466</v>
      </c>
      <c r="L59" s="7">
        <f t="shared" si="14"/>
        <v>1.2663471478001047</v>
      </c>
      <c r="O59">
        <f t="shared" si="15"/>
        <v>2009</v>
      </c>
      <c r="P59" s="6">
        <f t="shared" si="8"/>
        <v>0.20494398095034227</v>
      </c>
      <c r="Q59" s="7"/>
      <c r="R59" s="6">
        <f t="shared" si="8"/>
        <v>0.30212106761552021</v>
      </c>
      <c r="S59" s="6">
        <f t="shared" si="8"/>
        <v>0.1342216996620583</v>
      </c>
      <c r="T59" s="7"/>
      <c r="U59" s="6">
        <f t="shared" si="8"/>
        <v>0.11783305823515608</v>
      </c>
      <c r="V59" s="6">
        <f t="shared" si="10"/>
        <v>0.24088019353692305</v>
      </c>
      <c r="W59" s="6">
        <f t="shared" si="16"/>
        <v>1</v>
      </c>
      <c r="X59" s="7">
        <f t="shared" si="17"/>
        <v>0.75911980646307697</v>
      </c>
      <c r="Y59" s="7">
        <f t="shared" si="18"/>
        <v>0</v>
      </c>
    </row>
    <row r="60" spans="1:25" x14ac:dyDescent="0.2">
      <c r="A60">
        <f t="shared" si="3"/>
        <v>2010</v>
      </c>
      <c r="B60" s="2">
        <f t="shared" si="24"/>
        <v>109175.76817882419</v>
      </c>
      <c r="C60" s="2"/>
      <c r="D60" s="2">
        <f t="shared" si="25"/>
        <v>175719.33769520509</v>
      </c>
      <c r="E60" s="2">
        <f t="shared" si="26"/>
        <v>79472.139993299337</v>
      </c>
      <c r="F60" s="2"/>
      <c r="G60" s="2">
        <f t="shared" si="19"/>
        <v>60700.552770891474</v>
      </c>
      <c r="H60" s="2">
        <f t="shared" si="7"/>
        <v>118838.62269509016</v>
      </c>
      <c r="I60" s="2">
        <f t="shared" si="20"/>
        <v>543906.42133331019</v>
      </c>
      <c r="J60" s="2">
        <f t="shared" si="12"/>
        <v>80317.270531552786</v>
      </c>
      <c r="K60" s="6">
        <f t="shared" si="21"/>
        <v>0.17325097102174961</v>
      </c>
      <c r="L60" s="7">
        <f t="shared" si="14"/>
        <v>1.1732509710217496</v>
      </c>
      <c r="O60">
        <f t="shared" si="15"/>
        <v>2010</v>
      </c>
      <c r="P60" s="6">
        <f t="shared" si="8"/>
        <v>0.20072527901250942</v>
      </c>
      <c r="Q60" s="7"/>
      <c r="R60" s="6">
        <f t="shared" si="8"/>
        <v>0.32306906262377599</v>
      </c>
      <c r="S60" s="6">
        <f t="shared" si="8"/>
        <v>0.14611362704357223</v>
      </c>
      <c r="T60" s="7"/>
      <c r="U60" s="6">
        <f t="shared" si="8"/>
        <v>0.11160109605268603</v>
      </c>
      <c r="V60" s="6">
        <f t="shared" si="10"/>
        <v>0.21849093526745644</v>
      </c>
      <c r="W60" s="6">
        <f t="shared" si="16"/>
        <v>1</v>
      </c>
      <c r="X60" s="7">
        <f t="shared" si="17"/>
        <v>0.78150906473254356</v>
      </c>
      <c r="Y60" s="7">
        <f t="shared" si="18"/>
        <v>0</v>
      </c>
    </row>
    <row r="61" spans="1:25" x14ac:dyDescent="0.2">
      <c r="A61">
        <f t="shared" si="3"/>
        <v>2011</v>
      </c>
      <c r="B61" s="2">
        <f t="shared" si="24"/>
        <v>111326.53081194703</v>
      </c>
      <c r="C61" s="2"/>
      <c r="D61" s="2">
        <f t="shared" si="25"/>
        <v>172011.65966983626</v>
      </c>
      <c r="E61" s="2">
        <f t="shared" si="26"/>
        <v>77246.920073486952</v>
      </c>
      <c r="F61" s="2"/>
      <c r="G61" s="2">
        <f t="shared" si="19"/>
        <v>51862.552287449682</v>
      </c>
      <c r="H61" s="2">
        <f t="shared" si="7"/>
        <v>127822.82257083899</v>
      </c>
      <c r="I61" s="2">
        <f t="shared" si="20"/>
        <v>540270.4854135589</v>
      </c>
      <c r="J61" s="2">
        <f t="shared" si="12"/>
        <v>-3635.9359197512968</v>
      </c>
      <c r="K61" s="6">
        <f t="shared" si="21"/>
        <v>-6.6848556610865353E-3</v>
      </c>
      <c r="L61" s="7">
        <f t="shared" si="14"/>
        <v>0.99331514433891344</v>
      </c>
      <c r="O61">
        <f t="shared" si="15"/>
        <v>2011</v>
      </c>
      <c r="P61" s="6">
        <f t="shared" si="8"/>
        <v>0.20605702850254778</v>
      </c>
      <c r="Q61" s="7"/>
      <c r="R61" s="6">
        <f t="shared" si="8"/>
        <v>0.31838063398589528</v>
      </c>
      <c r="S61" s="6">
        <f t="shared" si="8"/>
        <v>0.14297823434562973</v>
      </c>
      <c r="T61" s="7"/>
      <c r="U61" s="6">
        <f t="shared" si="8"/>
        <v>9.5993680365031683E-2</v>
      </c>
      <c r="V61" s="6">
        <f t="shared" si="10"/>
        <v>0.23659042280089559</v>
      </c>
      <c r="W61" s="6">
        <f t="shared" si="16"/>
        <v>1</v>
      </c>
      <c r="X61" s="7">
        <f t="shared" si="17"/>
        <v>0.76340957719910441</v>
      </c>
      <c r="Y61" s="7">
        <f t="shared" si="18"/>
        <v>0</v>
      </c>
    </row>
    <row r="62" spans="1:25" x14ac:dyDescent="0.2">
      <c r="A62">
        <f t="shared" si="3"/>
        <v>2012</v>
      </c>
      <c r="B62" s="2">
        <f t="shared" si="24"/>
        <v>128938.38798639704</v>
      </c>
      <c r="C62" s="2"/>
      <c r="D62" s="2">
        <f t="shared" si="25"/>
        <v>199189.50189767036</v>
      </c>
      <c r="E62" s="2">
        <f t="shared" si="26"/>
        <v>91182.264454744014</v>
      </c>
      <c r="F62" s="2"/>
      <c r="G62" s="2">
        <f t="shared" si="19"/>
        <v>61270.419272393054</v>
      </c>
      <c r="H62" s="2">
        <f t="shared" si="7"/>
        <v>132999.64688495797</v>
      </c>
      <c r="I62" s="2">
        <f t="shared" si="20"/>
        <v>613580.22049616242</v>
      </c>
      <c r="J62" s="2">
        <f t="shared" si="12"/>
        <v>73309.735082603525</v>
      </c>
      <c r="K62" s="6">
        <f t="shared" si="21"/>
        <v>0.13569080129647909</v>
      </c>
      <c r="L62" s="7">
        <f t="shared" si="14"/>
        <v>1.135690801296479</v>
      </c>
      <c r="O62">
        <f t="shared" si="15"/>
        <v>2012</v>
      </c>
      <c r="P62" s="6">
        <f t="shared" si="8"/>
        <v>0.2101410437939687</v>
      </c>
      <c r="Q62" s="7"/>
      <c r="R62" s="6">
        <f t="shared" si="8"/>
        <v>0.32463481586254322</v>
      </c>
      <c r="S62" s="6">
        <f t="shared" si="8"/>
        <v>0.14860691627414399</v>
      </c>
      <c r="T62" s="7"/>
      <c r="U62" s="6">
        <f t="shared" si="8"/>
        <v>9.9857226855923825E-2</v>
      </c>
      <c r="V62" s="6">
        <f t="shared" si="10"/>
        <v>0.21675999721342029</v>
      </c>
      <c r="W62" s="6">
        <f t="shared" si="16"/>
        <v>1</v>
      </c>
      <c r="X62" s="7">
        <f t="shared" si="17"/>
        <v>0.78324000278657979</v>
      </c>
      <c r="Y62" s="7">
        <f t="shared" si="18"/>
        <v>0</v>
      </c>
    </row>
    <row r="63" spans="1:25" x14ac:dyDescent="0.2">
      <c r="A63">
        <f t="shared" si="3"/>
        <v>2013</v>
      </c>
      <c r="B63" s="2">
        <f t="shared" si="24"/>
        <v>170430.76124041961</v>
      </c>
      <c r="C63" s="2"/>
      <c r="D63" s="2">
        <f t="shared" si="25"/>
        <v>268905.82756185503</v>
      </c>
      <c r="E63" s="2">
        <f t="shared" si="26"/>
        <v>125485.0323426187</v>
      </c>
      <c r="F63" s="2"/>
      <c r="G63" s="2">
        <f t="shared" si="19"/>
        <v>70485.490330960965</v>
      </c>
      <c r="H63" s="2">
        <f t="shared" si="7"/>
        <v>129993.85486535792</v>
      </c>
      <c r="I63" s="2">
        <f t="shared" si="20"/>
        <v>765300.96634121216</v>
      </c>
      <c r="J63" s="2">
        <f t="shared" si="12"/>
        <v>151720.74584504974</v>
      </c>
      <c r="K63" s="6">
        <f t="shared" si="21"/>
        <v>0.24727124632922984</v>
      </c>
      <c r="L63" s="7">
        <f t="shared" si="14"/>
        <v>1.2472712463292299</v>
      </c>
      <c r="O63">
        <f t="shared" si="15"/>
        <v>2013</v>
      </c>
      <c r="P63" s="6">
        <f t="shared" si="8"/>
        <v>0.22269769507181369</v>
      </c>
      <c r="Q63" s="7"/>
      <c r="R63" s="6">
        <f t="shared" si="8"/>
        <v>0.35137264865540807</v>
      </c>
      <c r="S63" s="6">
        <f t="shared" si="8"/>
        <v>0.16396821363305419</v>
      </c>
      <c r="T63" s="7"/>
      <c r="U63" s="6">
        <f t="shared" si="8"/>
        <v>9.2101661216947628E-2</v>
      </c>
      <c r="V63" s="6">
        <f t="shared" si="10"/>
        <v>0.1698597814227765</v>
      </c>
      <c r="W63" s="6">
        <f t="shared" si="16"/>
        <v>1</v>
      </c>
      <c r="X63" s="7">
        <f t="shared" si="17"/>
        <v>0.83014021857722353</v>
      </c>
      <c r="Y63" s="7">
        <f t="shared" si="18"/>
        <v>0</v>
      </c>
    </row>
    <row r="64" spans="1:25" x14ac:dyDescent="0.2">
      <c r="A64">
        <f t="shared" si="3"/>
        <v>2014</v>
      </c>
      <c r="B64" s="2">
        <f t="shared" si="24"/>
        <v>193455.95708400031</v>
      </c>
      <c r="C64" s="2"/>
      <c r="D64" s="2">
        <f t="shared" si="25"/>
        <v>305477.02011026733</v>
      </c>
      <c r="E64" s="2">
        <f t="shared" si="26"/>
        <v>134733.27922626972</v>
      </c>
      <c r="F64" s="2"/>
      <c r="G64" s="2">
        <f t="shared" si="19"/>
        <v>67496.905540928215</v>
      </c>
      <c r="H64" s="2">
        <f t="shared" si="7"/>
        <v>137481.50090560256</v>
      </c>
      <c r="I64" s="2">
        <f t="shared" si="20"/>
        <v>838644.6628670682</v>
      </c>
      <c r="J64" s="2">
        <f t="shared" si="12"/>
        <v>73343.696525856038</v>
      </c>
      <c r="K64" s="6">
        <f t="shared" si="21"/>
        <v>9.5836409140447221E-2</v>
      </c>
      <c r="L64" s="7">
        <f t="shared" si="14"/>
        <v>1.0958364091404471</v>
      </c>
      <c r="O64">
        <f t="shared" si="15"/>
        <v>2014</v>
      </c>
      <c r="P64" s="6">
        <f t="shared" si="8"/>
        <v>0.23067690721673931</v>
      </c>
      <c r="Q64" s="7"/>
      <c r="R64" s="6">
        <f t="shared" si="8"/>
        <v>0.36425083666058916</v>
      </c>
      <c r="S64" s="6">
        <f t="shared" si="8"/>
        <v>0.16065597885719332</v>
      </c>
      <c r="T64" s="7"/>
      <c r="U64" s="6">
        <f t="shared" si="8"/>
        <v>8.0483318537051263E-2</v>
      </c>
      <c r="V64" s="6">
        <f t="shared" si="10"/>
        <v>0.16393295872842686</v>
      </c>
      <c r="W64" s="6">
        <f t="shared" si="16"/>
        <v>0.99999999999999989</v>
      </c>
      <c r="X64" s="7">
        <f t="shared" si="17"/>
        <v>0.83606704127157305</v>
      </c>
      <c r="Y64" s="7">
        <f t="shared" si="18"/>
        <v>0</v>
      </c>
    </row>
    <row r="65" spans="1:19" x14ac:dyDescent="0.2">
      <c r="A65" s="9" t="s">
        <v>78</v>
      </c>
      <c r="B65" s="10">
        <f>B64</f>
        <v>193455.95708400031</v>
      </c>
      <c r="C65" s="10"/>
      <c r="D65" s="10">
        <f>D64</f>
        <v>305477.02011026733</v>
      </c>
      <c r="E65" s="10">
        <f>E64</f>
        <v>134733.27922626972</v>
      </c>
      <c r="F65" s="10"/>
      <c r="G65" s="10">
        <f>G64</f>
        <v>67496.905540928215</v>
      </c>
      <c r="H65" s="10">
        <f>H64</f>
        <v>137481.50090560256</v>
      </c>
      <c r="I65" s="52">
        <f>SUM(B64:H64)</f>
        <v>838644.6628670682</v>
      </c>
      <c r="J65" s="10"/>
      <c r="K65" s="10"/>
      <c r="L65" s="74"/>
      <c r="S65" s="7"/>
    </row>
    <row r="66" spans="1:19" x14ac:dyDescent="0.2">
      <c r="A66" s="11" t="s">
        <v>79</v>
      </c>
      <c r="I66" s="51">
        <f>(I65-I39)/I39</f>
        <v>7.386446628670682</v>
      </c>
      <c r="K66" s="6"/>
      <c r="R66" s="7"/>
    </row>
    <row r="67" spans="1:19" x14ac:dyDescent="0.2">
      <c r="A67" s="1" t="s">
        <v>80</v>
      </c>
      <c r="I67" s="29">
        <f>STDEV(L40:L64)</f>
        <v>0.13599395058058086</v>
      </c>
    </row>
    <row r="68" spans="1:19" x14ac:dyDescent="0.2">
      <c r="A68" s="1" t="s">
        <v>81</v>
      </c>
      <c r="I68" s="13">
        <f>((1+I66)^(1/I73))-1</f>
        <v>8.8787483109425525E-2</v>
      </c>
    </row>
    <row r="69" spans="1:19" x14ac:dyDescent="0.2">
      <c r="A69" s="1" t="s">
        <v>82</v>
      </c>
      <c r="I69" s="31">
        <f>J60</f>
        <v>80317.270531552786</v>
      </c>
    </row>
    <row r="70" spans="1:19" x14ac:dyDescent="0.2">
      <c r="A70" s="1" t="s">
        <v>83</v>
      </c>
      <c r="I70" s="32">
        <f>K60</f>
        <v>0.17325097102174961</v>
      </c>
    </row>
    <row r="71" spans="1:19" x14ac:dyDescent="0.2">
      <c r="A71" s="3" t="s">
        <v>84</v>
      </c>
      <c r="I71" s="33">
        <f>I64-I65</f>
        <v>0</v>
      </c>
    </row>
    <row r="72" spans="1:19" x14ac:dyDescent="0.2">
      <c r="A72" s="3" t="s">
        <v>148</v>
      </c>
      <c r="I72" s="33">
        <f>((SUM(J40:J64))-(I65-I39))</f>
        <v>0</v>
      </c>
    </row>
    <row r="73" spans="1:19" x14ac:dyDescent="0.2">
      <c r="A73" s="3" t="s">
        <v>159</v>
      </c>
      <c r="I73" s="3">
        <f>COUNTA(I40:I64)</f>
        <v>25</v>
      </c>
    </row>
    <row r="74" spans="1:19" x14ac:dyDescent="0.2">
      <c r="A74" s="1" t="s">
        <v>105</v>
      </c>
      <c r="B74" s="63"/>
      <c r="C74" s="63"/>
      <c r="D74" s="63"/>
      <c r="E74" s="63"/>
      <c r="G74" s="63"/>
      <c r="H74" s="63"/>
      <c r="I74" s="85">
        <f>(SUM(B65:G65)/I65)</f>
        <v>0.83606704127157305</v>
      </c>
    </row>
    <row r="75" spans="1:19" x14ac:dyDescent="0.2">
      <c r="A75" s="1" t="s">
        <v>106</v>
      </c>
      <c r="B75" s="63"/>
      <c r="C75" s="63"/>
      <c r="D75" s="63"/>
      <c r="E75" s="63"/>
      <c r="G75" s="63"/>
      <c r="H75" s="63"/>
      <c r="I75" s="85">
        <f>(H65/I65)</f>
        <v>0.16393295872842686</v>
      </c>
    </row>
    <row r="76" spans="1:19" x14ac:dyDescent="0.2">
      <c r="A76" s="3" t="s">
        <v>107</v>
      </c>
      <c r="I76" s="3">
        <f>100%-(I74+I75)</f>
        <v>0</v>
      </c>
    </row>
    <row r="77" spans="1:19" x14ac:dyDescent="0.2">
      <c r="A77" s="1" t="s">
        <v>105</v>
      </c>
      <c r="B77" s="63"/>
      <c r="C77" s="63"/>
      <c r="D77" s="63"/>
      <c r="E77" s="63"/>
      <c r="G77" s="63"/>
      <c r="H77" s="63"/>
      <c r="I77" s="85">
        <f>(SUM(B65:G65)/I65)</f>
        <v>0.83606704127157305</v>
      </c>
    </row>
    <row r="78" spans="1:19" x14ac:dyDescent="0.2">
      <c r="A78" s="1" t="s">
        <v>106</v>
      </c>
      <c r="B78" s="63"/>
      <c r="C78" s="63"/>
      <c r="D78" s="63"/>
      <c r="E78" s="63"/>
      <c r="G78" s="63"/>
      <c r="H78" s="63"/>
      <c r="I78" s="85">
        <f>(H65/I65)</f>
        <v>0.16393295872842686</v>
      </c>
    </row>
    <row r="79" spans="1:19" x14ac:dyDescent="0.2">
      <c r="A79" s="3" t="s">
        <v>107</v>
      </c>
      <c r="I79" s="3">
        <f>100%-(I77+I78)</f>
        <v>0</v>
      </c>
    </row>
  </sheetData>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U76"/>
  <sheetViews>
    <sheetView topLeftCell="A30" zoomScale="120" zoomScaleNormal="120" workbookViewId="0">
      <selection activeCell="A74" sqref="A74:I76"/>
    </sheetView>
  </sheetViews>
  <sheetFormatPr baseColWidth="10" defaultColWidth="8.83203125" defaultRowHeight="15" x14ac:dyDescent="0.2"/>
  <cols>
    <col min="1" max="1" width="25.5" customWidth="1"/>
    <col min="2" max="4" width="9.33203125" bestFit="1" customWidth="1"/>
    <col min="5" max="5" width="9.5" bestFit="1" customWidth="1"/>
    <col min="7" max="7" width="9.83203125" bestFit="1" customWidth="1"/>
    <col min="8" max="8" width="9.33203125" bestFit="1" customWidth="1"/>
    <col min="9" max="9" width="10.6640625" customWidth="1"/>
    <col min="10" max="10" width="10" bestFit="1" customWidth="1"/>
    <col min="39" max="40" width="10.83203125" bestFit="1" customWidth="1"/>
    <col min="41" max="41" width="9.33203125" bestFit="1" customWidth="1"/>
    <col min="42" max="42" width="9.5" bestFit="1" customWidth="1"/>
    <col min="43" max="43" width="10.83203125" bestFit="1" customWidth="1"/>
    <col min="44" max="44" width="9.83203125" bestFit="1" customWidth="1"/>
    <col min="45" max="45" width="10.83203125" bestFit="1" customWidth="1"/>
    <col min="46" max="46" width="11.5" customWidth="1"/>
  </cols>
  <sheetData>
    <row r="1" spans="1:8" x14ac:dyDescent="0.2">
      <c r="A1" s="20" t="s">
        <v>49</v>
      </c>
    </row>
    <row r="2" spans="1:8"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2">
      <c r="A4" s="17">
        <f>'Non-Rebalanced Portfolio'!A4</f>
        <v>1990</v>
      </c>
      <c r="B4" s="17">
        <f>'Non-Rebalanced Portfolio'!B4</f>
        <v>-3.32</v>
      </c>
      <c r="C4" s="17">
        <f>'Non-Rebalanced Portfolio'!C4</f>
        <v>-14.045</v>
      </c>
      <c r="D4" s="17"/>
      <c r="E4" s="17"/>
      <c r="F4" s="17">
        <f>'Non-Rebalanced Portfolio'!F4</f>
        <v>-12.26</v>
      </c>
      <c r="G4" s="17"/>
      <c r="H4" s="17">
        <f>'Non-Rebalanced Portfolio'!H4</f>
        <v>8.65</v>
      </c>
    </row>
    <row r="5" spans="1:8" x14ac:dyDescent="0.2">
      <c r="A5" s="17">
        <f>'Non-Rebalanced Portfolio'!A5</f>
        <v>1991</v>
      </c>
      <c r="B5" s="17">
        <f>'Non-Rebalanced Portfolio'!B5</f>
        <v>30.22</v>
      </c>
      <c r="C5" s="17">
        <f>'Non-Rebalanced Portfolio'!C5</f>
        <v>41.85</v>
      </c>
      <c r="D5" s="17"/>
      <c r="E5" s="17"/>
      <c r="F5" s="17">
        <f>'Non-Rebalanced Portfolio'!F5</f>
        <v>9.9559999999999995</v>
      </c>
      <c r="G5" s="17"/>
      <c r="H5" s="17">
        <f>'Non-Rebalanced Portfolio'!H5</f>
        <v>15.25</v>
      </c>
    </row>
    <row r="6" spans="1:8" x14ac:dyDescent="0.2">
      <c r="A6" s="17">
        <f>'Non-Rebalanced Portfolio'!A6</f>
        <v>1992</v>
      </c>
      <c r="B6" s="17">
        <f>'Non-Rebalanced Portfolio'!B6</f>
        <v>7.42</v>
      </c>
      <c r="C6" s="17">
        <f>'Non-Rebalanced Portfolio'!C6</f>
        <v>12.465999999999999</v>
      </c>
      <c r="D6" s="17"/>
      <c r="E6" s="17"/>
      <c r="F6" s="17">
        <f>'Non-Rebalanced Portfolio'!F6</f>
        <v>-8.7210000000000001</v>
      </c>
      <c r="G6" s="17"/>
      <c r="H6" s="17">
        <f>'Non-Rebalanced Portfolio'!H6</f>
        <v>7.14</v>
      </c>
    </row>
    <row r="7" spans="1:8" x14ac:dyDescent="0.2">
      <c r="A7" s="17">
        <f>'Non-Rebalanced Portfolio'!A7</f>
        <v>1993</v>
      </c>
      <c r="B7" s="17">
        <f>'Non-Rebalanced Portfolio'!B7</f>
        <v>9.89</v>
      </c>
      <c r="C7" s="17">
        <f>'Non-Rebalanced Portfolio'!C7</f>
        <v>14.49</v>
      </c>
      <c r="D7" s="17"/>
      <c r="E7" s="17"/>
      <c r="F7" s="17">
        <f>'Non-Rebalanced Portfolio'!F7</f>
        <v>30.494</v>
      </c>
      <c r="G7" s="17"/>
      <c r="H7" s="17">
        <f>'Non-Rebalanced Portfolio'!H7</f>
        <v>9.68</v>
      </c>
    </row>
    <row r="8" spans="1:8" x14ac:dyDescent="0.2">
      <c r="A8" s="17">
        <f>'Non-Rebalanced Portfolio'!A8</f>
        <v>1994</v>
      </c>
      <c r="B8" s="17">
        <f>'Non-Rebalanced Portfolio'!B8</f>
        <v>1.18</v>
      </c>
      <c r="C8" s="17">
        <f>'Non-Rebalanced Portfolio'!C8</f>
        <v>-1.764</v>
      </c>
      <c r="D8" s="17"/>
      <c r="E8" s="17"/>
      <c r="F8" s="17">
        <f>'Non-Rebalanced Portfolio'!F8</f>
        <v>5.2549999999999999</v>
      </c>
      <c r="G8" s="17"/>
      <c r="H8" s="17">
        <f>'Non-Rebalanced Portfolio'!H8</f>
        <v>-2.66</v>
      </c>
    </row>
    <row r="9" spans="1:8" x14ac:dyDescent="0.2">
      <c r="A9" s="17">
        <f>'Non-Rebalanced Portfolio'!A9</f>
        <v>1995</v>
      </c>
      <c r="B9" s="17">
        <f>'Non-Rebalanced Portfolio'!B9</f>
        <v>37.450000000000003</v>
      </c>
      <c r="C9" s="17">
        <f>'Non-Rebalanced Portfolio'!C9</f>
        <v>33.796999999999997</v>
      </c>
      <c r="D9" s="17"/>
      <c r="E9" s="17"/>
      <c r="F9" s="17">
        <f>'Non-Rebalanced Portfolio'!F9</f>
        <v>9.6460000000000008</v>
      </c>
      <c r="G9" s="17">
        <f>'Non-Rebalanced Portfolio'!G9</f>
        <v>0</v>
      </c>
      <c r="H9" s="17">
        <f>'Non-Rebalanced Portfolio'!H9</f>
        <v>18.18</v>
      </c>
    </row>
    <row r="10" spans="1:8" x14ac:dyDescent="0.2">
      <c r="A10" s="17">
        <f>'Non-Rebalanced Portfolio'!A10</f>
        <v>1996</v>
      </c>
      <c r="B10" s="17">
        <f>'Non-Rebalanced Portfolio'!B10</f>
        <v>22.88</v>
      </c>
      <c r="C10" s="17">
        <f>'Non-Rebalanced Portfolio'!C10</f>
        <v>17.646999999999998</v>
      </c>
      <c r="D10" s="17"/>
      <c r="E10" s="17"/>
      <c r="F10" s="17">
        <f>'Non-Rebalanced Portfolio'!F10</f>
        <v>10.218999999999999</v>
      </c>
      <c r="G10" s="17">
        <f>'Non-Rebalanced Portfolio'!G10</f>
        <v>0</v>
      </c>
      <c r="H10" s="17">
        <f>'Non-Rebalanced Portfolio'!H10</f>
        <v>3.58</v>
      </c>
    </row>
    <row r="11" spans="1:8" x14ac:dyDescent="0.2">
      <c r="A11" s="17">
        <f>'Non-Rebalanced Portfolio'!A11</f>
        <v>1997</v>
      </c>
      <c r="B11" s="17">
        <f>'Non-Rebalanced Portfolio'!B11</f>
        <v>33.19</v>
      </c>
      <c r="C11" s="17">
        <f>'Non-Rebalanced Portfolio'!C11</f>
        <v>26.687000000000001</v>
      </c>
      <c r="D11" s="17">
        <f>'Non-Rebalanced Portfolio'!D11</f>
        <v>0</v>
      </c>
      <c r="E11" s="17">
        <f>'Non-Rebalanced Portfolio'!E11</f>
        <v>0</v>
      </c>
      <c r="F11" s="17">
        <f>'Non-Rebalanced Portfolio'!F11</f>
        <v>0</v>
      </c>
      <c r="G11" s="17">
        <f>'Non-Rebalanced Portfolio'!G11</f>
        <v>-0.77500000000000002</v>
      </c>
      <c r="H11" s="17">
        <f>'Non-Rebalanced Portfolio'!H11</f>
        <v>9.44</v>
      </c>
    </row>
    <row r="12" spans="1:8" x14ac:dyDescent="0.2">
      <c r="A12" s="17">
        <f>'Non-Rebalanced Portfolio'!A12</f>
        <v>1998</v>
      </c>
      <c r="B12" s="17">
        <f>'Non-Rebalanced Portfolio'!B12</f>
        <v>28.66</v>
      </c>
      <c r="C12" s="17">
        <f>'Non-Rebalanced Portfolio'!C12</f>
        <v>8.3529999999999998</v>
      </c>
      <c r="D12" s="17">
        <f>'Non-Rebalanced Portfolio'!D12</f>
        <v>0</v>
      </c>
      <c r="E12" s="17">
        <f>'Non-Rebalanced Portfolio'!E12</f>
        <v>0</v>
      </c>
      <c r="F12" s="17"/>
      <c r="G12" s="17">
        <f>'Non-Rebalanced Portfolio'!G12</f>
        <v>15.603</v>
      </c>
      <c r="H12" s="17">
        <f>'Non-Rebalanced Portfolio'!H12</f>
        <v>8.58</v>
      </c>
    </row>
    <row r="13" spans="1:8" x14ac:dyDescent="0.2">
      <c r="A13" s="17">
        <f>'Non-Rebalanced Portfolio'!A13</f>
        <v>1999</v>
      </c>
      <c r="B13" s="17">
        <f>'Non-Rebalanced Portfolio'!B13</f>
        <v>21.07</v>
      </c>
      <c r="C13" s="17">
        <f>'Non-Rebalanced Portfolio'!C13</f>
        <v>0</v>
      </c>
      <c r="D13" s="17">
        <f>'Non-Rebalanced Portfolio'!D13</f>
        <v>15.319000000000001</v>
      </c>
      <c r="E13" s="17">
        <f>'Non-Rebalanced Portfolio'!E13</f>
        <v>23.132999999999999</v>
      </c>
      <c r="F13" s="17"/>
      <c r="G13" s="18">
        <f>'Non-Rebalanced Portfolio'!G13</f>
        <v>29.919</v>
      </c>
      <c r="H13" s="17">
        <f>'Non-Rebalanced Portfolio'!H13</f>
        <v>-0.76</v>
      </c>
    </row>
    <row r="14" spans="1:8" x14ac:dyDescent="0.2">
      <c r="A14" s="17">
        <f>'Non-Rebalanced Portfolio'!A14</f>
        <v>2000</v>
      </c>
      <c r="B14" s="17">
        <f>'Non-Rebalanced Portfolio'!B14</f>
        <v>-9.06</v>
      </c>
      <c r="C14" s="17"/>
      <c r="D14" s="18">
        <f>'Non-Rebalanced Portfolio'!D14</f>
        <v>18.097999999999999</v>
      </c>
      <c r="E14" s="18">
        <f>'Non-Rebalanced Portfolio'!E14</f>
        <v>-2.665</v>
      </c>
      <c r="F14" s="17"/>
      <c r="G14" s="17">
        <f>'Non-Rebalanced Portfolio'!G14</f>
        <v>-15.614000000000001</v>
      </c>
      <c r="H14" s="17">
        <f>'Non-Rebalanced Portfolio'!H14</f>
        <v>11.39</v>
      </c>
    </row>
    <row r="15" spans="1:8" x14ac:dyDescent="0.2">
      <c r="A15" s="17">
        <f>'Non-Rebalanced Portfolio'!A15</f>
        <v>2001</v>
      </c>
      <c r="B15" s="17">
        <f>'Non-Rebalanced Portfolio'!B15</f>
        <v>-12.02</v>
      </c>
      <c r="C15" s="17"/>
      <c r="D15" s="18">
        <f>'Non-Rebalanced Portfolio'!D15</f>
        <v>-0.499</v>
      </c>
      <c r="E15" s="18">
        <f>'Non-Rebalanced Portfolio'!E15</f>
        <v>3.1</v>
      </c>
      <c r="F15" s="17"/>
      <c r="G15" s="17">
        <f>'Non-Rebalanced Portfolio'!G15</f>
        <v>-20.152999999999999</v>
      </c>
      <c r="H15" s="17">
        <f>'Non-Rebalanced Portfolio'!H15</f>
        <v>8.43</v>
      </c>
    </row>
    <row r="16" spans="1:8" x14ac:dyDescent="0.2">
      <c r="A16" s="17">
        <f>'Non-Rebalanced Portfolio'!A16</f>
        <v>2002</v>
      </c>
      <c r="B16" s="17">
        <f>'Non-Rebalanced Portfolio'!B16</f>
        <v>-22.15</v>
      </c>
      <c r="C16" s="17"/>
      <c r="D16" s="17">
        <f>'Non-Rebalanced Portfolio'!D16</f>
        <v>-14.608000000000001</v>
      </c>
      <c r="E16" s="17">
        <f>'Non-Rebalanced Portfolio'!E16</f>
        <v>-20.021999999999998</v>
      </c>
      <c r="F16" s="17"/>
      <c r="G16" s="17">
        <f>'Non-Rebalanced Portfolio'!G16</f>
        <v>-15.083</v>
      </c>
      <c r="H16" s="17">
        <f>'Non-Rebalanced Portfolio'!H16</f>
        <v>8.26</v>
      </c>
    </row>
    <row r="17" spans="1:8" x14ac:dyDescent="0.2">
      <c r="A17" s="17">
        <f>'Non-Rebalanced Portfolio'!A17</f>
        <v>2003</v>
      </c>
      <c r="B17" s="17">
        <f>'Non-Rebalanced Portfolio'!B17</f>
        <v>28.5</v>
      </c>
      <c r="C17" s="17"/>
      <c r="D17" s="17">
        <f>'Non-Rebalanced Portfolio'!D17</f>
        <v>34.142000000000003</v>
      </c>
      <c r="E17" s="17">
        <f>'Non-Rebalanced Portfolio'!E17</f>
        <v>45.628</v>
      </c>
      <c r="F17" s="17"/>
      <c r="G17" s="17">
        <f>'Non-Rebalanced Portfolio'!G17</f>
        <v>40.340000000000003</v>
      </c>
      <c r="H17" s="17">
        <f>'Non-Rebalanced Portfolio'!H17</f>
        <v>3.97</v>
      </c>
    </row>
    <row r="18" spans="1:8" x14ac:dyDescent="0.2">
      <c r="A18" s="17">
        <f>'Non-Rebalanced Portfolio'!A18</f>
        <v>2004</v>
      </c>
      <c r="B18" s="17">
        <f>'Non-Rebalanced Portfolio'!B18</f>
        <v>10.74</v>
      </c>
      <c r="C18" s="17"/>
      <c r="D18" s="17">
        <f>'Non-Rebalanced Portfolio'!D18</f>
        <v>20.353000000000002</v>
      </c>
      <c r="E18" s="17">
        <f>'Non-Rebalanced Portfolio'!E18</f>
        <v>19.896999999999998</v>
      </c>
      <c r="F18" s="17"/>
      <c r="G18" s="17">
        <f>'Non-Rebalanced Portfolio'!G18</f>
        <v>20.837</v>
      </c>
      <c r="H18" s="17">
        <f>'Non-Rebalanced Portfolio'!H18</f>
        <v>4.24</v>
      </c>
    </row>
    <row r="19" spans="1:8" x14ac:dyDescent="0.2">
      <c r="A19" s="17">
        <f>'Non-Rebalanced Portfolio'!A19</f>
        <v>2005</v>
      </c>
      <c r="B19" s="17">
        <f>'Non-Rebalanced Portfolio'!B19</f>
        <v>4.7699999999999996</v>
      </c>
      <c r="C19" s="17"/>
      <c r="D19" s="17">
        <f>'Non-Rebalanced Portfolio'!D19</f>
        <v>13.930999999999999</v>
      </c>
      <c r="E19" s="17">
        <f>'Non-Rebalanced Portfolio'!E19</f>
        <v>7.3630000000000004</v>
      </c>
      <c r="F19" s="17"/>
      <c r="G19" s="17">
        <f>'Non-Rebalanced Portfolio'!G19</f>
        <v>15.571</v>
      </c>
      <c r="H19" s="17">
        <f>'Non-Rebalanced Portfolio'!H19</f>
        <v>2.4</v>
      </c>
    </row>
    <row r="20" spans="1:8" x14ac:dyDescent="0.2">
      <c r="A20" s="17">
        <f>'Non-Rebalanced Portfolio'!A20</f>
        <v>2006</v>
      </c>
      <c r="B20" s="17">
        <f>'Non-Rebalanced Portfolio'!B20</f>
        <v>15.64</v>
      </c>
      <c r="C20" s="17"/>
      <c r="D20" s="17">
        <f>'Non-Rebalanced Portfolio'!D20</f>
        <v>13.597</v>
      </c>
      <c r="E20" s="17">
        <f>'Non-Rebalanced Portfolio'!E20</f>
        <v>15.656000000000001</v>
      </c>
      <c r="F20" s="17"/>
      <c r="G20" s="17">
        <f>'Non-Rebalanced Portfolio'!G20</f>
        <v>26.637</v>
      </c>
      <c r="H20" s="17">
        <f>'Non-Rebalanced Portfolio'!H20</f>
        <v>4.2699999999999996</v>
      </c>
    </row>
    <row r="21" spans="1:8" x14ac:dyDescent="0.2">
      <c r="A21" s="17">
        <f>'Non-Rebalanced Portfolio'!A21</f>
        <v>2007</v>
      </c>
      <c r="B21" s="17">
        <f>'Non-Rebalanced Portfolio'!B21</f>
        <v>5.39</v>
      </c>
      <c r="C21" s="17"/>
      <c r="D21" s="17">
        <f>'Non-Rebalanced Portfolio'!D21</f>
        <v>6.0209999999999999</v>
      </c>
      <c r="E21" s="17">
        <f>'Non-Rebalanced Portfolio'!E21</f>
        <v>1.1559999999999999</v>
      </c>
      <c r="F21" s="17"/>
      <c r="G21" s="17">
        <f>'Non-Rebalanced Portfolio'!G21</f>
        <v>15.522</v>
      </c>
      <c r="H21" s="17">
        <f>'Non-Rebalanced Portfolio'!H21</f>
        <v>6.92</v>
      </c>
    </row>
    <row r="22" spans="1:8" x14ac:dyDescent="0.2">
      <c r="A22" s="17">
        <f>'Non-Rebalanced Portfolio'!A22</f>
        <v>2008</v>
      </c>
      <c r="B22" s="17">
        <f>'Non-Rebalanced Portfolio'!B22</f>
        <v>-37.020000000000003</v>
      </c>
      <c r="C22" s="17"/>
      <c r="D22" s="17">
        <f>'Non-Rebalanced Portfolio'!D22</f>
        <v>-41.823999999999998</v>
      </c>
      <c r="E22" s="17">
        <f>'Non-Rebalanced Portfolio'!E22</f>
        <v>-36.07</v>
      </c>
      <c r="F22" s="17"/>
      <c r="G22" s="17">
        <f>'Non-Rebalanced Portfolio'!G22</f>
        <v>-44.100999999999999</v>
      </c>
      <c r="H22" s="17">
        <f>'Non-Rebalanced Portfolio'!H22</f>
        <v>5.05</v>
      </c>
    </row>
    <row r="23" spans="1:8" x14ac:dyDescent="0.2">
      <c r="A23" s="17">
        <f>'Non-Rebalanced Portfolio'!A23</f>
        <v>2009</v>
      </c>
      <c r="B23" s="17">
        <f>'Non-Rebalanced Portfolio'!B23</f>
        <v>26.49</v>
      </c>
      <c r="C23" s="17"/>
      <c r="D23" s="17">
        <f>'Non-Rebalanced Portfolio'!D23</f>
        <v>40.218000000000004</v>
      </c>
      <c r="E23" s="17">
        <f>'Non-Rebalanced Portfolio'!E23</f>
        <v>36.118000000000002</v>
      </c>
      <c r="F23" s="17"/>
      <c r="G23" s="17">
        <f>'Non-Rebalanced Portfolio'!G23</f>
        <v>36.726999999999997</v>
      </c>
      <c r="H23" s="17">
        <f>'Non-Rebalanced Portfolio'!H23</f>
        <v>5.93</v>
      </c>
    </row>
    <row r="24" spans="1:8" x14ac:dyDescent="0.2">
      <c r="A24" s="17">
        <f>'Non-Rebalanced Portfolio'!A24</f>
        <v>2010</v>
      </c>
      <c r="B24" s="17">
        <f>'Non-Rebalanced Portfolio'!B24</f>
        <v>14.91</v>
      </c>
      <c r="C24" s="17"/>
      <c r="D24" s="17">
        <f>'Non-Rebalanced Portfolio'!D24</f>
        <v>25.46</v>
      </c>
      <c r="E24" s="17">
        <f>'Non-Rebalanced Portfolio'!E24</f>
        <v>27.72</v>
      </c>
      <c r="F24" s="17"/>
      <c r="G24" s="17">
        <f>'Non-Rebalanced Portfolio'!G24</f>
        <v>11.12</v>
      </c>
      <c r="H24" s="17">
        <f>'Non-Rebalanced Portfolio'!H24</f>
        <v>6.42</v>
      </c>
    </row>
    <row r="25" spans="1:8" x14ac:dyDescent="0.2">
      <c r="A25" s="17">
        <f>'Non-Rebalanced Portfolio'!A25</f>
        <v>2011</v>
      </c>
      <c r="B25" s="17">
        <f>'Non-Rebalanced Portfolio'!B25</f>
        <v>1.97</v>
      </c>
      <c r="C25" s="17"/>
      <c r="D25" s="17">
        <f>'Non-Rebalanced Portfolio'!D25</f>
        <v>-2.11</v>
      </c>
      <c r="E25" s="17">
        <f>'Non-Rebalanced Portfolio'!E25</f>
        <v>-2.8</v>
      </c>
      <c r="F25" s="17"/>
      <c r="G25" s="17">
        <f>'Non-Rebalanced Portfolio'!G25</f>
        <v>-14.56</v>
      </c>
      <c r="H25" s="17">
        <f>'Non-Rebalanced Portfolio'!H25</f>
        <v>7.56</v>
      </c>
    </row>
    <row r="26" spans="1:8" x14ac:dyDescent="0.2">
      <c r="A26" s="17">
        <f>'Non-Rebalanced Portfolio'!A26</f>
        <v>2012</v>
      </c>
      <c r="B26" s="17">
        <f>'Non-Rebalanced Portfolio'!B26</f>
        <v>15.82</v>
      </c>
      <c r="C26" s="17"/>
      <c r="D26" s="17">
        <f>'Non-Rebalanced Portfolio'!D26</f>
        <v>15.8</v>
      </c>
      <c r="E26" s="17">
        <f>'Non-Rebalanced Portfolio'!E26</f>
        <v>18.04</v>
      </c>
      <c r="F26" s="17"/>
      <c r="G26" s="17">
        <f>'Non-Rebalanced Portfolio'!G26</f>
        <v>18.14</v>
      </c>
      <c r="H26" s="17">
        <f>'Non-Rebalanced Portfolio'!H26</f>
        <v>4.05</v>
      </c>
    </row>
    <row r="27" spans="1:8" x14ac:dyDescent="0.2">
      <c r="A27" s="17">
        <f>'Non-Rebalanced Portfolio'!A27</f>
        <v>2013</v>
      </c>
      <c r="B27" s="17">
        <f>'Non-Rebalanced Portfolio'!B27</f>
        <v>32.18</v>
      </c>
      <c r="C27" s="17"/>
      <c r="D27" s="17">
        <f>'Non-Rebalanced Portfolio'!D27</f>
        <v>35</v>
      </c>
      <c r="E27" s="17">
        <f>'Non-Rebalanced Portfolio'!E27</f>
        <v>37.619999999999997</v>
      </c>
      <c r="F27" s="17"/>
      <c r="G27" s="17">
        <f>'Non-Rebalanced Portfolio'!G27</f>
        <v>15.04</v>
      </c>
      <c r="H27" s="17">
        <f>'Non-Rebalanced Portfolio'!H27</f>
        <v>-2.2599999999999998</v>
      </c>
    </row>
    <row r="28" spans="1:8" x14ac:dyDescent="0.2">
      <c r="A28" s="17">
        <f>'Non-Rebalanced Portfolio'!A28</f>
        <v>2014</v>
      </c>
      <c r="B28" s="17">
        <f>'Non-Rebalanced Portfolio'!B28</f>
        <v>13.51</v>
      </c>
      <c r="C28" s="19"/>
      <c r="D28" s="17">
        <f>'Non-Rebalanced Portfolio'!D28</f>
        <v>13.6</v>
      </c>
      <c r="E28" s="17">
        <f>'Non-Rebalanced Portfolio'!E28</f>
        <v>7.37</v>
      </c>
      <c r="F28" s="19"/>
      <c r="G28" s="17">
        <f>'Non-Rebalanced Portfolio'!G28</f>
        <v>-4.24</v>
      </c>
      <c r="H28" s="17">
        <f>'Non-Rebalanced Portfolio'!H28</f>
        <v>5.76</v>
      </c>
    </row>
    <row r="29" spans="1:8" x14ac:dyDescent="0.2">
      <c r="A29" s="17">
        <f>'Non-Rebalanced Portfolio'!A29</f>
        <v>2015</v>
      </c>
      <c r="B29" s="17">
        <f>'Non-Rebalanced Portfolio'!B29</f>
        <v>1.25</v>
      </c>
      <c r="C29" s="19"/>
      <c r="D29" s="17">
        <f>'Non-Rebalanced Portfolio'!D29</f>
        <v>-1.46</v>
      </c>
      <c r="E29" s="17">
        <f>'Non-Rebalanced Portfolio'!E29</f>
        <v>-3.78</v>
      </c>
      <c r="F29" s="19"/>
      <c r="G29" s="17">
        <f>'Non-Rebalanced Portfolio'!G29</f>
        <v>-4.37</v>
      </c>
      <c r="H29" s="17">
        <f>'Non-Rebalanced Portfolio'!H29</f>
        <v>0.3</v>
      </c>
    </row>
    <row r="30" spans="1:8" x14ac:dyDescent="0.2">
      <c r="A30" s="17">
        <f>'Non-Rebalanced Portfolio'!A30</f>
        <v>2016</v>
      </c>
      <c r="B30" s="17">
        <f>'Non-Rebalanced Portfolio'!B30</f>
        <v>11.82</v>
      </c>
      <c r="C30" s="19"/>
      <c r="D30" s="17">
        <f>'Non-Rebalanced Portfolio'!D30</f>
        <v>11.07</v>
      </c>
      <c r="E30" s="17">
        <f>'Non-Rebalanced Portfolio'!E30</f>
        <v>18.170000000000002</v>
      </c>
      <c r="F30" s="19"/>
      <c r="G30" s="17">
        <f>'Non-Rebalanced Portfolio'!G30</f>
        <v>4.6500000000000004</v>
      </c>
      <c r="H30" s="17">
        <f>'Non-Rebalanced Portfolio'!H30</f>
        <v>2.5</v>
      </c>
    </row>
    <row r="31" spans="1:8" x14ac:dyDescent="0.2">
      <c r="A31" s="17">
        <f>'Non-Rebalanced Portfolio'!A31</f>
        <v>2017</v>
      </c>
      <c r="B31" s="17">
        <f>'Non-Rebalanced Portfolio'!B31</f>
        <v>21.67</v>
      </c>
      <c r="C31" s="19"/>
      <c r="D31" s="17">
        <f>'Non-Rebalanced Portfolio'!D31</f>
        <v>19.600000000000001</v>
      </c>
      <c r="E31" s="17">
        <f>'Non-Rebalanced Portfolio'!E31</f>
        <v>16.100000000000001</v>
      </c>
      <c r="F31" s="19"/>
      <c r="G31" s="17">
        <f>'Non-Rebalanced Portfolio'!G31</f>
        <v>27.4</v>
      </c>
      <c r="H31" s="17">
        <f>'Non-Rebalanced Portfolio'!H31</f>
        <v>3.46</v>
      </c>
    </row>
    <row r="32" spans="1:8" x14ac:dyDescent="0.2">
      <c r="A32" s="17">
        <f>'Non-Rebalanced Portfolio'!A32</f>
        <v>2017</v>
      </c>
      <c r="B32" s="17">
        <f>'Non-Rebalanced Portfolio'!B32</f>
        <v>21.67</v>
      </c>
      <c r="C32" s="19"/>
      <c r="D32" s="17">
        <f>'Non-Rebalanced Portfolio'!D32</f>
        <v>19.600000000000001</v>
      </c>
      <c r="E32" s="17">
        <f>'Non-Rebalanced Portfolio'!E32</f>
        <v>16.100000000000001</v>
      </c>
      <c r="F32" s="19"/>
      <c r="G32" s="17">
        <f>'Non-Rebalanced Portfolio'!G32</f>
        <v>27.4</v>
      </c>
      <c r="H32" s="17">
        <f>'Non-Rebalanced Portfolio'!H32</f>
        <v>3.46</v>
      </c>
    </row>
    <row r="33" spans="1:47" x14ac:dyDescent="0.2">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row>
    <row r="36" spans="1:47" x14ac:dyDescent="0.2">
      <c r="A36" s="20" t="s">
        <v>116</v>
      </c>
      <c r="O36" s="20" t="s">
        <v>126</v>
      </c>
      <c r="AB36" s="20" t="s">
        <v>18</v>
      </c>
      <c r="AL36" s="20" t="s">
        <v>21</v>
      </c>
    </row>
    <row r="37" spans="1:47" x14ac:dyDescent="0.2">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76</v>
      </c>
      <c r="K37" s="5" t="s">
        <v>73</v>
      </c>
      <c r="L37" s="5" t="s">
        <v>74</v>
      </c>
      <c r="P37" s="4" t="str">
        <f>B37</f>
        <v>LC Stocks</v>
      </c>
      <c r="Q37" s="4" t="str">
        <f t="shared" ref="Q37:V38" si="1">C37</f>
        <v>Ext Mkt</v>
      </c>
      <c r="R37" s="4" t="str">
        <f t="shared" si="1"/>
        <v>Mcap Stk</v>
      </c>
      <c r="S37" s="4" t="str">
        <f t="shared" si="1"/>
        <v>Small Cap</v>
      </c>
      <c r="T37" s="4" t="str">
        <f t="shared" si="1"/>
        <v>Intl Val</v>
      </c>
      <c r="U37" s="4" t="str">
        <f t="shared" si="1"/>
        <v>Tot Int Stk</v>
      </c>
      <c r="V37" s="4" t="str">
        <f t="shared" si="1"/>
        <v>Bonds</v>
      </c>
      <c r="W37" s="5"/>
      <c r="X37" s="5" t="s">
        <v>111</v>
      </c>
      <c r="Y37" s="3" t="s">
        <v>112</v>
      </c>
      <c r="Z37" s="62"/>
      <c r="AC37" s="4" t="str">
        <f t="shared" ref="AC37:AI39" si="2">P37</f>
        <v>LC Stocks</v>
      </c>
      <c r="AD37" s="4" t="str">
        <f t="shared" si="2"/>
        <v>Ext Mkt</v>
      </c>
      <c r="AE37" s="4" t="str">
        <f t="shared" si="2"/>
        <v>Mcap Stk</v>
      </c>
      <c r="AF37" s="4" t="str">
        <f t="shared" si="2"/>
        <v>Small Cap</v>
      </c>
      <c r="AG37" s="4" t="str">
        <f t="shared" si="2"/>
        <v>Intl Val</v>
      </c>
      <c r="AH37" s="4" t="str">
        <f t="shared" si="2"/>
        <v>Tot Int Stk</v>
      </c>
      <c r="AI37" s="4" t="str">
        <f t="shared" si="2"/>
        <v>Bonds</v>
      </c>
      <c r="AJ37" s="5"/>
      <c r="AM37" s="4" t="str">
        <f>AC37</f>
        <v>LC Stocks</v>
      </c>
      <c r="AN37" s="4" t="str">
        <f t="shared" ref="AN37:AT39" si="3">AD37</f>
        <v>Ext Mkt</v>
      </c>
      <c r="AO37" s="4" t="str">
        <f t="shared" si="3"/>
        <v>Mcap Stk</v>
      </c>
      <c r="AP37" s="4" t="str">
        <f t="shared" si="3"/>
        <v>Small Cap</v>
      </c>
      <c r="AQ37" s="4" t="str">
        <f t="shared" si="3"/>
        <v>Intl Val</v>
      </c>
      <c r="AR37" s="4" t="str">
        <f t="shared" si="3"/>
        <v>Tot Int Stk</v>
      </c>
      <c r="AS37" s="4" t="str">
        <f t="shared" si="3"/>
        <v>Bonds</v>
      </c>
      <c r="AT37" s="4"/>
      <c r="AU37" t="s">
        <v>88</v>
      </c>
    </row>
    <row r="38" spans="1:47" x14ac:dyDescent="0.2">
      <c r="A38" t="s">
        <v>72</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70</v>
      </c>
      <c r="J38" s="5" t="s">
        <v>77</v>
      </c>
      <c r="K38" s="5" t="s">
        <v>75</v>
      </c>
      <c r="L38" s="5" t="s">
        <v>75</v>
      </c>
      <c r="O38" t="s">
        <v>72</v>
      </c>
      <c r="P38" s="4" t="str">
        <f>B38</f>
        <v>VFINX</v>
      </c>
      <c r="Q38" s="4" t="str">
        <f t="shared" si="1"/>
        <v>VEXMX</v>
      </c>
      <c r="R38" s="4" t="str">
        <f t="shared" si="1"/>
        <v>VIMSX</v>
      </c>
      <c r="S38" s="4" t="str">
        <f t="shared" si="1"/>
        <v>NAESX</v>
      </c>
      <c r="T38" s="4" t="str">
        <f t="shared" si="1"/>
        <v>VTRIX</v>
      </c>
      <c r="U38" s="4" t="str">
        <f t="shared" si="1"/>
        <v>VGTSX</v>
      </c>
      <c r="V38" s="4" t="str">
        <f t="shared" si="1"/>
        <v>VBMFX</v>
      </c>
      <c r="W38" s="5" t="s">
        <v>70</v>
      </c>
      <c r="X38" s="5" t="s">
        <v>112</v>
      </c>
      <c r="Y38" s="3" t="s">
        <v>87</v>
      </c>
      <c r="Z38" s="62"/>
      <c r="AB38" t="str">
        <f>O38</f>
        <v>Fund</v>
      </c>
      <c r="AC38" s="4" t="str">
        <f t="shared" si="2"/>
        <v>VFINX</v>
      </c>
      <c r="AD38" s="4" t="str">
        <f t="shared" si="2"/>
        <v>VEXMX</v>
      </c>
      <c r="AE38" s="4" t="str">
        <f t="shared" si="2"/>
        <v>VIMSX</v>
      </c>
      <c r="AF38" s="4" t="str">
        <f t="shared" si="2"/>
        <v>NAESX</v>
      </c>
      <c r="AG38" s="4" t="str">
        <f t="shared" si="2"/>
        <v>VTRIX</v>
      </c>
      <c r="AH38" s="4" t="str">
        <f t="shared" si="2"/>
        <v>VGTSX</v>
      </c>
      <c r="AI38" s="4" t="str">
        <f t="shared" si="2"/>
        <v>VBMFX</v>
      </c>
      <c r="AJ38" s="4" t="str">
        <f>W38</f>
        <v>Total</v>
      </c>
      <c r="AL38" t="s">
        <v>72</v>
      </c>
      <c r="AM38" s="4" t="str">
        <f>AC38</f>
        <v>VFINX</v>
      </c>
      <c r="AN38" s="4" t="str">
        <f t="shared" si="3"/>
        <v>VEXMX</v>
      </c>
      <c r="AO38" s="4" t="str">
        <f t="shared" si="3"/>
        <v>VIMSX</v>
      </c>
      <c r="AP38" s="4" t="str">
        <f t="shared" si="3"/>
        <v>NAESX</v>
      </c>
      <c r="AQ38" s="4" t="str">
        <f t="shared" si="3"/>
        <v>VTRIX</v>
      </c>
      <c r="AR38" s="4" t="str">
        <f t="shared" si="3"/>
        <v>VGTSX</v>
      </c>
      <c r="AS38" s="4" t="str">
        <f t="shared" si="3"/>
        <v>VBMFX</v>
      </c>
      <c r="AT38" s="4" t="str">
        <f t="shared" si="3"/>
        <v>Total</v>
      </c>
      <c r="AU38" t="s">
        <v>87</v>
      </c>
    </row>
    <row r="39" spans="1:47" x14ac:dyDescent="0.2">
      <c r="A39" t="s">
        <v>71</v>
      </c>
      <c r="B39" s="2">
        <f>'Non-Rebalanced Portfolio'!B39</f>
        <v>20000</v>
      </c>
      <c r="C39" s="2">
        <f>'Non-Rebalanced Portfolio'!C39</f>
        <v>30000</v>
      </c>
      <c r="F39" s="2">
        <f>'Non-Rebalanced Portfolio'!F39</f>
        <v>20000</v>
      </c>
      <c r="H39" s="2">
        <f>'Non-Rebalanced Portfolio'!H39</f>
        <v>30000</v>
      </c>
      <c r="I39" s="2">
        <f>SUM(B39:H39)</f>
        <v>100000</v>
      </c>
      <c r="O39" s="21" t="s">
        <v>86</v>
      </c>
      <c r="P39" s="22">
        <f>B39/$I39</f>
        <v>0.2</v>
      </c>
      <c r="Q39" s="22">
        <f>C39/$I39</f>
        <v>0.3</v>
      </c>
      <c r="R39" s="56">
        <f>'Non-Rebalanced Portfolio'!R39</f>
        <v>0.2</v>
      </c>
      <c r="S39" s="56">
        <f>'Non-Rebalanced Portfolio'!S39</f>
        <v>0.1</v>
      </c>
      <c r="T39" s="22">
        <f>F39/$I39</f>
        <v>0.2</v>
      </c>
      <c r="U39" s="56">
        <f>'Non-Rebalanced Portfolio'!U39</f>
        <v>0.2</v>
      </c>
      <c r="V39" s="22">
        <f>H39/$I39</f>
        <v>0.3</v>
      </c>
      <c r="W39" s="22">
        <f>I39/$I39</f>
        <v>1</v>
      </c>
      <c r="X39" s="24"/>
      <c r="Z39" s="22"/>
      <c r="AB39" s="21" t="str">
        <f>O39</f>
        <v>Target Allocation</v>
      </c>
      <c r="AC39" s="24">
        <f t="shared" si="2"/>
        <v>0.2</v>
      </c>
      <c r="AD39" s="24">
        <f t="shared" si="2"/>
        <v>0.3</v>
      </c>
      <c r="AE39" s="25">
        <f t="shared" si="2"/>
        <v>0.2</v>
      </c>
      <c r="AF39" s="25">
        <f t="shared" si="2"/>
        <v>0.1</v>
      </c>
      <c r="AG39" s="24">
        <f t="shared" si="2"/>
        <v>0.2</v>
      </c>
      <c r="AH39" s="25">
        <f t="shared" si="2"/>
        <v>0.2</v>
      </c>
      <c r="AI39" s="24">
        <f t="shared" si="2"/>
        <v>0.3</v>
      </c>
      <c r="AJ39" s="24">
        <f>W39</f>
        <v>1</v>
      </c>
      <c r="AL39" s="21" t="str">
        <f>AB39</f>
        <v>Target Allocation</v>
      </c>
      <c r="AM39" s="24">
        <f>AC39</f>
        <v>0.2</v>
      </c>
      <c r="AN39" s="24">
        <f t="shared" si="3"/>
        <v>0.3</v>
      </c>
      <c r="AO39" s="25">
        <f t="shared" si="3"/>
        <v>0.2</v>
      </c>
      <c r="AP39" s="25">
        <f t="shared" si="3"/>
        <v>0.1</v>
      </c>
      <c r="AQ39" s="24">
        <f t="shared" si="3"/>
        <v>0.2</v>
      </c>
      <c r="AR39" s="25">
        <f t="shared" si="3"/>
        <v>0.2</v>
      </c>
      <c r="AS39" s="24">
        <f t="shared" si="3"/>
        <v>0.3</v>
      </c>
      <c r="AT39" s="24">
        <f t="shared" si="3"/>
        <v>1</v>
      </c>
      <c r="AU39" s="2"/>
    </row>
    <row r="40" spans="1:47" x14ac:dyDescent="0.2">
      <c r="A40">
        <f t="shared" ref="A40:A64" si="4">A4</f>
        <v>1990</v>
      </c>
      <c r="B40" s="2">
        <f>B39*(1+(B4/100))</f>
        <v>19336</v>
      </c>
      <c r="C40" s="2">
        <f>C39*(1+(C4/100))</f>
        <v>25786.5</v>
      </c>
      <c r="D40" s="2"/>
      <c r="E40" s="2"/>
      <c r="F40" s="2">
        <f>F39*(1+(F4/100))</f>
        <v>17548</v>
      </c>
      <c r="G40" s="2"/>
      <c r="H40" s="2">
        <f>H39*(1+(H4/100))</f>
        <v>32595</v>
      </c>
      <c r="I40" s="2">
        <f>SUM(B40:H40)</f>
        <v>95265.5</v>
      </c>
      <c r="J40" s="2">
        <f>I40-I39</f>
        <v>-4734.5</v>
      </c>
      <c r="K40" s="6">
        <f>(J40/I39)</f>
        <v>-4.7344999999999998E-2</v>
      </c>
      <c r="L40" s="7">
        <f>K40+1</f>
        <v>0.95265500000000003</v>
      </c>
      <c r="O40">
        <f>A40</f>
        <v>1990</v>
      </c>
      <c r="P40" s="6">
        <f t="shared" ref="P40:U64" si="5">B40/$I40</f>
        <v>0.20296959549889521</v>
      </c>
      <c r="Q40" s="6">
        <f t="shared" ref="Q40:Q48" si="6">C40/$I40</f>
        <v>0.27068036172591337</v>
      </c>
      <c r="R40" s="7"/>
      <c r="S40" s="7"/>
      <c r="T40" s="6">
        <f t="shared" ref="T40:T46" si="7">F40/$I40</f>
        <v>0.184200996163354</v>
      </c>
      <c r="U40" s="7"/>
      <c r="V40" s="6">
        <f t="shared" ref="V40:V64" si="8">H40/$I40</f>
        <v>0.34214904661183743</v>
      </c>
      <c r="W40" s="6">
        <f>SUM(P40:V40)</f>
        <v>1</v>
      </c>
      <c r="X40" s="7">
        <f>SUM(P40:U40)</f>
        <v>0.65785095338816257</v>
      </c>
      <c r="Y40" s="7">
        <f>W40-(X40+V40)</f>
        <v>0</v>
      </c>
      <c r="Z40" s="6"/>
      <c r="AB40">
        <f>O40</f>
        <v>1990</v>
      </c>
      <c r="AC40" s="1" t="b">
        <f>AND((B40/$I40)&gt;0.15,(B40/$I40)&lt;0.25)</f>
        <v>1</v>
      </c>
      <c r="AD40" s="1" t="b">
        <f>AND((C40/$I40)&gt;0.25,(C40/$I40)&lt;0.35)</f>
        <v>1</v>
      </c>
      <c r="AG40" s="1" t="b">
        <f t="shared" ref="AG40:AH47" si="9">AND((F40/$I40)&gt;0.15,(F40/$I40)&lt;0.25)</f>
        <v>1</v>
      </c>
      <c r="AI40" s="1" t="b">
        <f>AND((H40/$I40)&gt;0.25,(H40/$I40)&lt;0.35)</f>
        <v>1</v>
      </c>
      <c r="AJ40" s="1" t="b">
        <f>AND((I40/$I40)&gt;0.999,(I40/$I40)&lt;1.01)</f>
        <v>1</v>
      </c>
      <c r="AL40">
        <f>A40</f>
        <v>1990</v>
      </c>
      <c r="AM40" s="2">
        <f>B40</f>
        <v>19336</v>
      </c>
      <c r="AN40" s="2">
        <f t="shared" ref="AN40:AN45" si="10">C40</f>
        <v>25786.5</v>
      </c>
      <c r="AO40" s="2"/>
      <c r="AP40" s="2"/>
      <c r="AQ40" s="2">
        <f t="shared" ref="AQ40:AQ41" si="11">F40</f>
        <v>17548</v>
      </c>
      <c r="AR40" s="2"/>
      <c r="AS40" s="2">
        <f t="shared" ref="AS40:AS64" si="12">H40</f>
        <v>32595</v>
      </c>
      <c r="AT40" s="2">
        <f>SUM(AM40:AS40)</f>
        <v>95265.5</v>
      </c>
      <c r="AU40" s="2">
        <f>AT40-I40</f>
        <v>0</v>
      </c>
    </row>
    <row r="41" spans="1:47" x14ac:dyDescent="0.2">
      <c r="A41">
        <f t="shared" si="4"/>
        <v>1991</v>
      </c>
      <c r="B41" s="2">
        <f t="shared" ref="B41:B50" si="13">AM40*(1+(B5/100))</f>
        <v>25179.339200000002</v>
      </c>
      <c r="C41" s="2">
        <f t="shared" ref="C41:C48" si="14">AN40*(1+(C5/100))</f>
        <v>36578.150250000006</v>
      </c>
      <c r="D41" s="2"/>
      <c r="E41" s="2"/>
      <c r="F41" s="2">
        <f t="shared" ref="F41:F46" si="15">AQ40*(1+(F5/100))</f>
        <v>19295.078880000001</v>
      </c>
      <c r="G41" s="2"/>
      <c r="H41" s="2">
        <f t="shared" ref="H41:H64" si="16">AS40*(1+(H5/100))</f>
        <v>37565.737500000003</v>
      </c>
      <c r="I41" s="2">
        <f t="shared" ref="I41:I64" si="17">SUM(B41:H41)</f>
        <v>118618.30583000001</v>
      </c>
      <c r="J41" s="2">
        <f t="shared" ref="J41:J64" si="18">I41-I40</f>
        <v>23352.805830000012</v>
      </c>
      <c r="K41" s="6">
        <f t="shared" ref="K41:K64" si="19">(J41/I40)</f>
        <v>0.24513392392838973</v>
      </c>
      <c r="L41" s="7">
        <f t="shared" ref="L41:L64" si="20">K41+1</f>
        <v>1.2451339239283898</v>
      </c>
      <c r="O41">
        <f t="shared" ref="O41:O64" si="21">A41</f>
        <v>1991</v>
      </c>
      <c r="P41" s="6">
        <f t="shared" si="5"/>
        <v>0.2122719509759837</v>
      </c>
      <c r="Q41" s="6">
        <f t="shared" si="6"/>
        <v>0.30836851018950356</v>
      </c>
      <c r="R41" s="7"/>
      <c r="S41" s="7"/>
      <c r="T41" s="6">
        <f t="shared" si="7"/>
        <v>0.16266527113996296</v>
      </c>
      <c r="U41" s="7"/>
      <c r="V41" s="6">
        <f t="shared" si="8"/>
        <v>0.31669426769454984</v>
      </c>
      <c r="W41" s="6">
        <f t="shared" ref="W41:W64" si="22">SUM(P41:V41)</f>
        <v>1</v>
      </c>
      <c r="X41" s="7">
        <f t="shared" ref="X41:X64" si="23">SUM(P41:U41)</f>
        <v>0.68330573230545022</v>
      </c>
      <c r="Y41" s="7">
        <f t="shared" ref="Y41:Y64" si="24">W41-(X41+V41)</f>
        <v>0</v>
      </c>
      <c r="Z41" s="6"/>
      <c r="AB41">
        <f t="shared" ref="AB41:AB64" si="25">O41</f>
        <v>1991</v>
      </c>
      <c r="AC41" s="1" t="b">
        <f t="shared" ref="AC41:AC64" si="26">AND((B41/$I41)&gt;0.15,(B41/$I41)&lt;0.25)</f>
        <v>1</v>
      </c>
      <c r="AD41" s="1" t="b">
        <f t="shared" ref="AD41:AD48" si="27">AND((C41/$I41)&gt;0.25,(C41/$I41)&lt;0.35)</f>
        <v>1</v>
      </c>
      <c r="AG41" s="1" t="b">
        <f t="shared" si="9"/>
        <v>1</v>
      </c>
      <c r="AI41" s="1" t="b">
        <f t="shared" ref="AI41:AI64" si="28">AND((H41/$I41)&gt;0.25,(H41/$I41)&lt;0.35)</f>
        <v>1</v>
      </c>
      <c r="AJ41" s="1" t="b">
        <f t="shared" ref="AJ41:AJ64" si="29">AND((I41/$I41)&gt;0.999,(I41/$I41)&lt;1.01)</f>
        <v>1</v>
      </c>
      <c r="AL41">
        <f t="shared" ref="AL41:AL64" si="30">A41</f>
        <v>1991</v>
      </c>
      <c r="AM41" s="2">
        <f>B41</f>
        <v>25179.339200000002</v>
      </c>
      <c r="AN41" s="2">
        <f t="shared" si="10"/>
        <v>36578.150250000006</v>
      </c>
      <c r="AO41" s="2"/>
      <c r="AP41" s="2"/>
      <c r="AQ41" s="2">
        <f t="shared" si="11"/>
        <v>19295.078880000001</v>
      </c>
      <c r="AR41" s="2"/>
      <c r="AS41" s="2">
        <f t="shared" si="12"/>
        <v>37565.737500000003</v>
      </c>
      <c r="AT41" s="2">
        <f t="shared" ref="AT41:AT64" si="31">I41</f>
        <v>118618.30583000001</v>
      </c>
      <c r="AU41" s="2">
        <f t="shared" ref="AU41:AU64" si="32">AT41-I41</f>
        <v>0</v>
      </c>
    </row>
    <row r="42" spans="1:47" x14ac:dyDescent="0.2">
      <c r="A42">
        <f t="shared" si="4"/>
        <v>1992</v>
      </c>
      <c r="B42" s="2">
        <f t="shared" si="13"/>
        <v>27047.646168640003</v>
      </c>
      <c r="C42" s="2">
        <f t="shared" si="14"/>
        <v>41137.982460165003</v>
      </c>
      <c r="D42" s="2"/>
      <c r="E42" s="2"/>
      <c r="F42" s="2">
        <f t="shared" si="15"/>
        <v>17612.355050875201</v>
      </c>
      <c r="G42" s="2"/>
      <c r="H42" s="2">
        <f t="shared" si="16"/>
        <v>40247.931157500003</v>
      </c>
      <c r="I42" s="2">
        <f t="shared" ref="I42:I48" si="33">SUM(B42:H42)</f>
        <v>126045.91483718021</v>
      </c>
      <c r="J42" s="2">
        <f t="shared" si="18"/>
        <v>7427.6090071802028</v>
      </c>
      <c r="K42" s="6">
        <f t="shared" si="19"/>
        <v>6.2617729659916202E-2</v>
      </c>
      <c r="L42" s="7">
        <f t="shared" si="20"/>
        <v>1.0626177296599162</v>
      </c>
      <c r="O42">
        <f t="shared" si="21"/>
        <v>1992</v>
      </c>
      <c r="P42" s="6">
        <f t="shared" si="5"/>
        <v>0.21458566272122975</v>
      </c>
      <c r="Q42" s="6">
        <f t="shared" si="6"/>
        <v>0.32637299283602317</v>
      </c>
      <c r="R42" s="7"/>
      <c r="S42" s="7"/>
      <c r="T42" s="6">
        <f t="shared" si="7"/>
        <v>0.1397296776625086</v>
      </c>
      <c r="U42" s="7"/>
      <c r="V42" s="6">
        <f t="shared" si="8"/>
        <v>0.31931166678023848</v>
      </c>
      <c r="W42" s="6">
        <f t="shared" si="22"/>
        <v>1</v>
      </c>
      <c r="X42" s="7">
        <f t="shared" si="23"/>
        <v>0.68068833321976152</v>
      </c>
      <c r="Y42" s="7">
        <f t="shared" si="24"/>
        <v>0</v>
      </c>
      <c r="Z42" s="6"/>
      <c r="AB42">
        <f t="shared" si="25"/>
        <v>1992</v>
      </c>
      <c r="AC42" s="1" t="b">
        <f t="shared" si="26"/>
        <v>1</v>
      </c>
      <c r="AD42" s="1" t="b">
        <f t="shared" si="27"/>
        <v>1</v>
      </c>
      <c r="AG42" s="39" t="b">
        <f t="shared" si="9"/>
        <v>0</v>
      </c>
      <c r="AI42" s="1" t="b">
        <f t="shared" si="28"/>
        <v>1</v>
      </c>
      <c r="AJ42" s="1" t="b">
        <f t="shared" si="29"/>
        <v>1</v>
      </c>
      <c r="AL42">
        <f t="shared" si="30"/>
        <v>1992</v>
      </c>
      <c r="AM42" s="40">
        <f>AM$39*$AT42</f>
        <v>25209.182967436045</v>
      </c>
      <c r="AN42" s="40">
        <f>AN$39*$AT42</f>
        <v>37813.774451154066</v>
      </c>
      <c r="AO42" s="2"/>
      <c r="AP42" s="2"/>
      <c r="AQ42" s="40">
        <f>AQ$39*$AT42</f>
        <v>25209.182967436045</v>
      </c>
      <c r="AR42" s="2"/>
      <c r="AS42" s="40">
        <f>AS$39*$AT42</f>
        <v>37813.774451154066</v>
      </c>
      <c r="AT42" s="2">
        <f t="shared" si="31"/>
        <v>126045.91483718021</v>
      </c>
      <c r="AU42" s="2">
        <f t="shared" si="32"/>
        <v>0</v>
      </c>
    </row>
    <row r="43" spans="1:47" x14ac:dyDescent="0.2">
      <c r="A43">
        <f t="shared" si="4"/>
        <v>1993</v>
      </c>
      <c r="B43" s="2">
        <f t="shared" si="13"/>
        <v>27702.371162915471</v>
      </c>
      <c r="C43" s="2">
        <f t="shared" si="14"/>
        <v>43292.990369126288</v>
      </c>
      <c r="D43" s="2"/>
      <c r="E43" s="2"/>
      <c r="F43" s="2">
        <f t="shared" si="15"/>
        <v>32896.471221525993</v>
      </c>
      <c r="G43" s="2"/>
      <c r="H43" s="2">
        <f t="shared" si="16"/>
        <v>41474.147818025776</v>
      </c>
      <c r="I43" s="2">
        <f t="shared" si="33"/>
        <v>145365.98057159354</v>
      </c>
      <c r="J43" s="2">
        <f t="shared" si="18"/>
        <v>19320.065734413321</v>
      </c>
      <c r="K43" s="6">
        <f t="shared" si="19"/>
        <v>0.15327800000000011</v>
      </c>
      <c r="L43" s="7">
        <f t="shared" si="20"/>
        <v>1.153278</v>
      </c>
      <c r="O43">
        <f t="shared" si="21"/>
        <v>1993</v>
      </c>
      <c r="P43" s="6">
        <f t="shared" si="5"/>
        <v>0.19056983658753571</v>
      </c>
      <c r="Q43" s="6">
        <f t="shared" si="6"/>
        <v>0.29782064688652687</v>
      </c>
      <c r="R43" s="7"/>
      <c r="S43" s="7"/>
      <c r="T43" s="38">
        <f t="shared" si="7"/>
        <v>0.22630103062748097</v>
      </c>
      <c r="U43" s="7"/>
      <c r="V43" s="6">
        <f t="shared" si="8"/>
        <v>0.28530848589845637</v>
      </c>
      <c r="W43" s="6">
        <f t="shared" si="22"/>
        <v>0.99999999999999989</v>
      </c>
      <c r="X43" s="7">
        <f t="shared" si="23"/>
        <v>0.71469151410154352</v>
      </c>
      <c r="Y43" s="7">
        <f t="shared" si="24"/>
        <v>0</v>
      </c>
      <c r="Z43" s="6"/>
      <c r="AB43">
        <f t="shared" si="25"/>
        <v>1993</v>
      </c>
      <c r="AC43" s="1" t="b">
        <f t="shared" si="26"/>
        <v>1</v>
      </c>
      <c r="AD43" s="1" t="b">
        <f t="shared" si="27"/>
        <v>1</v>
      </c>
      <c r="AG43" s="1" t="b">
        <f t="shared" si="9"/>
        <v>1</v>
      </c>
      <c r="AI43" s="1" t="b">
        <f t="shared" si="28"/>
        <v>1</v>
      </c>
      <c r="AJ43" s="1" t="b">
        <f t="shared" si="29"/>
        <v>1</v>
      </c>
      <c r="AL43">
        <f t="shared" si="30"/>
        <v>1993</v>
      </c>
      <c r="AM43" s="2">
        <f>B43</f>
        <v>27702.371162915471</v>
      </c>
      <c r="AN43" s="2">
        <f t="shared" ref="AN43" si="34">C43</f>
        <v>43292.990369126288</v>
      </c>
      <c r="AO43" s="2"/>
      <c r="AP43" s="2"/>
      <c r="AQ43" s="2">
        <f t="shared" ref="AQ43" si="35">F43</f>
        <v>32896.471221525993</v>
      </c>
      <c r="AR43" s="2"/>
      <c r="AS43" s="2">
        <f t="shared" ref="AS43" si="36">H43</f>
        <v>41474.147818025776</v>
      </c>
      <c r="AT43" s="2">
        <f t="shared" si="31"/>
        <v>145365.98057159354</v>
      </c>
      <c r="AU43" s="2">
        <f t="shared" si="32"/>
        <v>0</v>
      </c>
    </row>
    <row r="44" spans="1:47" x14ac:dyDescent="0.2">
      <c r="A44">
        <f t="shared" si="4"/>
        <v>1994</v>
      </c>
      <c r="B44" s="2">
        <f t="shared" si="13"/>
        <v>28029.259142637875</v>
      </c>
      <c r="C44" s="2">
        <f t="shared" si="14"/>
        <v>42529.302019014904</v>
      </c>
      <c r="D44" s="2"/>
      <c r="E44" s="2"/>
      <c r="F44" s="2">
        <f t="shared" si="15"/>
        <v>34625.180784217184</v>
      </c>
      <c r="G44" s="2"/>
      <c r="H44" s="2">
        <f t="shared" si="16"/>
        <v>40370.935486066293</v>
      </c>
      <c r="I44" s="2">
        <f t="shared" si="33"/>
        <v>145554.67743193626</v>
      </c>
      <c r="J44" s="2">
        <f t="shared" si="18"/>
        <v>188.69686034272308</v>
      </c>
      <c r="K44" s="6">
        <f t="shared" si="19"/>
        <v>1.2980812952297931E-3</v>
      </c>
      <c r="L44" s="7">
        <f t="shared" si="20"/>
        <v>1.0012980812952299</v>
      </c>
      <c r="O44">
        <f t="shared" si="21"/>
        <v>1994</v>
      </c>
      <c r="P44" s="6">
        <f t="shared" si="5"/>
        <v>0.19256859097327747</v>
      </c>
      <c r="Q44" s="6">
        <f t="shared" si="6"/>
        <v>0.29218780714829518</v>
      </c>
      <c r="R44" s="7"/>
      <c r="S44" s="7"/>
      <c r="T44" s="38">
        <f t="shared" si="7"/>
        <v>0.23788435655328549</v>
      </c>
      <c r="U44" s="7"/>
      <c r="V44" s="6">
        <f t="shared" si="8"/>
        <v>0.27735924532514183</v>
      </c>
      <c r="W44" s="6">
        <f t="shared" si="22"/>
        <v>1</v>
      </c>
      <c r="X44" s="7">
        <f t="shared" si="23"/>
        <v>0.72264075467485811</v>
      </c>
      <c r="Y44" s="7">
        <f t="shared" si="24"/>
        <v>0</v>
      </c>
      <c r="Z44" s="6"/>
      <c r="AB44">
        <f t="shared" si="25"/>
        <v>1994</v>
      </c>
      <c r="AC44" s="1" t="b">
        <f t="shared" si="26"/>
        <v>1</v>
      </c>
      <c r="AD44" s="1" t="b">
        <f t="shared" si="27"/>
        <v>1</v>
      </c>
      <c r="AG44" s="1" t="b">
        <f t="shared" si="9"/>
        <v>1</v>
      </c>
      <c r="AI44" s="1" t="b">
        <f t="shared" si="28"/>
        <v>1</v>
      </c>
      <c r="AJ44" s="1" t="b">
        <f t="shared" si="29"/>
        <v>1</v>
      </c>
      <c r="AL44">
        <f t="shared" si="30"/>
        <v>1994</v>
      </c>
      <c r="AM44" s="2">
        <f>B44</f>
        <v>28029.259142637875</v>
      </c>
      <c r="AN44" s="2">
        <f t="shared" ref="AN44" si="37">C44</f>
        <v>42529.302019014904</v>
      </c>
      <c r="AO44" s="2"/>
      <c r="AP44" s="2"/>
      <c r="AQ44" s="2">
        <f t="shared" ref="AQ44:AR47" si="38">F44</f>
        <v>34625.180784217184</v>
      </c>
      <c r="AR44" s="2"/>
      <c r="AS44" s="2">
        <f t="shared" ref="AS44" si="39">H44</f>
        <v>40370.935486066293</v>
      </c>
      <c r="AT44" s="2">
        <f t="shared" si="31"/>
        <v>145554.67743193626</v>
      </c>
      <c r="AU44" s="2">
        <f t="shared" si="32"/>
        <v>0</v>
      </c>
    </row>
    <row r="45" spans="1:47" x14ac:dyDescent="0.2">
      <c r="A45">
        <f t="shared" si="4"/>
        <v>1995</v>
      </c>
      <c r="B45" s="2">
        <f t="shared" si="13"/>
        <v>38526.216691555761</v>
      </c>
      <c r="C45" s="2">
        <f t="shared" si="14"/>
        <v>56902.930222381365</v>
      </c>
      <c r="D45" s="2"/>
      <c r="E45" s="2"/>
      <c r="F45" s="2">
        <f t="shared" si="15"/>
        <v>37965.125722662771</v>
      </c>
      <c r="G45" s="2"/>
      <c r="H45" s="2">
        <f t="shared" si="16"/>
        <v>47710.371557433144</v>
      </c>
      <c r="I45" s="2">
        <f t="shared" ref="I45" si="40">SUM(B45:H45)</f>
        <v>181104.64419403306</v>
      </c>
      <c r="J45" s="2">
        <f t="shared" si="18"/>
        <v>35549.966762096796</v>
      </c>
      <c r="K45" s="6">
        <f t="shared" si="19"/>
        <v>0.24423788633464247</v>
      </c>
      <c r="L45" s="7">
        <f t="shared" si="20"/>
        <v>1.2442378863346424</v>
      </c>
      <c r="O45">
        <f t="shared" si="21"/>
        <v>1995</v>
      </c>
      <c r="P45" s="6">
        <f t="shared" si="5"/>
        <v>0.21272903775056864</v>
      </c>
      <c r="Q45" s="6">
        <f t="shared" si="6"/>
        <v>0.31419917736298547</v>
      </c>
      <c r="R45" s="7"/>
      <c r="S45" s="7"/>
      <c r="T45" s="6">
        <f t="shared" si="7"/>
        <v>0.20963087883040399</v>
      </c>
      <c r="U45" s="7"/>
      <c r="V45" s="6">
        <f t="shared" si="8"/>
        <v>0.26344090605604181</v>
      </c>
      <c r="W45" s="6">
        <f t="shared" si="22"/>
        <v>1</v>
      </c>
      <c r="X45" s="7">
        <f t="shared" si="23"/>
        <v>0.73655909394395813</v>
      </c>
      <c r="Y45" s="7">
        <f t="shared" si="24"/>
        <v>0</v>
      </c>
      <c r="Z45" s="6"/>
      <c r="AB45">
        <f t="shared" si="25"/>
        <v>1995</v>
      </c>
      <c r="AC45" s="1" t="b">
        <f t="shared" si="26"/>
        <v>1</v>
      </c>
      <c r="AD45" s="1" t="b">
        <f t="shared" si="27"/>
        <v>1</v>
      </c>
      <c r="AG45" s="1" t="b">
        <f t="shared" si="9"/>
        <v>1</v>
      </c>
      <c r="AI45" s="1" t="b">
        <f t="shared" si="28"/>
        <v>1</v>
      </c>
      <c r="AJ45" s="1" t="b">
        <f t="shared" si="29"/>
        <v>1</v>
      </c>
      <c r="AL45">
        <f t="shared" si="30"/>
        <v>1995</v>
      </c>
      <c r="AM45" s="2">
        <f>B45</f>
        <v>38526.216691555761</v>
      </c>
      <c r="AN45" s="2">
        <f t="shared" si="10"/>
        <v>56902.930222381365</v>
      </c>
      <c r="AO45" s="2"/>
      <c r="AP45" s="2"/>
      <c r="AQ45" s="2">
        <f t="shared" si="38"/>
        <v>37965.125722662771</v>
      </c>
      <c r="AR45" s="2"/>
      <c r="AS45" s="2">
        <f t="shared" si="12"/>
        <v>47710.371557433144</v>
      </c>
      <c r="AT45" s="2">
        <f t="shared" si="31"/>
        <v>181104.64419403306</v>
      </c>
      <c r="AU45" s="2">
        <f t="shared" si="32"/>
        <v>0</v>
      </c>
    </row>
    <row r="46" spans="1:47" x14ac:dyDescent="0.2">
      <c r="A46">
        <f t="shared" si="4"/>
        <v>1996</v>
      </c>
      <c r="B46" s="2">
        <f t="shared" si="13"/>
        <v>47341.015070583722</v>
      </c>
      <c r="C46" s="2">
        <f t="shared" si="14"/>
        <v>66944.590318724993</v>
      </c>
      <c r="D46" s="2"/>
      <c r="E46" s="2"/>
      <c r="F46" s="2">
        <f t="shared" si="15"/>
        <v>41844.781920261681</v>
      </c>
      <c r="G46" s="2"/>
      <c r="H46" s="2">
        <f t="shared" si="16"/>
        <v>49418.402859189249</v>
      </c>
      <c r="I46" s="2">
        <f t="shared" si="33"/>
        <v>205548.79016875965</v>
      </c>
      <c r="J46" s="2">
        <f t="shared" si="18"/>
        <v>24444.145974726591</v>
      </c>
      <c r="K46" s="6">
        <f t="shared" si="19"/>
        <v>0.13497249661106131</v>
      </c>
      <c r="L46" s="7">
        <f t="shared" si="20"/>
        <v>1.1349724966110613</v>
      </c>
      <c r="O46">
        <f t="shared" si="21"/>
        <v>1996</v>
      </c>
      <c r="P46" s="6">
        <f t="shared" si="5"/>
        <v>0.23031522117797826</v>
      </c>
      <c r="Q46" s="6">
        <f t="shared" si="6"/>
        <v>0.32568710457386857</v>
      </c>
      <c r="R46" s="7"/>
      <c r="S46" s="7"/>
      <c r="T46" s="6">
        <f t="shared" si="7"/>
        <v>0.20357590957312999</v>
      </c>
      <c r="U46" s="7"/>
      <c r="V46" s="6">
        <f t="shared" si="8"/>
        <v>0.24042176467502319</v>
      </c>
      <c r="W46" s="6">
        <f t="shared" si="22"/>
        <v>1</v>
      </c>
      <c r="X46" s="7">
        <f t="shared" si="23"/>
        <v>0.75957823532497681</v>
      </c>
      <c r="Y46" s="7">
        <f t="shared" si="24"/>
        <v>0</v>
      </c>
      <c r="Z46" s="6"/>
      <c r="AB46">
        <f t="shared" si="25"/>
        <v>1996</v>
      </c>
      <c r="AC46" s="1" t="b">
        <f t="shared" si="26"/>
        <v>1</v>
      </c>
      <c r="AD46" s="1" t="b">
        <f t="shared" si="27"/>
        <v>1</v>
      </c>
      <c r="AG46" s="1" t="b">
        <f t="shared" si="9"/>
        <v>1</v>
      </c>
      <c r="AI46" s="39" t="b">
        <f t="shared" si="28"/>
        <v>0</v>
      </c>
      <c r="AJ46" s="1" t="b">
        <f t="shared" si="29"/>
        <v>1</v>
      </c>
      <c r="AL46">
        <f t="shared" si="30"/>
        <v>1996</v>
      </c>
      <c r="AM46" s="40">
        <f>AM$39*$AT46</f>
        <v>41109.758033751932</v>
      </c>
      <c r="AN46" s="40">
        <f>AN$39*$AT46</f>
        <v>61664.637050627891</v>
      </c>
      <c r="AO46" s="2"/>
      <c r="AP46" s="2"/>
      <c r="AQ46" s="40">
        <f>AQ$39*$AT46</f>
        <v>41109.758033751932</v>
      </c>
      <c r="AR46" s="2"/>
      <c r="AS46" s="40">
        <f>AS$39*$AT46</f>
        <v>61664.637050627891</v>
      </c>
      <c r="AT46" s="2">
        <f t="shared" si="31"/>
        <v>205548.79016875965</v>
      </c>
      <c r="AU46" s="2">
        <f t="shared" si="32"/>
        <v>0</v>
      </c>
    </row>
    <row r="47" spans="1:47" x14ac:dyDescent="0.2">
      <c r="A47">
        <f t="shared" si="4"/>
        <v>1997</v>
      </c>
      <c r="B47" s="2">
        <f t="shared" si="13"/>
        <v>54754.0867251542</v>
      </c>
      <c r="C47" s="2">
        <f t="shared" si="14"/>
        <v>78121.078740328958</v>
      </c>
      <c r="D47" s="2"/>
      <c r="E47" s="2"/>
      <c r="F47" s="2"/>
      <c r="G47" s="2">
        <f>AQ46*(1+(G11/100))</f>
        <v>40791.157408990352</v>
      </c>
      <c r="H47" s="2">
        <f t="shared" si="16"/>
        <v>67485.778788207172</v>
      </c>
      <c r="I47" s="2">
        <f t="shared" si="33"/>
        <v>241152.10166268068</v>
      </c>
      <c r="J47" s="2">
        <f t="shared" si="18"/>
        <v>35603.311493921035</v>
      </c>
      <c r="K47" s="6">
        <f t="shared" si="19"/>
        <v>0.17321100000000003</v>
      </c>
      <c r="L47" s="7">
        <f t="shared" si="20"/>
        <v>1.173211</v>
      </c>
      <c r="O47">
        <f t="shared" si="21"/>
        <v>1997</v>
      </c>
      <c r="P47" s="6">
        <f t="shared" si="5"/>
        <v>0.22705208185057932</v>
      </c>
      <c r="Q47" s="6">
        <f t="shared" si="6"/>
        <v>0.32394940040623554</v>
      </c>
      <c r="R47" s="7"/>
      <c r="S47" s="7"/>
      <c r="T47" s="6"/>
      <c r="U47" s="6">
        <f t="shared" si="5"/>
        <v>0.16915115865773506</v>
      </c>
      <c r="V47" s="6">
        <f t="shared" si="8"/>
        <v>0.27984735908545011</v>
      </c>
      <c r="W47" s="6">
        <f t="shared" si="22"/>
        <v>1</v>
      </c>
      <c r="X47" s="7">
        <f t="shared" si="23"/>
        <v>0.72015264091455</v>
      </c>
      <c r="Y47" s="7">
        <f t="shared" si="24"/>
        <v>0</v>
      </c>
      <c r="Z47" s="6"/>
      <c r="AB47">
        <f t="shared" si="25"/>
        <v>1997</v>
      </c>
      <c r="AC47" s="1" t="b">
        <f t="shared" si="26"/>
        <v>1</v>
      </c>
      <c r="AD47" s="1" t="b">
        <f t="shared" si="27"/>
        <v>1</v>
      </c>
      <c r="AG47" s="1"/>
      <c r="AH47" s="1" t="b">
        <f t="shared" si="9"/>
        <v>1</v>
      </c>
      <c r="AI47" s="1" t="b">
        <f t="shared" si="28"/>
        <v>1</v>
      </c>
      <c r="AJ47" s="1" t="b">
        <f t="shared" si="29"/>
        <v>1</v>
      </c>
      <c r="AL47">
        <f t="shared" si="30"/>
        <v>1997</v>
      </c>
      <c r="AM47" s="2">
        <f>B47</f>
        <v>54754.0867251542</v>
      </c>
      <c r="AN47" s="2">
        <f t="shared" ref="AN47" si="41">C47</f>
        <v>78121.078740328958</v>
      </c>
      <c r="AO47" s="2"/>
      <c r="AP47" s="2"/>
      <c r="AQ47" s="2"/>
      <c r="AR47" s="2">
        <f t="shared" si="38"/>
        <v>40791.157408990352</v>
      </c>
      <c r="AS47" s="2">
        <f t="shared" ref="AS47" si="42">H47</f>
        <v>67485.778788207172</v>
      </c>
      <c r="AT47" s="2">
        <f t="shared" si="31"/>
        <v>241152.10166268068</v>
      </c>
      <c r="AU47" s="2">
        <f t="shared" si="32"/>
        <v>0</v>
      </c>
    </row>
    <row r="48" spans="1:47" x14ac:dyDescent="0.2">
      <c r="A48">
        <f t="shared" si="4"/>
        <v>1998</v>
      </c>
      <c r="B48" s="2">
        <f t="shared" si="13"/>
        <v>70446.607980583387</v>
      </c>
      <c r="C48" s="2">
        <f t="shared" si="14"/>
        <v>84646.532447508638</v>
      </c>
      <c r="D48" s="2"/>
      <c r="E48" s="2"/>
      <c r="F48" s="2"/>
      <c r="G48" s="2">
        <f>AR47*(1+(G12/100))</f>
        <v>47155.801699515112</v>
      </c>
      <c r="H48" s="2">
        <f t="shared" si="16"/>
        <v>73276.058608235355</v>
      </c>
      <c r="I48" s="2">
        <f t="shared" si="33"/>
        <v>275525.00073584251</v>
      </c>
      <c r="J48" s="2">
        <f t="shared" si="18"/>
        <v>34372.899073161825</v>
      </c>
      <c r="K48" s="6">
        <f t="shared" si="19"/>
        <v>0.14253617876920696</v>
      </c>
      <c r="L48" s="7">
        <f t="shared" si="20"/>
        <v>1.142536178769207</v>
      </c>
      <c r="O48">
        <f t="shared" si="21"/>
        <v>1998</v>
      </c>
      <c r="P48" s="6">
        <f t="shared" si="5"/>
        <v>0.25568136391413543</v>
      </c>
      <c r="Q48" s="6">
        <f t="shared" si="6"/>
        <v>0.30721906259484183</v>
      </c>
      <c r="R48" s="7"/>
      <c r="S48" s="7"/>
      <c r="T48" s="6"/>
      <c r="U48" s="6">
        <f t="shared" si="5"/>
        <v>0.17114890327039822</v>
      </c>
      <c r="V48" s="38">
        <f t="shared" si="8"/>
        <v>0.26595067022062441</v>
      </c>
      <c r="W48" s="6">
        <f t="shared" si="22"/>
        <v>0.99999999999999978</v>
      </c>
      <c r="X48" s="7">
        <f t="shared" si="23"/>
        <v>0.73404932977937543</v>
      </c>
      <c r="Y48" s="7">
        <f t="shared" si="24"/>
        <v>0</v>
      </c>
      <c r="Z48" s="6"/>
      <c r="AB48">
        <f t="shared" si="25"/>
        <v>1998</v>
      </c>
      <c r="AC48" s="39" t="b">
        <f t="shared" si="26"/>
        <v>0</v>
      </c>
      <c r="AD48" s="1" t="b">
        <f t="shared" si="27"/>
        <v>1</v>
      </c>
      <c r="AG48" s="1"/>
      <c r="AH48" s="1" t="b">
        <f t="shared" ref="AH48:AH56" si="43">AND((G48/$I48)&gt;0.15,(G48/$I48)&lt;0.25)</f>
        <v>1</v>
      </c>
      <c r="AI48" s="1" t="b">
        <f t="shared" si="28"/>
        <v>1</v>
      </c>
      <c r="AJ48" s="1" t="b">
        <f t="shared" si="29"/>
        <v>1</v>
      </c>
      <c r="AL48">
        <f t="shared" si="30"/>
        <v>1998</v>
      </c>
      <c r="AM48" s="40">
        <f>AM$39*$AT48</f>
        <v>55105.000147168503</v>
      </c>
      <c r="AN48" s="40">
        <f>AN$39*$AT48</f>
        <v>82657.500220752743</v>
      </c>
      <c r="AO48" s="2"/>
      <c r="AP48" s="2"/>
      <c r="AQ48" s="2"/>
      <c r="AR48" s="40">
        <f>AR$39*$AT48</f>
        <v>55105.000147168503</v>
      </c>
      <c r="AS48" s="40">
        <f>AS$39*$AT48</f>
        <v>82657.500220752743</v>
      </c>
      <c r="AT48" s="2">
        <f t="shared" si="31"/>
        <v>275525.00073584251</v>
      </c>
      <c r="AU48" s="2">
        <f t="shared" si="32"/>
        <v>0</v>
      </c>
    </row>
    <row r="49" spans="1:47" x14ac:dyDescent="0.2">
      <c r="A49">
        <f t="shared" si="4"/>
        <v>1999</v>
      </c>
      <c r="B49" s="2">
        <f t="shared" si="13"/>
        <v>66715.623678176911</v>
      </c>
      <c r="C49" s="2"/>
      <c r="D49" s="2">
        <f>(AN48*0.67)*(1+(D13/100))</f>
        <v>63864.267795311804</v>
      </c>
      <c r="E49" s="2">
        <f>(AN48*0.33)*(1+(E13/100))</f>
        <v>33586.95771645043</v>
      </c>
      <c r="F49" s="2"/>
      <c r="G49" s="2">
        <f t="shared" ref="G49:G64" si="44">AR48*(1+(G13/100))</f>
        <v>71591.865141199843</v>
      </c>
      <c r="H49" s="2">
        <f t="shared" si="16"/>
        <v>82029.303219075024</v>
      </c>
      <c r="I49" s="2">
        <f t="shared" si="17"/>
        <v>317788.01755021402</v>
      </c>
      <c r="J49" s="2">
        <f t="shared" si="18"/>
        <v>42263.016814371513</v>
      </c>
      <c r="K49" s="6">
        <f t="shared" si="19"/>
        <v>0.15339085999999999</v>
      </c>
      <c r="L49" s="7">
        <f t="shared" si="20"/>
        <v>1.15339086</v>
      </c>
      <c r="O49">
        <f t="shared" si="21"/>
        <v>1999</v>
      </c>
      <c r="P49" s="6">
        <f t="shared" si="5"/>
        <v>0.20993750548708182</v>
      </c>
      <c r="Q49" s="6"/>
      <c r="R49" s="6">
        <f t="shared" ref="R49:R50" si="45">D49/$I49</f>
        <v>0.20096499637599</v>
      </c>
      <c r="S49" s="6">
        <f t="shared" ref="S49:S50" si="46">E49/$I49</f>
        <v>0.1056898179338789</v>
      </c>
      <c r="T49" s="6"/>
      <c r="U49" s="6">
        <f t="shared" si="5"/>
        <v>0.225281826838822</v>
      </c>
      <c r="V49" s="6">
        <f t="shared" si="8"/>
        <v>0.25812585336422728</v>
      </c>
      <c r="W49" s="6">
        <f t="shared" si="22"/>
        <v>1</v>
      </c>
      <c r="X49" s="7">
        <f t="shared" si="23"/>
        <v>0.74187414663577278</v>
      </c>
      <c r="Y49" s="7">
        <f t="shared" si="24"/>
        <v>0</v>
      </c>
      <c r="Z49" s="6"/>
      <c r="AA49" s="1"/>
      <c r="AB49">
        <f t="shared" si="25"/>
        <v>1999</v>
      </c>
      <c r="AC49" s="1" t="b">
        <f t="shared" ref="AC49" si="47">AND((B49/$I49)&gt;0.15,(B49/$I49)&lt;0.25)</f>
        <v>1</v>
      </c>
      <c r="AD49" s="1"/>
      <c r="AE49" s="1" t="b">
        <f>AND((D49/$I49)&gt;0.15,(D49/$I49)&lt;0.25)</f>
        <v>1</v>
      </c>
      <c r="AF49" s="1" t="b">
        <f>AND((E49/$I49)&gt;0.05,(E49/$I49)&lt;0.15)</f>
        <v>1</v>
      </c>
      <c r="AG49" s="1"/>
      <c r="AH49" s="1" t="b">
        <f t="shared" si="43"/>
        <v>1</v>
      </c>
      <c r="AI49" s="1" t="b">
        <f t="shared" ref="AI49" si="48">AND((H49/$I49)&gt;0.25,(H49/$I49)&lt;0.35)</f>
        <v>1</v>
      </c>
      <c r="AJ49" s="1" t="b">
        <f t="shared" ref="AJ49" si="49">AND((I49/$I49)&gt;0.999,(I49/$I49)&lt;1.01)</f>
        <v>1</v>
      </c>
      <c r="AL49">
        <f t="shared" si="30"/>
        <v>1999</v>
      </c>
      <c r="AM49" s="2">
        <f>B49</f>
        <v>66715.623678176911</v>
      </c>
      <c r="AN49" s="2"/>
      <c r="AO49" s="26">
        <f t="shared" ref="AO49:AP51" si="50">D49</f>
        <v>63864.267795311804</v>
      </c>
      <c r="AP49" s="26">
        <f t="shared" si="50"/>
        <v>33586.95771645043</v>
      </c>
      <c r="AQ49" s="2"/>
      <c r="AR49" s="2">
        <f t="shared" ref="AR49" si="51">G49</f>
        <v>71591.865141199843</v>
      </c>
      <c r="AS49" s="2">
        <f t="shared" ref="AS49" si="52">H49</f>
        <v>82029.303219075024</v>
      </c>
      <c r="AT49" s="2">
        <f t="shared" si="31"/>
        <v>317788.01755021402</v>
      </c>
      <c r="AU49" s="2">
        <f t="shared" si="32"/>
        <v>0</v>
      </c>
    </row>
    <row r="50" spans="1:47" x14ac:dyDescent="0.2">
      <c r="A50">
        <f t="shared" si="4"/>
        <v>2000</v>
      </c>
      <c r="B50" s="2">
        <f t="shared" si="13"/>
        <v>60671.188172934082</v>
      </c>
      <c r="C50" s="2"/>
      <c r="D50" s="2">
        <f t="shared" ref="D50:D51" si="53">AO49*(1+(D14/100))</f>
        <v>75422.422980907329</v>
      </c>
      <c r="E50" s="2">
        <f t="shared" ref="E50:E51" si="54">AP49*(1+(E14/100))</f>
        <v>32691.865293307026</v>
      </c>
      <c r="F50" s="2"/>
      <c r="G50" s="2">
        <f t="shared" si="44"/>
        <v>60413.511318052901</v>
      </c>
      <c r="H50" s="2">
        <f t="shared" si="16"/>
        <v>91372.440855727677</v>
      </c>
      <c r="I50" s="2">
        <f t="shared" si="17"/>
        <v>320571.42862092901</v>
      </c>
      <c r="J50" s="2">
        <f t="shared" si="18"/>
        <v>2783.4110707149957</v>
      </c>
      <c r="K50" s="6">
        <f t="shared" si="19"/>
        <v>8.7587036546309862E-3</v>
      </c>
      <c r="L50" s="7">
        <f t="shared" si="20"/>
        <v>1.0087587036546311</v>
      </c>
      <c r="O50">
        <f t="shared" si="21"/>
        <v>2000</v>
      </c>
      <c r="P50" s="38">
        <f t="shared" si="5"/>
        <v>0.18925949961896593</v>
      </c>
      <c r="Q50" s="6"/>
      <c r="R50" s="6">
        <f t="shared" si="45"/>
        <v>0.2352749379611532</v>
      </c>
      <c r="S50" s="6">
        <f t="shared" si="46"/>
        <v>0.10197997193307166</v>
      </c>
      <c r="T50" s="7"/>
      <c r="U50" s="6">
        <f t="shared" si="5"/>
        <v>0.18845569481331098</v>
      </c>
      <c r="V50" s="6">
        <f t="shared" si="8"/>
        <v>0.28502989567349823</v>
      </c>
      <c r="W50" s="6">
        <f t="shared" si="22"/>
        <v>1</v>
      </c>
      <c r="X50" s="7">
        <f t="shared" si="23"/>
        <v>0.71497010432650177</v>
      </c>
      <c r="Y50" s="7">
        <f t="shared" si="24"/>
        <v>0</v>
      </c>
      <c r="Z50" s="6"/>
      <c r="AB50">
        <f t="shared" si="25"/>
        <v>2000</v>
      </c>
      <c r="AC50" s="1" t="b">
        <f t="shared" si="26"/>
        <v>1</v>
      </c>
      <c r="AD50" s="1"/>
      <c r="AE50" s="1" t="b">
        <f>AND((D50/$I50)&gt;0.15,(D50/$I50)&lt;0.25)</f>
        <v>1</v>
      </c>
      <c r="AF50" s="1" t="b">
        <f>AND((E50/$I50)&gt;0.05,(E50/$I50)&lt;0.15)</f>
        <v>1</v>
      </c>
      <c r="AH50" s="1" t="b">
        <f t="shared" si="43"/>
        <v>1</v>
      </c>
      <c r="AI50" s="1" t="b">
        <f t="shared" si="28"/>
        <v>1</v>
      </c>
      <c r="AJ50" s="1" t="b">
        <f t="shared" si="29"/>
        <v>1</v>
      </c>
      <c r="AL50">
        <f t="shared" si="30"/>
        <v>2000</v>
      </c>
      <c r="AM50" s="2">
        <f>B50</f>
        <v>60671.188172934082</v>
      </c>
      <c r="AN50" s="2"/>
      <c r="AO50" s="26">
        <f t="shared" si="50"/>
        <v>75422.422980907329</v>
      </c>
      <c r="AP50" s="26">
        <f t="shared" si="50"/>
        <v>32691.865293307026</v>
      </c>
      <c r="AQ50" s="2"/>
      <c r="AR50" s="2">
        <f t="shared" ref="AR50" si="55">G50</f>
        <v>60413.511318052901</v>
      </c>
      <c r="AS50" s="2">
        <f t="shared" ref="AS50" si="56">H50</f>
        <v>91372.440855727677</v>
      </c>
      <c r="AT50" s="2">
        <f t="shared" si="31"/>
        <v>320571.42862092901</v>
      </c>
      <c r="AU50" s="2">
        <f t="shared" si="32"/>
        <v>0</v>
      </c>
    </row>
    <row r="51" spans="1:47" x14ac:dyDescent="0.2">
      <c r="A51">
        <f t="shared" si="4"/>
        <v>2001</v>
      </c>
      <c r="B51" s="2">
        <f t="shared" ref="B51:B64" si="57">AM50*(1+(B15/100))</f>
        <v>53378.511354547409</v>
      </c>
      <c r="C51" s="2"/>
      <c r="D51" s="2">
        <f t="shared" si="53"/>
        <v>75046.065090232602</v>
      </c>
      <c r="E51" s="2">
        <f t="shared" si="54"/>
        <v>33705.313117399543</v>
      </c>
      <c r="F51" s="2"/>
      <c r="G51" s="2">
        <f t="shared" si="44"/>
        <v>48238.376382125702</v>
      </c>
      <c r="H51" s="2">
        <f t="shared" si="16"/>
        <v>99075.13761986552</v>
      </c>
      <c r="I51" s="2">
        <f t="shared" si="17"/>
        <v>309443.40356417082</v>
      </c>
      <c r="J51" s="2">
        <f t="shared" si="18"/>
        <v>-11128.025056758197</v>
      </c>
      <c r="K51" s="6">
        <f t="shared" si="19"/>
        <v>-3.4713090635151149E-2</v>
      </c>
      <c r="L51" s="7">
        <f t="shared" si="20"/>
        <v>0.96528690936484884</v>
      </c>
      <c r="O51">
        <f t="shared" si="21"/>
        <v>2001</v>
      </c>
      <c r="P51" s="6">
        <f t="shared" si="5"/>
        <v>0.1724984625289582</v>
      </c>
      <c r="Q51" s="7"/>
      <c r="R51" s="6">
        <f t="shared" si="5"/>
        <v>0.24251951803092783</v>
      </c>
      <c r="S51" s="6">
        <f t="shared" si="5"/>
        <v>0.10892238363843457</v>
      </c>
      <c r="T51" s="7"/>
      <c r="U51" s="6">
        <f t="shared" si="5"/>
        <v>0.15588755755177139</v>
      </c>
      <c r="V51" s="6">
        <f t="shared" si="8"/>
        <v>0.3201720782499079</v>
      </c>
      <c r="W51" s="6">
        <f t="shared" si="22"/>
        <v>0.99999999999999989</v>
      </c>
      <c r="X51" s="7">
        <f t="shared" si="23"/>
        <v>0.67982792175009199</v>
      </c>
      <c r="Y51" s="7">
        <f t="shared" si="24"/>
        <v>0</v>
      </c>
      <c r="Z51" s="6"/>
      <c r="AB51">
        <f t="shared" si="25"/>
        <v>2001</v>
      </c>
      <c r="AC51" s="1" t="b">
        <f t="shared" si="26"/>
        <v>1</v>
      </c>
      <c r="AE51" s="1" t="b">
        <f>AND((D51/$I51)&gt;0.15,(D51/$I51)&lt;0.25)</f>
        <v>1</v>
      </c>
      <c r="AF51" s="1" t="b">
        <f>AND((E51/$I51)&gt;0.05,(E51/$I51)&lt;0.15)</f>
        <v>1</v>
      </c>
      <c r="AH51" s="1" t="b">
        <f t="shared" si="43"/>
        <v>1</v>
      </c>
      <c r="AI51" s="1" t="b">
        <f t="shared" si="28"/>
        <v>1</v>
      </c>
      <c r="AJ51" s="1" t="b">
        <f t="shared" si="29"/>
        <v>1</v>
      </c>
      <c r="AL51">
        <f t="shared" si="30"/>
        <v>2001</v>
      </c>
      <c r="AM51" s="2">
        <f>B51</f>
        <v>53378.511354547409</v>
      </c>
      <c r="AN51" s="2"/>
      <c r="AO51" s="26">
        <f t="shared" si="50"/>
        <v>75046.065090232602</v>
      </c>
      <c r="AP51" s="26">
        <f t="shared" si="50"/>
        <v>33705.313117399543</v>
      </c>
      <c r="AQ51" s="2"/>
      <c r="AR51" s="2">
        <f t="shared" ref="AR51" si="58">G51</f>
        <v>48238.376382125702</v>
      </c>
      <c r="AS51" s="2">
        <f t="shared" ref="AS51" si="59">H51</f>
        <v>99075.13761986552</v>
      </c>
      <c r="AT51" s="2">
        <f t="shared" si="31"/>
        <v>309443.40356417082</v>
      </c>
      <c r="AU51" s="2">
        <f t="shared" si="32"/>
        <v>0</v>
      </c>
    </row>
    <row r="52" spans="1:47" x14ac:dyDescent="0.2">
      <c r="A52">
        <f t="shared" si="4"/>
        <v>2002</v>
      </c>
      <c r="B52" s="2">
        <f t="shared" si="57"/>
        <v>41555.171089515155</v>
      </c>
      <c r="C52" s="2"/>
      <c r="D52" s="2">
        <f t="shared" ref="D52:D64" si="60">AO51*(1+(D16/100))</f>
        <v>64083.335901851424</v>
      </c>
      <c r="E52" s="2">
        <f t="shared" ref="E52:E64" si="61">AP51*(1+(E16/100))</f>
        <v>26956.835325033808</v>
      </c>
      <c r="F52" s="2"/>
      <c r="G52" s="2">
        <f t="shared" si="44"/>
        <v>40962.582072409677</v>
      </c>
      <c r="H52" s="2">
        <f t="shared" si="16"/>
        <v>107258.74398726641</v>
      </c>
      <c r="I52" s="2">
        <f t="shared" si="17"/>
        <v>280816.6683760765</v>
      </c>
      <c r="J52" s="2">
        <f t="shared" si="18"/>
        <v>-28626.735188094317</v>
      </c>
      <c r="K52" s="6">
        <f t="shared" si="19"/>
        <v>-9.2510406938300913E-2</v>
      </c>
      <c r="L52" s="7">
        <f t="shared" si="20"/>
        <v>0.90748959306169907</v>
      </c>
      <c r="O52">
        <f t="shared" si="21"/>
        <v>2002</v>
      </c>
      <c r="P52" s="6">
        <f t="shared" si="5"/>
        <v>0.14797971690862546</v>
      </c>
      <c r="Q52" s="7"/>
      <c r="R52" s="6">
        <f t="shared" ref="R52:R64" si="62">D52/$I52</f>
        <v>0.22820346196839522</v>
      </c>
      <c r="S52" s="6">
        <f t="shared" ref="S52:S64" si="63">E52/$I52</f>
        <v>9.5994427542073671E-2</v>
      </c>
      <c r="T52" s="7"/>
      <c r="U52" s="6">
        <f t="shared" si="5"/>
        <v>0.14586948242527967</v>
      </c>
      <c r="V52" s="6">
        <f t="shared" si="8"/>
        <v>0.38195291115562591</v>
      </c>
      <c r="W52" s="6">
        <f t="shared" si="22"/>
        <v>0.99999999999999989</v>
      </c>
      <c r="X52" s="7">
        <f t="shared" si="23"/>
        <v>0.61804708884437398</v>
      </c>
      <c r="Y52" s="7">
        <f t="shared" si="24"/>
        <v>0</v>
      </c>
      <c r="Z52" s="6"/>
      <c r="AB52">
        <f t="shared" si="25"/>
        <v>2002</v>
      </c>
      <c r="AC52" s="1" t="b">
        <f t="shared" si="26"/>
        <v>0</v>
      </c>
      <c r="AE52" s="1" t="b">
        <f t="shared" ref="AE52:AE64" si="64">AND((D52/$I52)&gt;0.15,(D52/$I52)&lt;0.25)</f>
        <v>1</v>
      </c>
      <c r="AF52" s="1" t="b">
        <f t="shared" ref="AF52:AF64" si="65">AND((E52/$I52)&gt;0.05,(E52/$I52)&lt;0.15)</f>
        <v>1</v>
      </c>
      <c r="AH52" s="1" t="b">
        <f t="shared" si="43"/>
        <v>0</v>
      </c>
      <c r="AI52" s="39" t="b">
        <f t="shared" si="28"/>
        <v>0</v>
      </c>
      <c r="AJ52" s="1" t="b">
        <f t="shared" si="29"/>
        <v>1</v>
      </c>
      <c r="AL52" s="1">
        <f t="shared" si="30"/>
        <v>2002</v>
      </c>
      <c r="AM52" s="40">
        <f>AM$39*$AT52</f>
        <v>56163.333675215305</v>
      </c>
      <c r="AN52" s="40"/>
      <c r="AO52" s="40">
        <f t="shared" ref="AO52:AP53" si="66">AO$39*$AT52</f>
        <v>56163.333675215305</v>
      </c>
      <c r="AP52" s="40">
        <f t="shared" si="66"/>
        <v>28081.666837607652</v>
      </c>
      <c r="AQ52" s="40"/>
      <c r="AR52" s="40">
        <f t="shared" ref="AR52:AS53" si="67">AR$39*$AT52</f>
        <v>56163.333675215305</v>
      </c>
      <c r="AS52" s="40">
        <f t="shared" si="67"/>
        <v>84245.000512822953</v>
      </c>
      <c r="AT52" s="2">
        <f t="shared" si="31"/>
        <v>280816.6683760765</v>
      </c>
      <c r="AU52" s="2">
        <f t="shared" si="32"/>
        <v>0</v>
      </c>
    </row>
    <row r="53" spans="1:47" x14ac:dyDescent="0.2">
      <c r="A53">
        <f t="shared" si="4"/>
        <v>2003</v>
      </c>
      <c r="B53" s="2">
        <f t="shared" si="57"/>
        <v>72169.883772651665</v>
      </c>
      <c r="C53" s="2"/>
      <c r="D53" s="2">
        <f t="shared" si="60"/>
        <v>75338.619058607321</v>
      </c>
      <c r="E53" s="2">
        <f t="shared" si="61"/>
        <v>40894.769782271273</v>
      </c>
      <c r="F53" s="2"/>
      <c r="G53" s="2">
        <f t="shared" si="44"/>
        <v>78819.622479797152</v>
      </c>
      <c r="H53" s="2">
        <f t="shared" si="16"/>
        <v>87589.527033182036</v>
      </c>
      <c r="I53" s="2">
        <f t="shared" si="17"/>
        <v>354812.42212650942</v>
      </c>
      <c r="J53" s="2">
        <f t="shared" si="18"/>
        <v>73995.753750432923</v>
      </c>
      <c r="K53" s="6">
        <f t="shared" si="19"/>
        <v>0.26350200000000007</v>
      </c>
      <c r="L53" s="7">
        <f t="shared" si="20"/>
        <v>1.2635020000000001</v>
      </c>
      <c r="O53">
        <f t="shared" si="21"/>
        <v>2003</v>
      </c>
      <c r="P53" s="6">
        <f t="shared" si="5"/>
        <v>0.20340292298706295</v>
      </c>
      <c r="Q53" s="7"/>
      <c r="R53" s="6">
        <f t="shared" si="62"/>
        <v>0.21233365677300078</v>
      </c>
      <c r="S53" s="6">
        <f t="shared" si="63"/>
        <v>0.11525743528700391</v>
      </c>
      <c r="T53" s="7"/>
      <c r="U53" s="6">
        <f t="shared" si="5"/>
        <v>0.22214448414011215</v>
      </c>
      <c r="V53" s="6">
        <f t="shared" si="8"/>
        <v>0.24686150081282027</v>
      </c>
      <c r="W53" s="6">
        <f t="shared" si="22"/>
        <v>1</v>
      </c>
      <c r="X53" s="7">
        <f t="shared" si="23"/>
        <v>0.75313849918717979</v>
      </c>
      <c r="Y53" s="7">
        <f t="shared" si="24"/>
        <v>0</v>
      </c>
      <c r="Z53" s="6"/>
      <c r="AB53">
        <f t="shared" si="25"/>
        <v>2003</v>
      </c>
      <c r="AC53" s="1" t="b">
        <f t="shared" si="26"/>
        <v>1</v>
      </c>
      <c r="AE53" s="1" t="b">
        <f t="shared" si="64"/>
        <v>1</v>
      </c>
      <c r="AF53" s="1" t="b">
        <f t="shared" si="65"/>
        <v>1</v>
      </c>
      <c r="AH53" s="1" t="b">
        <f t="shared" si="43"/>
        <v>1</v>
      </c>
      <c r="AI53" s="39" t="b">
        <f t="shared" si="28"/>
        <v>0</v>
      </c>
      <c r="AJ53" s="1" t="b">
        <f t="shared" si="29"/>
        <v>1</v>
      </c>
      <c r="AL53">
        <f t="shared" si="30"/>
        <v>2003</v>
      </c>
      <c r="AM53" s="40">
        <f>AM$39*$AT53</f>
        <v>70962.484425301882</v>
      </c>
      <c r="AN53" s="2"/>
      <c r="AO53" s="40">
        <f t="shared" si="66"/>
        <v>70962.484425301882</v>
      </c>
      <c r="AP53" s="40">
        <f t="shared" si="66"/>
        <v>35481.242212650941</v>
      </c>
      <c r="AQ53" s="2"/>
      <c r="AR53" s="40">
        <f t="shared" si="67"/>
        <v>70962.484425301882</v>
      </c>
      <c r="AS53" s="40">
        <f t="shared" si="67"/>
        <v>106443.72663795283</v>
      </c>
      <c r="AT53" s="2">
        <f t="shared" si="31"/>
        <v>354812.42212650942</v>
      </c>
      <c r="AU53" s="2">
        <f t="shared" si="32"/>
        <v>0</v>
      </c>
    </row>
    <row r="54" spans="1:47" x14ac:dyDescent="0.2">
      <c r="A54">
        <f t="shared" si="4"/>
        <v>2004</v>
      </c>
      <c r="B54" s="2">
        <f t="shared" si="57"/>
        <v>78583.855252579306</v>
      </c>
      <c r="C54" s="2"/>
      <c r="D54" s="2">
        <f t="shared" si="60"/>
        <v>85405.478880383569</v>
      </c>
      <c r="E54" s="2">
        <f t="shared" si="61"/>
        <v>42540.944975702099</v>
      </c>
      <c r="F54" s="2"/>
      <c r="G54" s="2">
        <f t="shared" si="44"/>
        <v>85748.937305002037</v>
      </c>
      <c r="H54" s="2">
        <f t="shared" si="16"/>
        <v>110956.94064740204</v>
      </c>
      <c r="I54" s="2">
        <f t="shared" si="17"/>
        <v>403236.15706106898</v>
      </c>
      <c r="J54" s="2">
        <f t="shared" si="18"/>
        <v>48423.734934559558</v>
      </c>
      <c r="K54" s="6">
        <f t="shared" si="19"/>
        <v>0.13647699999999979</v>
      </c>
      <c r="L54" s="7">
        <f t="shared" si="20"/>
        <v>1.1364769999999997</v>
      </c>
      <c r="O54">
        <f t="shared" si="21"/>
        <v>2004</v>
      </c>
      <c r="P54" s="38">
        <f t="shared" si="5"/>
        <v>0.19488295847606246</v>
      </c>
      <c r="Q54" s="7"/>
      <c r="R54" s="6">
        <f t="shared" si="62"/>
        <v>0.21180015081695452</v>
      </c>
      <c r="S54" s="6">
        <f t="shared" si="63"/>
        <v>0.1054988354361769</v>
      </c>
      <c r="T54" s="7"/>
      <c r="U54" s="38">
        <f t="shared" si="5"/>
        <v>0.21265190584587285</v>
      </c>
      <c r="V54" s="38">
        <f t="shared" si="8"/>
        <v>0.27516614942493345</v>
      </c>
      <c r="W54" s="6">
        <f t="shared" si="22"/>
        <v>1</v>
      </c>
      <c r="X54" s="7">
        <f t="shared" si="23"/>
        <v>0.72483385057506666</v>
      </c>
      <c r="Y54" s="7">
        <f t="shared" si="24"/>
        <v>0</v>
      </c>
      <c r="Z54" s="6"/>
      <c r="AB54">
        <f t="shared" si="25"/>
        <v>2004</v>
      </c>
      <c r="AC54" s="1" t="b">
        <f t="shared" si="26"/>
        <v>1</v>
      </c>
      <c r="AE54" s="1" t="b">
        <f t="shared" si="64"/>
        <v>1</v>
      </c>
      <c r="AF54" s="1" t="b">
        <f t="shared" si="65"/>
        <v>1</v>
      </c>
      <c r="AH54" s="1" t="b">
        <f t="shared" si="43"/>
        <v>1</v>
      </c>
      <c r="AI54" s="1" t="b">
        <f t="shared" si="28"/>
        <v>1</v>
      </c>
      <c r="AJ54" s="1" t="b">
        <f t="shared" si="29"/>
        <v>1</v>
      </c>
      <c r="AL54">
        <f t="shared" si="30"/>
        <v>2004</v>
      </c>
      <c r="AM54" s="2">
        <f>B54</f>
        <v>78583.855252579306</v>
      </c>
      <c r="AN54" s="2"/>
      <c r="AO54" s="26">
        <f>D54</f>
        <v>85405.478880383569</v>
      </c>
      <c r="AP54" s="26">
        <f>E54</f>
        <v>42540.944975702099</v>
      </c>
      <c r="AQ54" s="2"/>
      <c r="AR54" s="2">
        <f t="shared" ref="AR54" si="68">G54</f>
        <v>85748.937305002037</v>
      </c>
      <c r="AS54" s="2">
        <f t="shared" ref="AS54" si="69">H54</f>
        <v>110956.94064740204</v>
      </c>
      <c r="AT54" s="2">
        <f t="shared" si="31"/>
        <v>403236.15706106898</v>
      </c>
      <c r="AU54" s="2">
        <f t="shared" si="32"/>
        <v>0</v>
      </c>
    </row>
    <row r="55" spans="1:47" x14ac:dyDescent="0.2">
      <c r="A55">
        <f t="shared" si="4"/>
        <v>2005</v>
      </c>
      <c r="B55" s="2">
        <f t="shared" si="57"/>
        <v>82332.305148127343</v>
      </c>
      <c r="C55" s="2"/>
      <c r="D55" s="2">
        <f t="shared" si="60"/>
        <v>97303.316143209813</v>
      </c>
      <c r="E55" s="2">
        <f t="shared" si="61"/>
        <v>45673.234754263045</v>
      </c>
      <c r="F55" s="2"/>
      <c r="G55" s="2">
        <f t="shared" si="44"/>
        <v>99100.904332763908</v>
      </c>
      <c r="H55" s="2">
        <f t="shared" si="16"/>
        <v>113619.90722293968</v>
      </c>
      <c r="I55" s="2">
        <f t="shared" si="17"/>
        <v>438029.66760130378</v>
      </c>
      <c r="J55" s="2">
        <f t="shared" si="18"/>
        <v>34793.510540234798</v>
      </c>
      <c r="K55" s="6">
        <f t="shared" si="19"/>
        <v>8.6285691228243255E-2</v>
      </c>
      <c r="L55" s="7">
        <f t="shared" si="20"/>
        <v>1.0862856912282433</v>
      </c>
      <c r="O55">
        <f t="shared" si="21"/>
        <v>2005</v>
      </c>
      <c r="P55" s="6">
        <f t="shared" si="5"/>
        <v>0.18796056805692557</v>
      </c>
      <c r="Q55" s="7"/>
      <c r="R55" s="6">
        <f t="shared" si="62"/>
        <v>0.22213864343037068</v>
      </c>
      <c r="S55" s="6">
        <f t="shared" si="63"/>
        <v>0.10426972904455183</v>
      </c>
      <c r="T55" s="7"/>
      <c r="U55" s="6">
        <f t="shared" si="5"/>
        <v>0.2262424480867947</v>
      </c>
      <c r="V55" s="38">
        <f t="shared" si="8"/>
        <v>0.25938861138135727</v>
      </c>
      <c r="W55" s="6">
        <f t="shared" si="22"/>
        <v>1</v>
      </c>
      <c r="X55" s="7">
        <f t="shared" si="23"/>
        <v>0.74061138861864273</v>
      </c>
      <c r="Y55" s="7">
        <f t="shared" si="24"/>
        <v>0</v>
      </c>
      <c r="Z55" s="6"/>
      <c r="AB55">
        <f t="shared" si="25"/>
        <v>2005</v>
      </c>
      <c r="AC55" s="1" t="b">
        <f t="shared" si="26"/>
        <v>1</v>
      </c>
      <c r="AE55" s="1" t="b">
        <f t="shared" si="64"/>
        <v>1</v>
      </c>
      <c r="AF55" s="1" t="b">
        <f t="shared" si="65"/>
        <v>1</v>
      </c>
      <c r="AH55" s="1" t="b">
        <f t="shared" si="43"/>
        <v>1</v>
      </c>
      <c r="AI55" s="1" t="b">
        <f t="shared" si="28"/>
        <v>1</v>
      </c>
      <c r="AJ55" s="1" t="b">
        <f t="shared" si="29"/>
        <v>1</v>
      </c>
      <c r="AL55">
        <f t="shared" si="30"/>
        <v>2005</v>
      </c>
      <c r="AM55" s="2">
        <f>B55</f>
        <v>82332.305148127343</v>
      </c>
      <c r="AN55" s="2"/>
      <c r="AO55" s="26">
        <f>D55</f>
        <v>97303.316143209813</v>
      </c>
      <c r="AP55" s="26">
        <f>E55</f>
        <v>45673.234754263045</v>
      </c>
      <c r="AQ55" s="2"/>
      <c r="AR55" s="2">
        <f t="shared" ref="AR55" si="70">G55</f>
        <v>99100.904332763908</v>
      </c>
      <c r="AS55" s="2">
        <f t="shared" ref="AS55" si="71">H55</f>
        <v>113619.90722293968</v>
      </c>
      <c r="AT55" s="2">
        <f t="shared" si="31"/>
        <v>438029.66760130378</v>
      </c>
      <c r="AU55" s="2">
        <f t="shared" si="32"/>
        <v>0</v>
      </c>
    </row>
    <row r="56" spans="1:47" x14ac:dyDescent="0.2">
      <c r="A56">
        <f t="shared" si="4"/>
        <v>2006</v>
      </c>
      <c r="B56" s="2">
        <f t="shared" si="57"/>
        <v>95209.077673294465</v>
      </c>
      <c r="C56" s="2"/>
      <c r="D56" s="2">
        <f t="shared" si="60"/>
        <v>110533.64803920205</v>
      </c>
      <c r="E56" s="2">
        <f t="shared" si="61"/>
        <v>52823.836387390467</v>
      </c>
      <c r="F56" s="2"/>
      <c r="G56" s="2">
        <f t="shared" si="44"/>
        <v>125498.41221988223</v>
      </c>
      <c r="H56" s="2">
        <f t="shared" si="16"/>
        <v>118471.47726135921</v>
      </c>
      <c r="I56" s="2">
        <f t="shared" si="17"/>
        <v>502536.45158112841</v>
      </c>
      <c r="J56" s="2">
        <f>I56-I55</f>
        <v>64506.783979824628</v>
      </c>
      <c r="K56" s="6">
        <f>(J56/I55)</f>
        <v>0.14726578757340916</v>
      </c>
      <c r="L56" s="7">
        <f t="shared" si="20"/>
        <v>1.1472657875734091</v>
      </c>
      <c r="O56">
        <f t="shared" si="21"/>
        <v>2006</v>
      </c>
      <c r="P56" s="6">
        <f t="shared" si="5"/>
        <v>0.18945705803775731</v>
      </c>
      <c r="Q56" s="7"/>
      <c r="R56" s="6">
        <f t="shared" si="62"/>
        <v>0.21995150340125671</v>
      </c>
      <c r="S56" s="6">
        <f t="shared" si="63"/>
        <v>0.10511443741283054</v>
      </c>
      <c r="T56" s="7"/>
      <c r="U56" s="6">
        <f t="shared" si="5"/>
        <v>0.24972996849288659</v>
      </c>
      <c r="V56" s="6">
        <f t="shared" si="8"/>
        <v>0.23574703265526883</v>
      </c>
      <c r="W56" s="6">
        <f t="shared" si="22"/>
        <v>1</v>
      </c>
      <c r="X56" s="7">
        <f t="shared" si="23"/>
        <v>0.76425296734473114</v>
      </c>
      <c r="Y56" s="7">
        <f t="shared" si="24"/>
        <v>0</v>
      </c>
      <c r="Z56" s="6"/>
      <c r="AB56">
        <f t="shared" si="25"/>
        <v>2006</v>
      </c>
      <c r="AC56" s="1" t="b">
        <f t="shared" si="26"/>
        <v>1</v>
      </c>
      <c r="AE56" s="1" t="b">
        <f t="shared" si="64"/>
        <v>1</v>
      </c>
      <c r="AF56" s="1" t="b">
        <f t="shared" si="65"/>
        <v>1</v>
      </c>
      <c r="AH56" s="1" t="b">
        <f t="shared" si="43"/>
        <v>1</v>
      </c>
      <c r="AI56" s="39" t="b">
        <f t="shared" si="28"/>
        <v>0</v>
      </c>
      <c r="AJ56" s="1" t="b">
        <f t="shared" si="29"/>
        <v>1</v>
      </c>
      <c r="AL56">
        <f t="shared" si="30"/>
        <v>2006</v>
      </c>
      <c r="AM56" s="40">
        <f>AM$39*$AT56</f>
        <v>100507.29031622568</v>
      </c>
      <c r="AN56" s="2"/>
      <c r="AO56" s="40">
        <f>AO$39*$AT56</f>
        <v>100507.29031622568</v>
      </c>
      <c r="AP56" s="40">
        <f>AP$39*$AT56</f>
        <v>50253.645158112842</v>
      </c>
      <c r="AQ56" s="2"/>
      <c r="AR56" s="40">
        <f>AR$39*$AT56</f>
        <v>100507.29031622568</v>
      </c>
      <c r="AS56" s="40">
        <f>AS$39*$AT56</f>
        <v>150760.9354743385</v>
      </c>
      <c r="AT56" s="2">
        <f t="shared" si="31"/>
        <v>502536.45158112841</v>
      </c>
      <c r="AU56" s="2">
        <f t="shared" si="32"/>
        <v>0</v>
      </c>
    </row>
    <row r="57" spans="1:47" x14ac:dyDescent="0.2">
      <c r="A57">
        <f t="shared" si="4"/>
        <v>2007</v>
      </c>
      <c r="B57" s="2">
        <f t="shared" si="57"/>
        <v>105924.63326427026</v>
      </c>
      <c r="C57" s="2"/>
      <c r="D57" s="2">
        <f t="shared" si="60"/>
        <v>106558.83426616565</v>
      </c>
      <c r="E57" s="2">
        <f t="shared" si="61"/>
        <v>50834.577296140626</v>
      </c>
      <c r="F57" s="2"/>
      <c r="G57" s="2">
        <f t="shared" si="44"/>
        <v>116108.03191911023</v>
      </c>
      <c r="H57" s="2">
        <f t="shared" si="16"/>
        <v>161193.59220916271</v>
      </c>
      <c r="I57" s="2">
        <f t="shared" si="17"/>
        <v>540619.66895484948</v>
      </c>
      <c r="J57" s="2">
        <f t="shared" si="18"/>
        <v>38083.217373721069</v>
      </c>
      <c r="K57" s="6">
        <f t="shared" si="19"/>
        <v>7.5781999999999988E-2</v>
      </c>
      <c r="L57" s="7">
        <f t="shared" si="20"/>
        <v>1.075782</v>
      </c>
      <c r="O57">
        <f t="shared" si="21"/>
        <v>2007</v>
      </c>
      <c r="P57" s="6">
        <f t="shared" si="5"/>
        <v>0.19593188954639512</v>
      </c>
      <c r="Q57" s="7"/>
      <c r="R57" s="6">
        <f t="shared" si="62"/>
        <v>0.19710498967262888</v>
      </c>
      <c r="S57" s="6">
        <f t="shared" si="63"/>
        <v>9.4030203145246904E-2</v>
      </c>
      <c r="T57" s="7"/>
      <c r="U57" s="6">
        <f t="shared" si="5"/>
        <v>0.21476841962405022</v>
      </c>
      <c r="V57" s="6">
        <f t="shared" si="8"/>
        <v>0.29816449801167888</v>
      </c>
      <c r="W57" s="6">
        <f t="shared" si="22"/>
        <v>1</v>
      </c>
      <c r="X57" s="7">
        <f t="shared" si="23"/>
        <v>0.70183550198832112</v>
      </c>
      <c r="Y57" s="7">
        <f t="shared" si="24"/>
        <v>0</v>
      </c>
      <c r="Z57" s="6"/>
      <c r="AB57">
        <f t="shared" si="25"/>
        <v>2007</v>
      </c>
      <c r="AC57" s="1" t="b">
        <f t="shared" si="26"/>
        <v>1</v>
      </c>
      <c r="AE57" s="1" t="b">
        <f t="shared" si="64"/>
        <v>1</v>
      </c>
      <c r="AF57" s="1" t="b">
        <f t="shared" si="65"/>
        <v>1</v>
      </c>
      <c r="AH57" s="1" t="b">
        <f t="shared" ref="AH57:AH64" si="72">AND((G57/$I57)&gt;0.15,(G57/$I57)&lt;0.25)</f>
        <v>1</v>
      </c>
      <c r="AI57" s="1" t="b">
        <f t="shared" si="28"/>
        <v>1</v>
      </c>
      <c r="AJ57" s="1" t="b">
        <f t="shared" si="29"/>
        <v>1</v>
      </c>
      <c r="AL57">
        <f t="shared" si="30"/>
        <v>2007</v>
      </c>
      <c r="AM57" s="2">
        <f>B57</f>
        <v>105924.63326427026</v>
      </c>
      <c r="AN57" s="2"/>
      <c r="AO57" s="26">
        <f>D57</f>
        <v>106558.83426616565</v>
      </c>
      <c r="AP57" s="26">
        <f>E57</f>
        <v>50834.577296140626</v>
      </c>
      <c r="AQ57" s="2"/>
      <c r="AR57" s="2">
        <f t="shared" ref="AR57" si="73">G57</f>
        <v>116108.03191911023</v>
      </c>
      <c r="AS57" s="2">
        <f t="shared" ref="AS57" si="74">H57</f>
        <v>161193.59220916271</v>
      </c>
      <c r="AT57" s="2">
        <f t="shared" si="31"/>
        <v>540619.66895484948</v>
      </c>
      <c r="AU57" s="2">
        <f t="shared" si="32"/>
        <v>0</v>
      </c>
    </row>
    <row r="58" spans="1:47" x14ac:dyDescent="0.2">
      <c r="A58">
        <f t="shared" si="4"/>
        <v>2008</v>
      </c>
      <c r="B58" s="2">
        <f t="shared" si="57"/>
        <v>66711.334029837395</v>
      </c>
      <c r="C58" s="2"/>
      <c r="D58" s="2">
        <f t="shared" si="60"/>
        <v>61991.667422684535</v>
      </c>
      <c r="E58" s="2">
        <f t="shared" si="61"/>
        <v>32498.545265422701</v>
      </c>
      <c r="F58" s="2"/>
      <c r="G58" s="2">
        <f t="shared" si="44"/>
        <v>64903.228762463426</v>
      </c>
      <c r="H58" s="2">
        <f t="shared" si="16"/>
        <v>169333.86861572543</v>
      </c>
      <c r="I58" s="2">
        <f t="shared" si="17"/>
        <v>395438.64409613353</v>
      </c>
      <c r="J58" s="2">
        <f t="shared" si="18"/>
        <v>-145181.02485871594</v>
      </c>
      <c r="K58" s="6">
        <f t="shared" si="19"/>
        <v>-0.26854558425405889</v>
      </c>
      <c r="L58" s="7">
        <f t="shared" si="20"/>
        <v>0.73145441574594106</v>
      </c>
      <c r="O58">
        <f t="shared" si="21"/>
        <v>2008</v>
      </c>
      <c r="P58" s="6">
        <f t="shared" si="5"/>
        <v>0.16870211099960039</v>
      </c>
      <c r="Q58" s="7"/>
      <c r="R58" s="6">
        <f t="shared" si="62"/>
        <v>0.1567668419569383</v>
      </c>
      <c r="S58" s="6">
        <f t="shared" si="63"/>
        <v>8.2183534033972938E-2</v>
      </c>
      <c r="T58" s="7"/>
      <c r="U58" s="6">
        <f t="shared" si="5"/>
        <v>0.16412970692536832</v>
      </c>
      <c r="V58" s="38">
        <f t="shared" si="8"/>
        <v>0.42821780608411991</v>
      </c>
      <c r="W58" s="6">
        <f t="shared" si="22"/>
        <v>0.99999999999999978</v>
      </c>
      <c r="X58" s="7">
        <f t="shared" si="23"/>
        <v>0.57178219391587992</v>
      </c>
      <c r="Y58" s="7">
        <f t="shared" si="24"/>
        <v>0</v>
      </c>
      <c r="Z58" s="6"/>
      <c r="AB58">
        <f t="shared" si="25"/>
        <v>2008</v>
      </c>
      <c r="AC58" s="1" t="b">
        <f t="shared" si="26"/>
        <v>1</v>
      </c>
      <c r="AE58" s="1" t="b">
        <f t="shared" si="64"/>
        <v>1</v>
      </c>
      <c r="AF58" s="1" t="b">
        <f t="shared" si="65"/>
        <v>1</v>
      </c>
      <c r="AH58" s="1" t="b">
        <f t="shared" si="72"/>
        <v>1</v>
      </c>
      <c r="AI58" s="39" t="b">
        <f t="shared" si="28"/>
        <v>0</v>
      </c>
      <c r="AJ58" s="1" t="b">
        <f t="shared" si="29"/>
        <v>1</v>
      </c>
      <c r="AL58">
        <f t="shared" si="30"/>
        <v>2008</v>
      </c>
      <c r="AM58" s="40">
        <f>AM$39*$AT58</f>
        <v>79087.728819226715</v>
      </c>
      <c r="AN58" s="2"/>
      <c r="AO58" s="40">
        <f>AO$39*$AT58</f>
        <v>79087.728819226715</v>
      </c>
      <c r="AP58" s="40">
        <f>AP$39*$AT58</f>
        <v>39543.864409613358</v>
      </c>
      <c r="AQ58" s="63"/>
      <c r="AR58" s="40">
        <f>AR$39*$AT58</f>
        <v>79087.728819226715</v>
      </c>
      <c r="AS58" s="40">
        <f>AS$39*$AT58</f>
        <v>118631.59322884005</v>
      </c>
      <c r="AT58" s="2">
        <f t="shared" si="31"/>
        <v>395438.64409613353</v>
      </c>
      <c r="AU58" s="2">
        <f t="shared" si="32"/>
        <v>0</v>
      </c>
    </row>
    <row r="59" spans="1:47" x14ac:dyDescent="0.2">
      <c r="A59">
        <f t="shared" si="4"/>
        <v>2009</v>
      </c>
      <c r="B59" s="2">
        <f t="shared" si="57"/>
        <v>100038.06818343987</v>
      </c>
      <c r="C59" s="2"/>
      <c r="D59" s="2">
        <f t="shared" si="60"/>
        <v>110895.23159574332</v>
      </c>
      <c r="E59" s="2">
        <f t="shared" si="61"/>
        <v>53826.317357077511</v>
      </c>
      <c r="F59" s="2"/>
      <c r="G59" s="2">
        <f t="shared" si="44"/>
        <v>108134.27898266411</v>
      </c>
      <c r="H59" s="2">
        <f t="shared" si="16"/>
        <v>125666.44670731026</v>
      </c>
      <c r="I59" s="2">
        <f t="shared" si="17"/>
        <v>498560.34282623505</v>
      </c>
      <c r="J59" s="2">
        <f t="shared" si="18"/>
        <v>103121.69873010152</v>
      </c>
      <c r="K59" s="6">
        <f t="shared" si="19"/>
        <v>0.26077800000000001</v>
      </c>
      <c r="L59" s="7">
        <f t="shared" si="20"/>
        <v>1.260778</v>
      </c>
      <c r="O59">
        <f t="shared" si="21"/>
        <v>2009</v>
      </c>
      <c r="P59" s="6">
        <f t="shared" si="5"/>
        <v>0.20065388196811812</v>
      </c>
      <c r="Q59" s="7"/>
      <c r="R59" s="6">
        <f t="shared" si="62"/>
        <v>0.22243091170689847</v>
      </c>
      <c r="S59" s="6">
        <f t="shared" si="63"/>
        <v>0.10796349555591866</v>
      </c>
      <c r="T59" s="7"/>
      <c r="U59" s="6">
        <f t="shared" si="5"/>
        <v>0.21689306126851834</v>
      </c>
      <c r="V59" s="6">
        <f t="shared" si="8"/>
        <v>0.25205864950054646</v>
      </c>
      <c r="W59" s="6">
        <f t="shared" si="22"/>
        <v>1</v>
      </c>
      <c r="X59" s="7">
        <f t="shared" si="23"/>
        <v>0.74794135049945365</v>
      </c>
      <c r="Y59" s="7">
        <f t="shared" si="24"/>
        <v>0</v>
      </c>
      <c r="Z59" s="6"/>
      <c r="AA59" s="7"/>
      <c r="AB59">
        <f t="shared" si="25"/>
        <v>2009</v>
      </c>
      <c r="AC59" s="1" t="b">
        <f t="shared" si="26"/>
        <v>1</v>
      </c>
      <c r="AE59" s="1" t="b">
        <f t="shared" si="64"/>
        <v>1</v>
      </c>
      <c r="AF59" s="1" t="b">
        <f t="shared" si="65"/>
        <v>1</v>
      </c>
      <c r="AH59" s="1" t="b">
        <f t="shared" si="72"/>
        <v>1</v>
      </c>
      <c r="AI59" s="1" t="b">
        <f t="shared" si="28"/>
        <v>1</v>
      </c>
      <c r="AJ59" s="1" t="b">
        <f t="shared" si="29"/>
        <v>1</v>
      </c>
      <c r="AL59">
        <f t="shared" si="30"/>
        <v>2009</v>
      </c>
      <c r="AM59" s="2">
        <f>B59</f>
        <v>100038.06818343987</v>
      </c>
      <c r="AN59" s="2"/>
      <c r="AO59" s="26">
        <f>D59</f>
        <v>110895.23159574332</v>
      </c>
      <c r="AP59" s="26">
        <f>E59</f>
        <v>53826.317357077511</v>
      </c>
      <c r="AQ59" s="2"/>
      <c r="AR59" s="2">
        <f t="shared" ref="AR59" si="75">G59</f>
        <v>108134.27898266411</v>
      </c>
      <c r="AS59" s="2">
        <f t="shared" ref="AS59" si="76">H59</f>
        <v>125666.44670731026</v>
      </c>
      <c r="AT59" s="2">
        <f t="shared" si="31"/>
        <v>498560.34282623505</v>
      </c>
      <c r="AU59" s="2">
        <f t="shared" si="32"/>
        <v>0</v>
      </c>
    </row>
    <row r="60" spans="1:47" x14ac:dyDescent="0.2">
      <c r="A60">
        <f t="shared" si="4"/>
        <v>2010</v>
      </c>
      <c r="B60" s="2">
        <f t="shared" si="57"/>
        <v>114953.74414959076</v>
      </c>
      <c r="C60" s="2"/>
      <c r="D60" s="2">
        <f t="shared" si="60"/>
        <v>139129.15756001955</v>
      </c>
      <c r="E60" s="2">
        <f t="shared" si="61"/>
        <v>68746.972528459402</v>
      </c>
      <c r="F60" s="2"/>
      <c r="G60" s="2">
        <f t="shared" si="44"/>
        <v>120158.81080553636</v>
      </c>
      <c r="H60" s="2">
        <f t="shared" si="16"/>
        <v>133734.23258591958</v>
      </c>
      <c r="I60" s="2">
        <f t="shared" si="17"/>
        <v>576722.91762952565</v>
      </c>
      <c r="J60" s="2">
        <f t="shared" si="18"/>
        <v>78162.574803290598</v>
      </c>
      <c r="K60" s="6">
        <f t="shared" si="19"/>
        <v>0.15677655860111775</v>
      </c>
      <c r="L60" s="7">
        <f t="shared" si="20"/>
        <v>1.1567765586011178</v>
      </c>
      <c r="O60">
        <f t="shared" si="21"/>
        <v>2010</v>
      </c>
      <c r="P60" s="6">
        <f t="shared" si="5"/>
        <v>0.19932230996139216</v>
      </c>
      <c r="Q60" s="7"/>
      <c r="R60" s="6">
        <f t="shared" si="62"/>
        <v>0.24124090322589387</v>
      </c>
      <c r="S60" s="6">
        <f t="shared" si="63"/>
        <v>0.1192027755911392</v>
      </c>
      <c r="T60" s="7"/>
      <c r="U60" s="6">
        <f t="shared" si="5"/>
        <v>0.20834755674253227</v>
      </c>
      <c r="V60" s="6">
        <f t="shared" si="8"/>
        <v>0.23188645447904252</v>
      </c>
      <c r="W60" s="6">
        <f t="shared" si="22"/>
        <v>1</v>
      </c>
      <c r="X60" s="7">
        <f t="shared" si="23"/>
        <v>0.76811354552095745</v>
      </c>
      <c r="Y60" s="7">
        <f t="shared" si="24"/>
        <v>0</v>
      </c>
      <c r="Z60" s="6"/>
      <c r="AB60">
        <f t="shared" si="25"/>
        <v>2010</v>
      </c>
      <c r="AC60" s="1" t="b">
        <f t="shared" si="26"/>
        <v>1</v>
      </c>
      <c r="AE60" s="1" t="b">
        <f t="shared" si="64"/>
        <v>1</v>
      </c>
      <c r="AF60" s="1" t="b">
        <f t="shared" si="65"/>
        <v>1</v>
      </c>
      <c r="AH60" s="1" t="b">
        <f t="shared" si="72"/>
        <v>1</v>
      </c>
      <c r="AI60" s="39" t="b">
        <f t="shared" si="28"/>
        <v>0</v>
      </c>
      <c r="AJ60" s="1" t="b">
        <f t="shared" si="29"/>
        <v>1</v>
      </c>
      <c r="AL60">
        <f t="shared" si="30"/>
        <v>2010</v>
      </c>
      <c r="AM60" s="40">
        <f>AM$39*$AT60</f>
        <v>115344.58352590514</v>
      </c>
      <c r="AN60" s="2"/>
      <c r="AO60" s="40">
        <f>AO$39*$AT60</f>
        <v>115344.58352590514</v>
      </c>
      <c r="AP60" s="40">
        <f>AP$39*$AT60</f>
        <v>57672.291762952569</v>
      </c>
      <c r="AQ60" s="63"/>
      <c r="AR60" s="40">
        <f>AR$39*$AT60</f>
        <v>115344.58352590514</v>
      </c>
      <c r="AS60" s="40">
        <f>AS$39*$AT60</f>
        <v>173016.8752888577</v>
      </c>
      <c r="AT60" s="2">
        <f t="shared" si="31"/>
        <v>576722.91762952565</v>
      </c>
      <c r="AU60" s="2">
        <f t="shared" si="32"/>
        <v>0</v>
      </c>
    </row>
    <row r="61" spans="1:47" x14ac:dyDescent="0.2">
      <c r="A61">
        <f t="shared" si="4"/>
        <v>2011</v>
      </c>
      <c r="B61" s="2">
        <f t="shared" si="57"/>
        <v>117616.87182136548</v>
      </c>
      <c r="C61" s="2"/>
      <c r="D61" s="2">
        <f t="shared" si="60"/>
        <v>112910.81281350854</v>
      </c>
      <c r="E61" s="2">
        <f t="shared" si="61"/>
        <v>56057.467593589892</v>
      </c>
      <c r="F61" s="2"/>
      <c r="G61" s="2">
        <f t="shared" si="44"/>
        <v>98550.412164533351</v>
      </c>
      <c r="H61" s="2">
        <f t="shared" si="16"/>
        <v>186096.95106069537</v>
      </c>
      <c r="I61" s="2">
        <f t="shared" si="17"/>
        <v>571232.51545369264</v>
      </c>
      <c r="J61" s="2">
        <f t="shared" si="18"/>
        <v>-5490.4021758330055</v>
      </c>
      <c r="K61" s="6">
        <f t="shared" si="19"/>
        <v>-9.5199999999998636E-3</v>
      </c>
      <c r="L61" s="7">
        <f t="shared" si="20"/>
        <v>0.99048000000000014</v>
      </c>
      <c r="O61">
        <f t="shared" si="21"/>
        <v>2011</v>
      </c>
      <c r="P61" s="6">
        <f t="shared" si="5"/>
        <v>0.20590016961473226</v>
      </c>
      <c r="Q61" s="7"/>
      <c r="R61" s="6">
        <f t="shared" si="62"/>
        <v>0.19766173976253937</v>
      </c>
      <c r="S61" s="6">
        <f t="shared" si="63"/>
        <v>9.8134237945238664E-2</v>
      </c>
      <c r="T61" s="7"/>
      <c r="U61" s="6">
        <f t="shared" si="5"/>
        <v>0.17252241337533317</v>
      </c>
      <c r="V61" s="6">
        <f t="shared" si="8"/>
        <v>0.32578143930215653</v>
      </c>
      <c r="W61" s="6">
        <f t="shared" si="22"/>
        <v>1</v>
      </c>
      <c r="X61" s="7">
        <f t="shared" si="23"/>
        <v>0.67421856069784347</v>
      </c>
      <c r="Y61" s="7">
        <f t="shared" si="24"/>
        <v>0</v>
      </c>
      <c r="Z61" s="6"/>
      <c r="AB61">
        <f t="shared" si="25"/>
        <v>2011</v>
      </c>
      <c r="AC61" s="1" t="b">
        <f t="shared" si="26"/>
        <v>1</v>
      </c>
      <c r="AE61" s="1" t="b">
        <f t="shared" si="64"/>
        <v>1</v>
      </c>
      <c r="AF61" s="1" t="b">
        <f t="shared" si="65"/>
        <v>1</v>
      </c>
      <c r="AH61" s="1" t="b">
        <f t="shared" si="72"/>
        <v>1</v>
      </c>
      <c r="AI61" s="1" t="b">
        <f t="shared" si="28"/>
        <v>1</v>
      </c>
      <c r="AJ61" s="1" t="b">
        <f t="shared" si="29"/>
        <v>1</v>
      </c>
      <c r="AL61">
        <f t="shared" si="30"/>
        <v>2011</v>
      </c>
      <c r="AM61" s="2">
        <f>B61</f>
        <v>117616.87182136548</v>
      </c>
      <c r="AN61" s="2"/>
      <c r="AO61" s="26">
        <f t="shared" ref="AO61" si="77">D61</f>
        <v>112910.81281350854</v>
      </c>
      <c r="AP61" s="26">
        <f t="shared" ref="AP61" si="78">E61</f>
        <v>56057.467593589892</v>
      </c>
      <c r="AQ61" s="2"/>
      <c r="AR61" s="2">
        <f t="shared" ref="AR61" si="79">G61</f>
        <v>98550.412164533351</v>
      </c>
      <c r="AS61" s="2">
        <f t="shared" ref="AS61" si="80">H61</f>
        <v>186096.95106069537</v>
      </c>
      <c r="AT61" s="2">
        <f t="shared" si="31"/>
        <v>571232.51545369264</v>
      </c>
      <c r="AU61" s="2">
        <f t="shared" si="32"/>
        <v>0</v>
      </c>
    </row>
    <row r="62" spans="1:47" x14ac:dyDescent="0.2">
      <c r="A62">
        <f t="shared" si="4"/>
        <v>2012</v>
      </c>
      <c r="B62" s="2">
        <f t="shared" si="57"/>
        <v>136223.86094350548</v>
      </c>
      <c r="C62" s="2"/>
      <c r="D62" s="2">
        <f t="shared" si="60"/>
        <v>130750.72123804288</v>
      </c>
      <c r="E62" s="2">
        <f t="shared" si="61"/>
        <v>66170.234747473514</v>
      </c>
      <c r="F62" s="2"/>
      <c r="G62" s="2">
        <f t="shared" si="44"/>
        <v>116427.45693117969</v>
      </c>
      <c r="H62" s="2">
        <f t="shared" si="16"/>
        <v>193633.87757865354</v>
      </c>
      <c r="I62" s="2">
        <f t="shared" si="17"/>
        <v>643206.1514388551</v>
      </c>
      <c r="J62" s="2">
        <f t="shared" si="18"/>
        <v>71973.635985162458</v>
      </c>
      <c r="K62" s="6">
        <f t="shared" si="19"/>
        <v>0.12599709231887563</v>
      </c>
      <c r="L62" s="7">
        <f t="shared" si="20"/>
        <v>1.1259970923188756</v>
      </c>
      <c r="O62">
        <f t="shared" si="21"/>
        <v>2012</v>
      </c>
      <c r="P62" s="6">
        <f t="shared" si="5"/>
        <v>0.21178880307467843</v>
      </c>
      <c r="Q62" s="7"/>
      <c r="R62" s="6">
        <f t="shared" si="62"/>
        <v>0.20327964983785202</v>
      </c>
      <c r="S62" s="6">
        <f t="shared" si="63"/>
        <v>0.1028756248668493</v>
      </c>
      <c r="T62" s="7"/>
      <c r="U62" s="6">
        <f t="shared" si="5"/>
        <v>0.18101110611385005</v>
      </c>
      <c r="V62" s="6">
        <f t="shared" si="8"/>
        <v>0.30104481610677025</v>
      </c>
      <c r="W62" s="6">
        <f t="shared" si="22"/>
        <v>1</v>
      </c>
      <c r="X62" s="7">
        <f t="shared" si="23"/>
        <v>0.69895518389322986</v>
      </c>
      <c r="Y62" s="7">
        <f t="shared" si="24"/>
        <v>0</v>
      </c>
      <c r="Z62" s="6"/>
      <c r="AB62">
        <f t="shared" si="25"/>
        <v>2012</v>
      </c>
      <c r="AC62" s="1" t="b">
        <f t="shared" si="26"/>
        <v>1</v>
      </c>
      <c r="AE62" s="1" t="b">
        <f t="shared" si="64"/>
        <v>1</v>
      </c>
      <c r="AF62" s="1" t="b">
        <f t="shared" si="65"/>
        <v>1</v>
      </c>
      <c r="AH62" s="1" t="b">
        <f t="shared" si="72"/>
        <v>1</v>
      </c>
      <c r="AI62" s="1" t="b">
        <f t="shared" si="28"/>
        <v>1</v>
      </c>
      <c r="AJ62" s="1" t="b">
        <f t="shared" si="29"/>
        <v>1</v>
      </c>
      <c r="AL62">
        <f t="shared" si="30"/>
        <v>2012</v>
      </c>
      <c r="AM62" s="2">
        <f>B62</f>
        <v>136223.86094350548</v>
      </c>
      <c r="AN62" s="2"/>
      <c r="AO62" s="26">
        <f t="shared" ref="AO62:AP64" si="81">D62</f>
        <v>130750.72123804288</v>
      </c>
      <c r="AP62" s="26">
        <f t="shared" si="81"/>
        <v>66170.234747473514</v>
      </c>
      <c r="AQ62" s="2"/>
      <c r="AR62" s="2">
        <f t="shared" ref="AR62" si="82">G62</f>
        <v>116427.45693117969</v>
      </c>
      <c r="AS62" s="2">
        <f t="shared" ref="AS62" si="83">H62</f>
        <v>193633.87757865354</v>
      </c>
      <c r="AT62" s="2">
        <f t="shared" si="31"/>
        <v>643206.1514388551</v>
      </c>
      <c r="AU62" s="2">
        <f t="shared" si="32"/>
        <v>0</v>
      </c>
    </row>
    <row r="63" spans="1:47" x14ac:dyDescent="0.2">
      <c r="A63">
        <f t="shared" si="4"/>
        <v>2013</v>
      </c>
      <c r="B63" s="2">
        <f t="shared" si="57"/>
        <v>180060.69939512556</v>
      </c>
      <c r="C63" s="2"/>
      <c r="D63" s="2">
        <f t="shared" si="60"/>
        <v>176513.4736713579</v>
      </c>
      <c r="E63" s="2">
        <f t="shared" si="61"/>
        <v>91063.477059473036</v>
      </c>
      <c r="F63" s="2"/>
      <c r="G63" s="2">
        <f t="shared" si="44"/>
        <v>133938.1464536291</v>
      </c>
      <c r="H63" s="2">
        <f t="shared" si="16"/>
        <v>189257.75194537599</v>
      </c>
      <c r="I63" s="2">
        <f t="shared" si="17"/>
        <v>770833.54852496157</v>
      </c>
      <c r="J63" s="2">
        <f t="shared" si="18"/>
        <v>127627.39708610647</v>
      </c>
      <c r="K63" s="6">
        <f t="shared" si="19"/>
        <v>0.19842378186309848</v>
      </c>
      <c r="L63" s="7">
        <f t="shared" si="20"/>
        <v>1.1984237818630985</v>
      </c>
      <c r="O63">
        <f t="shared" si="21"/>
        <v>2013</v>
      </c>
      <c r="P63" s="6">
        <f t="shared" si="5"/>
        <v>0.23359219346340468</v>
      </c>
      <c r="Q63" s="7"/>
      <c r="R63" s="6">
        <f t="shared" si="62"/>
        <v>0.22899038840373195</v>
      </c>
      <c r="S63" s="6">
        <f t="shared" si="63"/>
        <v>0.11813636969191173</v>
      </c>
      <c r="T63" s="7"/>
      <c r="U63" s="6">
        <f t="shared" si="5"/>
        <v>0.17375754689183956</v>
      </c>
      <c r="V63" s="6">
        <f t="shared" si="8"/>
        <v>0.24552350154911212</v>
      </c>
      <c r="W63" s="6">
        <f t="shared" si="22"/>
        <v>1</v>
      </c>
      <c r="X63" s="7">
        <f t="shared" si="23"/>
        <v>0.75447649845088793</v>
      </c>
      <c r="Y63" s="7">
        <f t="shared" si="24"/>
        <v>0</v>
      </c>
      <c r="Z63" s="6"/>
      <c r="AB63">
        <f t="shared" si="25"/>
        <v>2013</v>
      </c>
      <c r="AC63" s="1" t="b">
        <f t="shared" si="26"/>
        <v>1</v>
      </c>
      <c r="AE63" s="1" t="b">
        <f t="shared" si="64"/>
        <v>1</v>
      </c>
      <c r="AF63" s="1" t="b">
        <f t="shared" si="65"/>
        <v>1</v>
      </c>
      <c r="AH63" s="1" t="b">
        <f t="shared" si="72"/>
        <v>1</v>
      </c>
      <c r="AI63" s="39" t="b">
        <f t="shared" si="28"/>
        <v>0</v>
      </c>
      <c r="AJ63" s="1" t="b">
        <f t="shared" si="29"/>
        <v>1</v>
      </c>
      <c r="AL63">
        <f t="shared" si="30"/>
        <v>2013</v>
      </c>
      <c r="AM63" s="40">
        <f>AM$39*$AT63</f>
        <v>154166.70970499233</v>
      </c>
      <c r="AN63" s="2"/>
      <c r="AO63" s="40">
        <f>AO$39*$AT63</f>
        <v>154166.70970499233</v>
      </c>
      <c r="AP63" s="40">
        <f>AP$39*$AT63</f>
        <v>77083.354852496166</v>
      </c>
      <c r="AQ63" s="2"/>
      <c r="AR63" s="40">
        <f>AR$39*$AT63</f>
        <v>154166.70970499233</v>
      </c>
      <c r="AS63" s="40">
        <f>AS$39*$AT63</f>
        <v>231250.06455748845</v>
      </c>
      <c r="AT63" s="2">
        <f t="shared" si="31"/>
        <v>770833.54852496157</v>
      </c>
      <c r="AU63" s="2">
        <f t="shared" si="32"/>
        <v>0</v>
      </c>
    </row>
    <row r="64" spans="1:47" x14ac:dyDescent="0.2">
      <c r="A64">
        <f t="shared" si="4"/>
        <v>2014</v>
      </c>
      <c r="B64" s="2">
        <f t="shared" si="57"/>
        <v>174994.63218613679</v>
      </c>
      <c r="C64" s="2"/>
      <c r="D64" s="2">
        <f t="shared" si="60"/>
        <v>175133.38222487131</v>
      </c>
      <c r="E64" s="2">
        <f t="shared" si="61"/>
        <v>82764.398105125147</v>
      </c>
      <c r="F64" s="2"/>
      <c r="G64" s="2">
        <f t="shared" si="44"/>
        <v>147630.04121350066</v>
      </c>
      <c r="H64" s="2">
        <f t="shared" si="16"/>
        <v>244570.0682759998</v>
      </c>
      <c r="I64" s="2">
        <f t="shared" si="17"/>
        <v>825092.52200563368</v>
      </c>
      <c r="J64" s="2">
        <f t="shared" si="18"/>
        <v>54258.97348067211</v>
      </c>
      <c r="K64" s="6">
        <f t="shared" si="19"/>
        <v>7.0390000000000078E-2</v>
      </c>
      <c r="L64" s="7">
        <f t="shared" si="20"/>
        <v>1.0703900000000002</v>
      </c>
      <c r="O64">
        <f t="shared" si="21"/>
        <v>2014</v>
      </c>
      <c r="P64" s="6">
        <f t="shared" si="5"/>
        <v>0.21209092013191452</v>
      </c>
      <c r="Q64" s="7"/>
      <c r="R64" s="6">
        <f t="shared" si="62"/>
        <v>0.21225908313792172</v>
      </c>
      <c r="S64" s="6">
        <f t="shared" si="63"/>
        <v>0.10030923308326874</v>
      </c>
      <c r="T64" s="7"/>
      <c r="U64" s="6">
        <f t="shared" si="5"/>
        <v>0.17892543839161429</v>
      </c>
      <c r="V64" s="6">
        <f t="shared" si="8"/>
        <v>0.29641532525528075</v>
      </c>
      <c r="W64" s="6">
        <f t="shared" si="22"/>
        <v>1</v>
      </c>
      <c r="X64" s="7">
        <f t="shared" si="23"/>
        <v>0.7035846747447192</v>
      </c>
      <c r="Y64" s="7">
        <f t="shared" si="24"/>
        <v>0</v>
      </c>
      <c r="Z64" s="6"/>
      <c r="AB64">
        <f t="shared" si="25"/>
        <v>2014</v>
      </c>
      <c r="AC64" s="1" t="b">
        <f t="shared" si="26"/>
        <v>1</v>
      </c>
      <c r="AE64" s="1" t="b">
        <f t="shared" si="64"/>
        <v>1</v>
      </c>
      <c r="AF64" s="1" t="b">
        <f t="shared" si="65"/>
        <v>1</v>
      </c>
      <c r="AH64" s="1" t="b">
        <f t="shared" si="72"/>
        <v>1</v>
      </c>
      <c r="AI64" s="1" t="b">
        <f t="shared" si="28"/>
        <v>1</v>
      </c>
      <c r="AJ64" s="1" t="b">
        <f t="shared" si="29"/>
        <v>1</v>
      </c>
      <c r="AL64">
        <f t="shared" si="30"/>
        <v>2014</v>
      </c>
      <c r="AM64" s="2">
        <f>B64</f>
        <v>174994.63218613679</v>
      </c>
      <c r="AN64" s="2"/>
      <c r="AO64" s="26">
        <f t="shared" si="81"/>
        <v>175133.38222487131</v>
      </c>
      <c r="AP64" s="26">
        <f t="shared" si="81"/>
        <v>82764.398105125147</v>
      </c>
      <c r="AQ64" s="2"/>
      <c r="AR64" s="2">
        <f t="shared" ref="AR64" si="84">G64</f>
        <v>147630.04121350066</v>
      </c>
      <c r="AS64" s="2">
        <f t="shared" si="12"/>
        <v>244570.0682759998</v>
      </c>
      <c r="AT64" s="2">
        <f t="shared" si="31"/>
        <v>825092.52200563368</v>
      </c>
      <c r="AU64" s="2">
        <f t="shared" si="32"/>
        <v>0</v>
      </c>
    </row>
    <row r="65" spans="1:45" x14ac:dyDescent="0.2">
      <c r="A65" s="9" t="s">
        <v>78</v>
      </c>
      <c r="B65" s="10">
        <f>B64</f>
        <v>174994.63218613679</v>
      </c>
      <c r="C65" s="10"/>
      <c r="D65" s="10">
        <f>D64</f>
        <v>175133.38222487131</v>
      </c>
      <c r="E65" s="10">
        <f>E64</f>
        <v>82764.398105125147</v>
      </c>
      <c r="F65" s="10"/>
      <c r="G65" s="10">
        <f>G64</f>
        <v>147630.04121350066</v>
      </c>
      <c r="H65" s="10">
        <f>H64</f>
        <v>244570.0682759998</v>
      </c>
      <c r="I65" s="10">
        <f>SUM(B64:H64)</f>
        <v>825092.52200563368</v>
      </c>
      <c r="J65" s="10"/>
      <c r="K65" s="10"/>
      <c r="AM65" s="2"/>
      <c r="AO65" s="2"/>
      <c r="AP65" s="2"/>
      <c r="AR65" s="2"/>
      <c r="AS65" s="2"/>
    </row>
    <row r="66" spans="1:45" x14ac:dyDescent="0.2">
      <c r="A66" s="11" t="s">
        <v>79</v>
      </c>
      <c r="I66" s="6">
        <f>(I65-I39)/I39</f>
        <v>7.2509252200563372</v>
      </c>
      <c r="K66" s="6"/>
      <c r="R66" s="7"/>
      <c r="AO66" s="2"/>
    </row>
    <row r="67" spans="1:45" x14ac:dyDescent="0.2">
      <c r="A67" s="1" t="s">
        <v>80</v>
      </c>
      <c r="I67" s="29">
        <f>STDEV(L40:L64)</f>
        <v>0.12433838434817131</v>
      </c>
      <c r="K67" s="30"/>
      <c r="AL67" s="21" t="s">
        <v>160</v>
      </c>
      <c r="AM67">
        <f>COUNTA(AM42,AM46,AM48,AM52,AM53,AM56,AM58,AM60,AM63)</f>
        <v>9</v>
      </c>
    </row>
    <row r="68" spans="1:45" x14ac:dyDescent="0.2">
      <c r="A68" s="1" t="s">
        <v>81</v>
      </c>
      <c r="I68" s="13">
        <f>((1+I66)^(1/I73))-1</f>
        <v>8.8078192195103266E-2</v>
      </c>
      <c r="K68" s="30"/>
      <c r="AL68" t="s">
        <v>161</v>
      </c>
      <c r="AM68">
        <f>COUNTA(AL40:AL64)</f>
        <v>25</v>
      </c>
    </row>
    <row r="69" spans="1:45" x14ac:dyDescent="0.2">
      <c r="A69" s="1" t="s">
        <v>82</v>
      </c>
      <c r="I69" s="31">
        <f>J60</f>
        <v>78162.574803290598</v>
      </c>
      <c r="AL69" s="21" t="s">
        <v>162</v>
      </c>
      <c r="AM69">
        <f>AM68/AM67</f>
        <v>2.7777777777777777</v>
      </c>
    </row>
    <row r="70" spans="1:45" x14ac:dyDescent="0.2">
      <c r="A70" s="1" t="s">
        <v>83</v>
      </c>
      <c r="I70" s="32">
        <f>K60</f>
        <v>0.15677655860111775</v>
      </c>
    </row>
    <row r="71" spans="1:45" x14ac:dyDescent="0.2">
      <c r="A71" s="3" t="s">
        <v>84</v>
      </c>
      <c r="I71" s="33">
        <f>I64-I65</f>
        <v>0</v>
      </c>
    </row>
    <row r="72" spans="1:45" x14ac:dyDescent="0.2">
      <c r="A72" s="3" t="s">
        <v>148</v>
      </c>
      <c r="I72" s="33">
        <f>((SUM(J40:J64))-(I65-I39))</f>
        <v>0</v>
      </c>
    </row>
    <row r="73" spans="1:45" x14ac:dyDescent="0.2">
      <c r="A73" s="3" t="s">
        <v>159</v>
      </c>
      <c r="I73" s="3">
        <f>COUNTA(I40:I64)</f>
        <v>25</v>
      </c>
    </row>
    <row r="74" spans="1:45" x14ac:dyDescent="0.2">
      <c r="A74" s="1" t="s">
        <v>105</v>
      </c>
      <c r="B74" s="63"/>
      <c r="C74" s="63"/>
      <c r="D74" s="63"/>
      <c r="E74" s="63"/>
      <c r="G74" s="63"/>
      <c r="H74" s="63"/>
      <c r="I74" s="85">
        <f>(SUM(B62:G62)/I62)</f>
        <v>0.69895518389322975</v>
      </c>
    </row>
    <row r="75" spans="1:45" x14ac:dyDescent="0.2">
      <c r="A75" s="1" t="s">
        <v>106</v>
      </c>
      <c r="B75" s="63"/>
      <c r="C75" s="63"/>
      <c r="D75" s="63"/>
      <c r="E75" s="63"/>
      <c r="G75" s="63"/>
      <c r="H75" s="63"/>
      <c r="I75" s="85">
        <f>(H62/I62)</f>
        <v>0.30104481610677025</v>
      </c>
    </row>
    <row r="76" spans="1:45" x14ac:dyDescent="0.2">
      <c r="A76" s="3" t="s">
        <v>107</v>
      </c>
      <c r="I76" s="3">
        <f>100%-(I74+I75)</f>
        <v>0</v>
      </c>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76"/>
  <sheetViews>
    <sheetView topLeftCell="A39" zoomScale="110" zoomScaleNormal="110" workbookViewId="0">
      <selection activeCell="A74" sqref="A74:I76"/>
    </sheetView>
  </sheetViews>
  <sheetFormatPr baseColWidth="10" defaultColWidth="8.83203125" defaultRowHeight="15" x14ac:dyDescent="0.2"/>
  <cols>
    <col min="1" max="1" width="25.5" customWidth="1"/>
    <col min="2" max="4" width="9.33203125" bestFit="1" customWidth="1"/>
    <col min="5" max="5" width="9.5" bestFit="1" customWidth="1"/>
    <col min="7" max="7" width="9.83203125" bestFit="1" customWidth="1"/>
    <col min="8" max="8" width="9.33203125" bestFit="1" customWidth="1"/>
    <col min="9" max="9" width="10.6640625" customWidth="1"/>
    <col min="10" max="10" width="10" bestFit="1" customWidth="1"/>
    <col min="39" max="40" width="10.83203125" bestFit="1" customWidth="1"/>
    <col min="41" max="41" width="9.33203125" bestFit="1" customWidth="1"/>
    <col min="42" max="42" width="9.5" bestFit="1" customWidth="1"/>
    <col min="43" max="43" width="10.83203125" bestFit="1" customWidth="1"/>
    <col min="44" max="44" width="9.83203125" bestFit="1" customWidth="1"/>
    <col min="45" max="45" width="10.83203125" bestFit="1" customWidth="1"/>
    <col min="46" max="46" width="11.5" customWidth="1"/>
  </cols>
  <sheetData>
    <row r="1" spans="1:8" x14ac:dyDescent="0.2">
      <c r="A1" s="20" t="s">
        <v>49</v>
      </c>
    </row>
    <row r="2" spans="1:8"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2">
      <c r="A4" s="17">
        <f>'Non-Rebalanced Portfolio'!A4</f>
        <v>1990</v>
      </c>
      <c r="B4" s="17">
        <f>'Non-Rebalanced Portfolio'!B4</f>
        <v>-3.32</v>
      </c>
      <c r="C4" s="17">
        <f>'Non-Rebalanced Portfolio'!C4</f>
        <v>-14.045</v>
      </c>
      <c r="D4" s="17"/>
      <c r="E4" s="17"/>
      <c r="F4" s="17">
        <f>'Non-Rebalanced Portfolio'!F4</f>
        <v>-12.26</v>
      </c>
      <c r="G4" s="17"/>
      <c r="H4" s="17">
        <f>'Non-Rebalanced Portfolio'!H4</f>
        <v>8.65</v>
      </c>
    </row>
    <row r="5" spans="1:8" x14ac:dyDescent="0.2">
      <c r="A5" s="17">
        <f>'Non-Rebalanced Portfolio'!A5</f>
        <v>1991</v>
      </c>
      <c r="B5" s="17">
        <f>'Non-Rebalanced Portfolio'!B5</f>
        <v>30.22</v>
      </c>
      <c r="C5" s="17">
        <f>'Non-Rebalanced Portfolio'!C5</f>
        <v>41.85</v>
      </c>
      <c r="D5" s="17"/>
      <c r="E5" s="17"/>
      <c r="F5" s="17">
        <f>'Non-Rebalanced Portfolio'!F5</f>
        <v>9.9559999999999995</v>
      </c>
      <c r="G5" s="17"/>
      <c r="H5" s="17">
        <f>'Non-Rebalanced Portfolio'!H5</f>
        <v>15.25</v>
      </c>
    </row>
    <row r="6" spans="1:8" x14ac:dyDescent="0.2">
      <c r="A6" s="17">
        <f>'Non-Rebalanced Portfolio'!A6</f>
        <v>1992</v>
      </c>
      <c r="B6" s="17">
        <f>'Non-Rebalanced Portfolio'!B6</f>
        <v>7.42</v>
      </c>
      <c r="C6" s="17">
        <f>'Non-Rebalanced Portfolio'!C6</f>
        <v>12.465999999999999</v>
      </c>
      <c r="D6" s="17"/>
      <c r="E6" s="17"/>
      <c r="F6" s="17">
        <f>'Non-Rebalanced Portfolio'!F6</f>
        <v>-8.7210000000000001</v>
      </c>
      <c r="G6" s="17"/>
      <c r="H6" s="17">
        <f>'Non-Rebalanced Portfolio'!H6</f>
        <v>7.14</v>
      </c>
    </row>
    <row r="7" spans="1:8" x14ac:dyDescent="0.2">
      <c r="A7" s="17">
        <f>'Non-Rebalanced Portfolio'!A7</f>
        <v>1993</v>
      </c>
      <c r="B7" s="17">
        <f>'Non-Rebalanced Portfolio'!B7</f>
        <v>9.89</v>
      </c>
      <c r="C7" s="17">
        <f>'Non-Rebalanced Portfolio'!C7</f>
        <v>14.49</v>
      </c>
      <c r="D7" s="17"/>
      <c r="E7" s="17"/>
      <c r="F7" s="17">
        <f>'Non-Rebalanced Portfolio'!F7</f>
        <v>30.494</v>
      </c>
      <c r="G7" s="17"/>
      <c r="H7" s="17">
        <f>'Non-Rebalanced Portfolio'!H7</f>
        <v>9.68</v>
      </c>
    </row>
    <row r="8" spans="1:8" x14ac:dyDescent="0.2">
      <c r="A8" s="17">
        <f>'Non-Rebalanced Portfolio'!A8</f>
        <v>1994</v>
      </c>
      <c r="B8" s="17">
        <f>'Non-Rebalanced Portfolio'!B8</f>
        <v>1.18</v>
      </c>
      <c r="C8" s="17">
        <f>'Non-Rebalanced Portfolio'!C8</f>
        <v>-1.764</v>
      </c>
      <c r="D8" s="17"/>
      <c r="E8" s="17"/>
      <c r="F8" s="17">
        <f>'Non-Rebalanced Portfolio'!F8</f>
        <v>5.2549999999999999</v>
      </c>
      <c r="G8" s="17"/>
      <c r="H8" s="17">
        <f>'Non-Rebalanced Portfolio'!H8</f>
        <v>-2.66</v>
      </c>
    </row>
    <row r="9" spans="1:8" x14ac:dyDescent="0.2">
      <c r="A9" s="17">
        <f>'Non-Rebalanced Portfolio'!A9</f>
        <v>1995</v>
      </c>
      <c r="B9" s="17">
        <f>'Non-Rebalanced Portfolio'!B9</f>
        <v>37.450000000000003</v>
      </c>
      <c r="C9" s="17">
        <f>'Non-Rebalanced Portfolio'!C9</f>
        <v>33.796999999999997</v>
      </c>
      <c r="D9" s="17"/>
      <c r="E9" s="17"/>
      <c r="F9" s="17">
        <f>'Non-Rebalanced Portfolio'!F9</f>
        <v>9.6460000000000008</v>
      </c>
      <c r="G9" s="17"/>
      <c r="H9" s="17">
        <f>'Non-Rebalanced Portfolio'!H9</f>
        <v>18.18</v>
      </c>
    </row>
    <row r="10" spans="1:8" x14ac:dyDescent="0.2">
      <c r="A10" s="17">
        <f>'Non-Rebalanced Portfolio'!A10</f>
        <v>1996</v>
      </c>
      <c r="B10" s="17">
        <f>'Non-Rebalanced Portfolio'!B10</f>
        <v>22.88</v>
      </c>
      <c r="C10" s="17">
        <f>'Non-Rebalanced Portfolio'!C10</f>
        <v>17.646999999999998</v>
      </c>
      <c r="D10" s="17"/>
      <c r="E10" s="17"/>
      <c r="F10" s="17">
        <f>'Non-Rebalanced Portfolio'!F10</f>
        <v>10.218999999999999</v>
      </c>
      <c r="G10" s="17">
        <f>'Non-Rebalanced Portfolio'!G10</f>
        <v>0</v>
      </c>
      <c r="H10" s="17">
        <f>'Non-Rebalanced Portfolio'!H10</f>
        <v>3.58</v>
      </c>
    </row>
    <row r="11" spans="1:8" x14ac:dyDescent="0.2">
      <c r="A11" s="17">
        <f>'Non-Rebalanced Portfolio'!A11</f>
        <v>1997</v>
      </c>
      <c r="B11" s="17">
        <f>'Non-Rebalanced Portfolio'!B11</f>
        <v>33.19</v>
      </c>
      <c r="C11" s="17">
        <f>'Non-Rebalanced Portfolio'!C11</f>
        <v>26.687000000000001</v>
      </c>
      <c r="D11" s="17">
        <f>'Non-Rebalanced Portfolio'!D11</f>
        <v>0</v>
      </c>
      <c r="E11" s="17">
        <f>'Non-Rebalanced Portfolio'!E11</f>
        <v>0</v>
      </c>
      <c r="F11" s="17">
        <f>'Non-Rebalanced Portfolio'!F11</f>
        <v>0</v>
      </c>
      <c r="G11" s="18">
        <f>'Non-Rebalanced Portfolio'!G11</f>
        <v>-0.77500000000000002</v>
      </c>
      <c r="H11" s="17">
        <f>'Non-Rebalanced Portfolio'!H11</f>
        <v>9.44</v>
      </c>
    </row>
    <row r="12" spans="1:8" x14ac:dyDescent="0.2">
      <c r="A12" s="17">
        <f>'Non-Rebalanced Portfolio'!A12</f>
        <v>1998</v>
      </c>
      <c r="B12" s="17">
        <f>'Non-Rebalanced Portfolio'!B12</f>
        <v>28.66</v>
      </c>
      <c r="C12" s="17">
        <f>'Non-Rebalanced Portfolio'!C12</f>
        <v>8.3529999999999998</v>
      </c>
      <c r="D12" s="17">
        <f>'Non-Rebalanced Portfolio'!D12</f>
        <v>0</v>
      </c>
      <c r="E12" s="17">
        <f>'Non-Rebalanced Portfolio'!E12</f>
        <v>0</v>
      </c>
      <c r="F12" s="17">
        <f>'Non-Rebalanced Portfolio'!F12</f>
        <v>0</v>
      </c>
      <c r="G12" s="17">
        <f>'Non-Rebalanced Portfolio'!G12</f>
        <v>15.603</v>
      </c>
      <c r="H12" s="17">
        <f>'Non-Rebalanced Portfolio'!H12</f>
        <v>8.58</v>
      </c>
    </row>
    <row r="13" spans="1:8" x14ac:dyDescent="0.2">
      <c r="A13" s="17">
        <f>'Non-Rebalanced Portfolio'!A13</f>
        <v>1999</v>
      </c>
      <c r="B13" s="17">
        <f>'Non-Rebalanced Portfolio'!B13</f>
        <v>21.07</v>
      </c>
      <c r="C13" s="17">
        <f>'Non-Rebalanced Portfolio'!C13</f>
        <v>0</v>
      </c>
      <c r="D13" s="18">
        <f>'Non-Rebalanced Portfolio'!D13</f>
        <v>15.319000000000001</v>
      </c>
      <c r="E13" s="18">
        <f>'Non-Rebalanced Portfolio'!E13</f>
        <v>23.132999999999999</v>
      </c>
      <c r="F13" s="17"/>
      <c r="G13" s="17">
        <f>'Non-Rebalanced Portfolio'!G13</f>
        <v>29.919</v>
      </c>
      <c r="H13" s="17">
        <f>'Non-Rebalanced Portfolio'!H13</f>
        <v>-0.76</v>
      </c>
    </row>
    <row r="14" spans="1:8" x14ac:dyDescent="0.2">
      <c r="A14" s="17">
        <f>'Non-Rebalanced Portfolio'!A14</f>
        <v>2000</v>
      </c>
      <c r="B14" s="17">
        <f>'Non-Rebalanced Portfolio'!B14</f>
        <v>-9.06</v>
      </c>
      <c r="C14" s="17">
        <f>'Non-Rebalanced Portfolio'!C14</f>
        <v>0</v>
      </c>
      <c r="D14" s="17">
        <f>'Non-Rebalanced Portfolio'!D14</f>
        <v>18.097999999999999</v>
      </c>
      <c r="E14" s="17">
        <f>'Non-Rebalanced Portfolio'!E14</f>
        <v>-2.665</v>
      </c>
      <c r="F14" s="17"/>
      <c r="G14" s="17">
        <f>'Non-Rebalanced Portfolio'!G14</f>
        <v>-15.614000000000001</v>
      </c>
      <c r="H14" s="17">
        <f>'Non-Rebalanced Portfolio'!H14</f>
        <v>11.39</v>
      </c>
    </row>
    <row r="15" spans="1:8" x14ac:dyDescent="0.2">
      <c r="A15" s="17">
        <f>'Non-Rebalanced Portfolio'!A15</f>
        <v>2001</v>
      </c>
      <c r="B15" s="17">
        <f>'Non-Rebalanced Portfolio'!B15</f>
        <v>-12.02</v>
      </c>
      <c r="C15" s="17"/>
      <c r="D15" s="17">
        <f>'Non-Rebalanced Portfolio'!D15</f>
        <v>-0.499</v>
      </c>
      <c r="E15" s="17">
        <f>'Non-Rebalanced Portfolio'!E15</f>
        <v>3.1</v>
      </c>
      <c r="F15" s="17"/>
      <c r="G15" s="17">
        <f>'Non-Rebalanced Portfolio'!G15</f>
        <v>-20.152999999999999</v>
      </c>
      <c r="H15" s="17">
        <f>'Non-Rebalanced Portfolio'!H15</f>
        <v>8.43</v>
      </c>
    </row>
    <row r="16" spans="1:8" x14ac:dyDescent="0.2">
      <c r="A16" s="17">
        <f>'Non-Rebalanced Portfolio'!A16</f>
        <v>2002</v>
      </c>
      <c r="B16" s="17">
        <f>'Non-Rebalanced Portfolio'!B16</f>
        <v>-22.15</v>
      </c>
      <c r="C16" s="17"/>
      <c r="D16" s="17">
        <f>'Non-Rebalanced Portfolio'!D16</f>
        <v>-14.608000000000001</v>
      </c>
      <c r="E16" s="17">
        <f>'Non-Rebalanced Portfolio'!E16</f>
        <v>-20.021999999999998</v>
      </c>
      <c r="F16" s="17"/>
      <c r="G16" s="17">
        <f>'Non-Rebalanced Portfolio'!G16</f>
        <v>-15.083</v>
      </c>
      <c r="H16" s="17">
        <f>'Non-Rebalanced Portfolio'!H16</f>
        <v>8.26</v>
      </c>
    </row>
    <row r="17" spans="1:8" x14ac:dyDescent="0.2">
      <c r="A17" s="17">
        <f>'Non-Rebalanced Portfolio'!A17</f>
        <v>2003</v>
      </c>
      <c r="B17" s="17">
        <f>'Non-Rebalanced Portfolio'!B17</f>
        <v>28.5</v>
      </c>
      <c r="C17" s="17"/>
      <c r="D17" s="17">
        <f>'Non-Rebalanced Portfolio'!D17</f>
        <v>34.142000000000003</v>
      </c>
      <c r="E17" s="17">
        <f>'Non-Rebalanced Portfolio'!E17</f>
        <v>45.628</v>
      </c>
      <c r="F17" s="17"/>
      <c r="G17" s="17">
        <f>'Non-Rebalanced Portfolio'!G17</f>
        <v>40.340000000000003</v>
      </c>
      <c r="H17" s="17">
        <f>'Non-Rebalanced Portfolio'!H17</f>
        <v>3.97</v>
      </c>
    </row>
    <row r="18" spans="1:8" x14ac:dyDescent="0.2">
      <c r="A18" s="17">
        <f>'Non-Rebalanced Portfolio'!A18</f>
        <v>2004</v>
      </c>
      <c r="B18" s="17">
        <f>'Non-Rebalanced Portfolio'!B18</f>
        <v>10.74</v>
      </c>
      <c r="C18" s="17"/>
      <c r="D18" s="17">
        <f>'Non-Rebalanced Portfolio'!D18</f>
        <v>20.353000000000002</v>
      </c>
      <c r="E18" s="17">
        <f>'Non-Rebalanced Portfolio'!E18</f>
        <v>19.896999999999998</v>
      </c>
      <c r="F18" s="17"/>
      <c r="G18" s="17">
        <f>'Non-Rebalanced Portfolio'!G18</f>
        <v>20.837</v>
      </c>
      <c r="H18" s="17">
        <f>'Non-Rebalanced Portfolio'!H18</f>
        <v>4.24</v>
      </c>
    </row>
    <row r="19" spans="1:8" x14ac:dyDescent="0.2">
      <c r="A19" s="17">
        <f>'Non-Rebalanced Portfolio'!A19</f>
        <v>2005</v>
      </c>
      <c r="B19" s="17">
        <f>'Non-Rebalanced Portfolio'!B19</f>
        <v>4.7699999999999996</v>
      </c>
      <c r="C19" s="17"/>
      <c r="D19" s="17">
        <f>'Non-Rebalanced Portfolio'!D19</f>
        <v>13.930999999999999</v>
      </c>
      <c r="E19" s="17">
        <f>'Non-Rebalanced Portfolio'!E19</f>
        <v>7.3630000000000004</v>
      </c>
      <c r="F19" s="17"/>
      <c r="G19" s="17">
        <f>'Non-Rebalanced Portfolio'!G19</f>
        <v>15.571</v>
      </c>
      <c r="H19" s="17">
        <f>'Non-Rebalanced Portfolio'!H19</f>
        <v>2.4</v>
      </c>
    </row>
    <row r="20" spans="1:8" x14ac:dyDescent="0.2">
      <c r="A20" s="17">
        <f>'Non-Rebalanced Portfolio'!A20</f>
        <v>2006</v>
      </c>
      <c r="B20" s="17">
        <f>'Non-Rebalanced Portfolio'!B20</f>
        <v>15.64</v>
      </c>
      <c r="C20" s="17"/>
      <c r="D20" s="17">
        <f>'Non-Rebalanced Portfolio'!D20</f>
        <v>13.597</v>
      </c>
      <c r="E20" s="17">
        <f>'Non-Rebalanced Portfolio'!E20</f>
        <v>15.656000000000001</v>
      </c>
      <c r="F20" s="17"/>
      <c r="G20" s="17">
        <f>'Non-Rebalanced Portfolio'!G20</f>
        <v>26.637</v>
      </c>
      <c r="H20" s="17">
        <f>'Non-Rebalanced Portfolio'!H20</f>
        <v>4.2699999999999996</v>
      </c>
    </row>
    <row r="21" spans="1:8" x14ac:dyDescent="0.2">
      <c r="A21" s="17">
        <f>'Non-Rebalanced Portfolio'!A21</f>
        <v>2007</v>
      </c>
      <c r="B21" s="17">
        <f>'Non-Rebalanced Portfolio'!B21</f>
        <v>5.39</v>
      </c>
      <c r="C21" s="17"/>
      <c r="D21" s="17">
        <f>'Non-Rebalanced Portfolio'!D21</f>
        <v>6.0209999999999999</v>
      </c>
      <c r="E21" s="17">
        <f>'Non-Rebalanced Portfolio'!E21</f>
        <v>1.1559999999999999</v>
      </c>
      <c r="F21" s="17"/>
      <c r="G21" s="17">
        <f>'Non-Rebalanced Portfolio'!G21</f>
        <v>15.522</v>
      </c>
      <c r="H21" s="17">
        <f>'Non-Rebalanced Portfolio'!H21</f>
        <v>6.92</v>
      </c>
    </row>
    <row r="22" spans="1:8" x14ac:dyDescent="0.2">
      <c r="A22" s="17">
        <f>'Non-Rebalanced Portfolio'!A22</f>
        <v>2008</v>
      </c>
      <c r="B22" s="17">
        <f>'Non-Rebalanced Portfolio'!B22</f>
        <v>-37.020000000000003</v>
      </c>
      <c r="C22" s="17"/>
      <c r="D22" s="17">
        <f>'Non-Rebalanced Portfolio'!D22</f>
        <v>-41.823999999999998</v>
      </c>
      <c r="E22" s="17">
        <f>'Non-Rebalanced Portfolio'!E22</f>
        <v>-36.07</v>
      </c>
      <c r="F22" s="17"/>
      <c r="G22" s="17">
        <f>'Non-Rebalanced Portfolio'!G22</f>
        <v>-44.100999999999999</v>
      </c>
      <c r="H22" s="17">
        <f>'Non-Rebalanced Portfolio'!H22</f>
        <v>5.05</v>
      </c>
    </row>
    <row r="23" spans="1:8" x14ac:dyDescent="0.2">
      <c r="A23" s="17">
        <f>'Non-Rebalanced Portfolio'!A23</f>
        <v>2009</v>
      </c>
      <c r="B23" s="17">
        <f>'Non-Rebalanced Portfolio'!B23</f>
        <v>26.49</v>
      </c>
      <c r="C23" s="17"/>
      <c r="D23" s="17">
        <f>'Non-Rebalanced Portfolio'!D23</f>
        <v>40.218000000000004</v>
      </c>
      <c r="E23" s="17">
        <f>'Non-Rebalanced Portfolio'!E23</f>
        <v>36.118000000000002</v>
      </c>
      <c r="F23" s="17"/>
      <c r="G23" s="17">
        <f>'Non-Rebalanced Portfolio'!G23</f>
        <v>36.726999999999997</v>
      </c>
      <c r="H23" s="17">
        <f>'Non-Rebalanced Portfolio'!H23</f>
        <v>5.93</v>
      </c>
    </row>
    <row r="24" spans="1:8" x14ac:dyDescent="0.2">
      <c r="A24" s="17">
        <f>'Non-Rebalanced Portfolio'!A24</f>
        <v>2010</v>
      </c>
      <c r="B24" s="17">
        <f>'Non-Rebalanced Portfolio'!B24</f>
        <v>14.91</v>
      </c>
      <c r="C24" s="17"/>
      <c r="D24" s="17">
        <f>'Non-Rebalanced Portfolio'!D24</f>
        <v>25.46</v>
      </c>
      <c r="E24" s="17">
        <f>'Non-Rebalanced Portfolio'!E24</f>
        <v>27.72</v>
      </c>
      <c r="F24" s="17"/>
      <c r="G24" s="17">
        <f>'Non-Rebalanced Portfolio'!G24</f>
        <v>11.12</v>
      </c>
      <c r="H24" s="17">
        <f>'Non-Rebalanced Portfolio'!H24</f>
        <v>6.42</v>
      </c>
    </row>
    <row r="25" spans="1:8" x14ac:dyDescent="0.2">
      <c r="A25" s="17">
        <f>'Non-Rebalanced Portfolio'!A25</f>
        <v>2011</v>
      </c>
      <c r="B25" s="17">
        <f>'Non-Rebalanced Portfolio'!B25</f>
        <v>1.97</v>
      </c>
      <c r="C25" s="17"/>
      <c r="D25" s="17">
        <f>'Non-Rebalanced Portfolio'!D25</f>
        <v>-2.11</v>
      </c>
      <c r="E25" s="17">
        <f>'Non-Rebalanced Portfolio'!E25</f>
        <v>-2.8</v>
      </c>
      <c r="F25" s="17"/>
      <c r="G25" s="17">
        <f>'Non-Rebalanced Portfolio'!G25</f>
        <v>-14.56</v>
      </c>
      <c r="H25" s="17">
        <f>'Non-Rebalanced Portfolio'!H25</f>
        <v>7.56</v>
      </c>
    </row>
    <row r="26" spans="1:8" x14ac:dyDescent="0.2">
      <c r="A26" s="17">
        <f>'Non-Rebalanced Portfolio'!A26</f>
        <v>2012</v>
      </c>
      <c r="B26" s="17">
        <f>'Non-Rebalanced Portfolio'!B26</f>
        <v>15.82</v>
      </c>
      <c r="C26" s="17"/>
      <c r="D26" s="17">
        <f>'Non-Rebalanced Portfolio'!D26</f>
        <v>15.8</v>
      </c>
      <c r="E26" s="17">
        <f>'Non-Rebalanced Portfolio'!E26</f>
        <v>18.04</v>
      </c>
      <c r="F26" s="17"/>
      <c r="G26" s="17">
        <f>'Non-Rebalanced Portfolio'!G26</f>
        <v>18.14</v>
      </c>
      <c r="H26" s="17">
        <f>'Non-Rebalanced Portfolio'!H26</f>
        <v>4.05</v>
      </c>
    </row>
    <row r="27" spans="1:8" x14ac:dyDescent="0.2">
      <c r="A27" s="17">
        <f>'Non-Rebalanced Portfolio'!A27</f>
        <v>2013</v>
      </c>
      <c r="B27" s="17">
        <f>'Non-Rebalanced Portfolio'!B27</f>
        <v>32.18</v>
      </c>
      <c r="C27" s="17"/>
      <c r="D27" s="17">
        <f>'Non-Rebalanced Portfolio'!D27</f>
        <v>35</v>
      </c>
      <c r="E27" s="17">
        <f>'Non-Rebalanced Portfolio'!E27</f>
        <v>37.619999999999997</v>
      </c>
      <c r="F27" s="17"/>
      <c r="G27" s="17">
        <f>'Non-Rebalanced Portfolio'!G27</f>
        <v>15.04</v>
      </c>
      <c r="H27" s="17">
        <f>'Non-Rebalanced Portfolio'!H27</f>
        <v>-2.2599999999999998</v>
      </c>
    </row>
    <row r="28" spans="1:8" x14ac:dyDescent="0.2">
      <c r="A28" s="17">
        <f>'Non-Rebalanced Portfolio'!A28</f>
        <v>2014</v>
      </c>
      <c r="B28" s="17">
        <f>'Non-Rebalanced Portfolio'!B28</f>
        <v>13.51</v>
      </c>
      <c r="C28" s="19"/>
      <c r="D28" s="17">
        <f>'Non-Rebalanced Portfolio'!D28</f>
        <v>13.6</v>
      </c>
      <c r="E28" s="17">
        <f>'Non-Rebalanced Portfolio'!E28</f>
        <v>7.37</v>
      </c>
      <c r="F28" s="19"/>
      <c r="G28" s="17">
        <f>'Non-Rebalanced Portfolio'!G28</f>
        <v>-4.24</v>
      </c>
      <c r="H28" s="17">
        <f>'Non-Rebalanced Portfolio'!H28</f>
        <v>5.76</v>
      </c>
    </row>
    <row r="29" spans="1:8" x14ac:dyDescent="0.2">
      <c r="A29" s="17">
        <f>'Non-Rebalanced Portfolio'!A29</f>
        <v>2015</v>
      </c>
      <c r="B29" s="17">
        <f>'Non-Rebalanced Portfolio'!B29</f>
        <v>1.25</v>
      </c>
      <c r="C29" s="19"/>
      <c r="D29" s="17">
        <f>'Non-Rebalanced Portfolio'!D29</f>
        <v>-1.46</v>
      </c>
      <c r="E29" s="17">
        <f>'Non-Rebalanced Portfolio'!E29</f>
        <v>-3.78</v>
      </c>
      <c r="F29" s="19"/>
      <c r="G29" s="17">
        <f>'Non-Rebalanced Portfolio'!G29</f>
        <v>-4.37</v>
      </c>
      <c r="H29" s="17">
        <f>'Non-Rebalanced Portfolio'!H29</f>
        <v>0.3</v>
      </c>
    </row>
    <row r="30" spans="1:8" x14ac:dyDescent="0.2">
      <c r="A30" s="17">
        <f>'Non-Rebalanced Portfolio'!A30</f>
        <v>2016</v>
      </c>
      <c r="B30" s="17">
        <f>'Non-Rebalanced Portfolio'!B30</f>
        <v>11.82</v>
      </c>
      <c r="C30" s="19"/>
      <c r="D30" s="17">
        <f>'Non-Rebalanced Portfolio'!D30</f>
        <v>11.07</v>
      </c>
      <c r="E30" s="17">
        <f>'Non-Rebalanced Portfolio'!E30</f>
        <v>18.170000000000002</v>
      </c>
      <c r="F30" s="19"/>
      <c r="G30" s="17">
        <f>'Non-Rebalanced Portfolio'!G30</f>
        <v>4.6500000000000004</v>
      </c>
      <c r="H30" s="17">
        <f>'Non-Rebalanced Portfolio'!H30</f>
        <v>2.5</v>
      </c>
    </row>
    <row r="31" spans="1:8" x14ac:dyDescent="0.2">
      <c r="A31" s="17">
        <f>'Non-Rebalanced Portfolio'!A31</f>
        <v>2017</v>
      </c>
      <c r="B31" s="17">
        <f>'Non-Rebalanced Portfolio'!B31</f>
        <v>21.67</v>
      </c>
      <c r="C31" s="19"/>
      <c r="D31" s="17">
        <f>'Non-Rebalanced Portfolio'!D31</f>
        <v>19.600000000000001</v>
      </c>
      <c r="E31" s="17">
        <f>'Non-Rebalanced Portfolio'!E31</f>
        <v>16.100000000000001</v>
      </c>
      <c r="F31" s="19"/>
      <c r="G31" s="17">
        <f>'Non-Rebalanced Portfolio'!G31</f>
        <v>27.4</v>
      </c>
      <c r="H31" s="17">
        <f>'Non-Rebalanced Portfolio'!H31</f>
        <v>3.46</v>
      </c>
    </row>
    <row r="32" spans="1:8" x14ac:dyDescent="0.2">
      <c r="A32" s="17">
        <f>'Non-Rebalanced Portfolio'!A32</f>
        <v>2017</v>
      </c>
      <c r="B32" s="17">
        <f>'Non-Rebalanced Portfolio'!B32</f>
        <v>21.67</v>
      </c>
      <c r="C32" s="19"/>
      <c r="D32" s="17">
        <f>'Non-Rebalanced Portfolio'!D32</f>
        <v>19.600000000000001</v>
      </c>
      <c r="E32" s="17">
        <f>'Non-Rebalanced Portfolio'!E32</f>
        <v>16.100000000000001</v>
      </c>
      <c r="F32" s="19"/>
      <c r="G32" s="17">
        <f>'Non-Rebalanced Portfolio'!G32</f>
        <v>27.4</v>
      </c>
      <c r="H32" s="17">
        <f>'Non-Rebalanced Portfolio'!H32</f>
        <v>3.46</v>
      </c>
    </row>
    <row r="33" spans="1:47" x14ac:dyDescent="0.2">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row>
    <row r="36" spans="1:47" x14ac:dyDescent="0.2">
      <c r="A36" s="20" t="s">
        <v>116</v>
      </c>
      <c r="O36" s="20" t="s">
        <v>126</v>
      </c>
      <c r="AB36" s="20" t="s">
        <v>18</v>
      </c>
      <c r="AL36" s="20" t="s">
        <v>21</v>
      </c>
    </row>
    <row r="37" spans="1:47" x14ac:dyDescent="0.2">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76</v>
      </c>
      <c r="K37" s="5" t="s">
        <v>73</v>
      </c>
      <c r="L37" s="5" t="s">
        <v>74</v>
      </c>
      <c r="P37" s="4" t="str">
        <f>B37</f>
        <v>LC Stocks</v>
      </c>
      <c r="Q37" s="4" t="str">
        <f t="shared" ref="Q37:V38" si="1">C37</f>
        <v>Ext Mkt</v>
      </c>
      <c r="R37" s="4" t="str">
        <f t="shared" si="1"/>
        <v>Mcap Stk</v>
      </c>
      <c r="S37" s="4" t="str">
        <f t="shared" si="1"/>
        <v>Small Cap</v>
      </c>
      <c r="T37" s="4" t="str">
        <f t="shared" si="1"/>
        <v>Intl Val</v>
      </c>
      <c r="U37" s="4" t="str">
        <f t="shared" si="1"/>
        <v>Tot Int Stk</v>
      </c>
      <c r="V37" s="4" t="str">
        <f t="shared" si="1"/>
        <v>Bonds</v>
      </c>
      <c r="W37" s="5"/>
      <c r="X37" s="5" t="s">
        <v>111</v>
      </c>
      <c r="Y37" s="3" t="s">
        <v>112</v>
      </c>
      <c r="Z37" s="62"/>
      <c r="AC37" s="4" t="str">
        <f t="shared" ref="AC37:AI39" si="2">P37</f>
        <v>LC Stocks</v>
      </c>
      <c r="AD37" s="4" t="str">
        <f t="shared" si="2"/>
        <v>Ext Mkt</v>
      </c>
      <c r="AE37" s="4" t="str">
        <f t="shared" si="2"/>
        <v>Mcap Stk</v>
      </c>
      <c r="AF37" s="4" t="str">
        <f t="shared" si="2"/>
        <v>Small Cap</v>
      </c>
      <c r="AG37" s="4" t="str">
        <f t="shared" si="2"/>
        <v>Intl Val</v>
      </c>
      <c r="AH37" s="4" t="str">
        <f t="shared" si="2"/>
        <v>Tot Int Stk</v>
      </c>
      <c r="AI37" s="4" t="str">
        <f t="shared" si="2"/>
        <v>Bonds</v>
      </c>
      <c r="AJ37" s="5"/>
      <c r="AM37" s="4" t="str">
        <f>AC37</f>
        <v>LC Stocks</v>
      </c>
      <c r="AN37" s="4" t="str">
        <f t="shared" ref="AN37:AT39" si="3">AD37</f>
        <v>Ext Mkt</v>
      </c>
      <c r="AO37" s="4" t="str">
        <f t="shared" si="3"/>
        <v>Mcap Stk</v>
      </c>
      <c r="AP37" s="4" t="str">
        <f t="shared" si="3"/>
        <v>Small Cap</v>
      </c>
      <c r="AQ37" s="4" t="str">
        <f t="shared" si="3"/>
        <v>Intl Val</v>
      </c>
      <c r="AR37" s="4" t="str">
        <f t="shared" si="3"/>
        <v>Tot Int Stk</v>
      </c>
      <c r="AS37" s="4" t="str">
        <f t="shared" si="3"/>
        <v>Bonds</v>
      </c>
      <c r="AT37" s="4"/>
      <c r="AU37" t="s">
        <v>88</v>
      </c>
    </row>
    <row r="38" spans="1:47" x14ac:dyDescent="0.2">
      <c r="A38" t="s">
        <v>72</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70</v>
      </c>
      <c r="J38" s="5" t="s">
        <v>77</v>
      </c>
      <c r="K38" s="5" t="s">
        <v>75</v>
      </c>
      <c r="L38" s="5" t="s">
        <v>75</v>
      </c>
      <c r="O38" t="s">
        <v>72</v>
      </c>
      <c r="P38" s="4" t="str">
        <f>B38</f>
        <v>VFINX</v>
      </c>
      <c r="Q38" s="4" t="str">
        <f t="shared" si="1"/>
        <v>VEXMX</v>
      </c>
      <c r="R38" s="4" t="str">
        <f t="shared" si="1"/>
        <v>VIMSX</v>
      </c>
      <c r="S38" s="4" t="str">
        <f t="shared" si="1"/>
        <v>NAESX</v>
      </c>
      <c r="T38" s="4" t="str">
        <f t="shared" si="1"/>
        <v>VTRIX</v>
      </c>
      <c r="U38" s="4" t="str">
        <f t="shared" si="1"/>
        <v>VGTSX</v>
      </c>
      <c r="V38" s="4" t="str">
        <f t="shared" si="1"/>
        <v>VBMFX</v>
      </c>
      <c r="W38" s="5" t="s">
        <v>70</v>
      </c>
      <c r="X38" s="5" t="s">
        <v>112</v>
      </c>
      <c r="Y38" s="3" t="s">
        <v>87</v>
      </c>
      <c r="Z38" s="62"/>
      <c r="AB38" t="str">
        <f>O38</f>
        <v>Fund</v>
      </c>
      <c r="AC38" s="4" t="str">
        <f t="shared" si="2"/>
        <v>VFINX</v>
      </c>
      <c r="AD38" s="4" t="str">
        <f t="shared" si="2"/>
        <v>VEXMX</v>
      </c>
      <c r="AE38" s="4" t="str">
        <f t="shared" si="2"/>
        <v>VIMSX</v>
      </c>
      <c r="AF38" s="4" t="str">
        <f t="shared" si="2"/>
        <v>NAESX</v>
      </c>
      <c r="AG38" s="4" t="str">
        <f t="shared" si="2"/>
        <v>VTRIX</v>
      </c>
      <c r="AH38" s="4" t="str">
        <f t="shared" si="2"/>
        <v>VGTSX</v>
      </c>
      <c r="AI38" s="4" t="str">
        <f t="shared" si="2"/>
        <v>VBMFX</v>
      </c>
      <c r="AJ38" s="4" t="str">
        <f>W38</f>
        <v>Total</v>
      </c>
      <c r="AL38" t="s">
        <v>72</v>
      </c>
      <c r="AM38" s="4" t="str">
        <f>AC38</f>
        <v>VFINX</v>
      </c>
      <c r="AN38" s="4" t="str">
        <f t="shared" si="3"/>
        <v>VEXMX</v>
      </c>
      <c r="AO38" s="4" t="str">
        <f t="shared" si="3"/>
        <v>VIMSX</v>
      </c>
      <c r="AP38" s="4" t="str">
        <f t="shared" si="3"/>
        <v>NAESX</v>
      </c>
      <c r="AQ38" s="4" t="str">
        <f t="shared" si="3"/>
        <v>VTRIX</v>
      </c>
      <c r="AR38" s="4" t="str">
        <f t="shared" si="3"/>
        <v>VGTSX</v>
      </c>
      <c r="AS38" s="4" t="str">
        <f t="shared" si="3"/>
        <v>VBMFX</v>
      </c>
      <c r="AT38" s="4" t="str">
        <f t="shared" si="3"/>
        <v>Total</v>
      </c>
      <c r="AU38" t="s">
        <v>87</v>
      </c>
    </row>
    <row r="39" spans="1:47" x14ac:dyDescent="0.2">
      <c r="A39" t="s">
        <v>71</v>
      </c>
      <c r="B39" s="2">
        <f>'Non-Rebalanced Portfolio'!B39</f>
        <v>20000</v>
      </c>
      <c r="C39" s="2">
        <f>'Non-Rebalanced Portfolio'!C39</f>
        <v>30000</v>
      </c>
      <c r="F39" s="2">
        <f>'Non-Rebalanced Portfolio'!F39</f>
        <v>20000</v>
      </c>
      <c r="H39" s="2">
        <f>'Non-Rebalanced Portfolio'!H39</f>
        <v>30000</v>
      </c>
      <c r="I39" s="2">
        <f>SUM(B39:H39)</f>
        <v>100000</v>
      </c>
      <c r="O39" s="21" t="s">
        <v>86</v>
      </c>
      <c r="P39" s="22">
        <f>B39/$I39</f>
        <v>0.2</v>
      </c>
      <c r="Q39" s="22">
        <f>C39/$I39</f>
        <v>0.3</v>
      </c>
      <c r="R39" s="56">
        <f>'Non-Rebalanced Portfolio'!R39</f>
        <v>0.2</v>
      </c>
      <c r="S39" s="56">
        <f>'Non-Rebalanced Portfolio'!S39</f>
        <v>0.1</v>
      </c>
      <c r="T39" s="22">
        <f>F39/$I39</f>
        <v>0.2</v>
      </c>
      <c r="U39" s="56">
        <f>'Non-Rebalanced Portfolio'!U39</f>
        <v>0.2</v>
      </c>
      <c r="V39" s="22">
        <f>H39/$I39</f>
        <v>0.3</v>
      </c>
      <c r="W39" s="22">
        <f>I39/$I39</f>
        <v>1</v>
      </c>
      <c r="X39" s="24"/>
      <c r="Z39" s="22"/>
      <c r="AB39" s="21" t="str">
        <f>O39</f>
        <v>Target Allocation</v>
      </c>
      <c r="AC39" s="24">
        <f t="shared" si="2"/>
        <v>0.2</v>
      </c>
      <c r="AD39" s="24">
        <f t="shared" si="2"/>
        <v>0.3</v>
      </c>
      <c r="AE39" s="25">
        <f t="shared" si="2"/>
        <v>0.2</v>
      </c>
      <c r="AF39" s="25">
        <f t="shared" si="2"/>
        <v>0.1</v>
      </c>
      <c r="AG39" s="24">
        <f t="shared" si="2"/>
        <v>0.2</v>
      </c>
      <c r="AH39" s="25">
        <f t="shared" si="2"/>
        <v>0.2</v>
      </c>
      <c r="AI39" s="24">
        <f t="shared" si="2"/>
        <v>0.3</v>
      </c>
      <c r="AJ39" s="24">
        <f>W39</f>
        <v>1</v>
      </c>
      <c r="AL39" s="21" t="str">
        <f>AB39</f>
        <v>Target Allocation</v>
      </c>
      <c r="AM39" s="24">
        <f>AC39</f>
        <v>0.2</v>
      </c>
      <c r="AN39" s="24">
        <f t="shared" si="3"/>
        <v>0.3</v>
      </c>
      <c r="AO39" s="25">
        <f t="shared" si="3"/>
        <v>0.2</v>
      </c>
      <c r="AP39" s="25">
        <f t="shared" si="3"/>
        <v>0.1</v>
      </c>
      <c r="AQ39" s="24">
        <f t="shared" si="3"/>
        <v>0.2</v>
      </c>
      <c r="AR39" s="25">
        <f t="shared" si="3"/>
        <v>0.2</v>
      </c>
      <c r="AS39" s="24">
        <f t="shared" si="3"/>
        <v>0.3</v>
      </c>
      <c r="AT39" s="24">
        <f t="shared" si="3"/>
        <v>1</v>
      </c>
      <c r="AU39" s="2"/>
    </row>
    <row r="40" spans="1:47" x14ac:dyDescent="0.2">
      <c r="A40">
        <f t="shared" ref="A40:A64" si="4">A4</f>
        <v>1990</v>
      </c>
      <c r="B40" s="2">
        <f>B39*(1+(B4/100))</f>
        <v>19336</v>
      </c>
      <c r="C40" s="2">
        <f>C39*(1+(C4/100))</f>
        <v>25786.5</v>
      </c>
      <c r="D40" s="2"/>
      <c r="E40" s="2"/>
      <c r="F40" s="2">
        <f>F39*(1+(F4/100))</f>
        <v>17548</v>
      </c>
      <c r="G40" s="2"/>
      <c r="H40" s="2">
        <f>H39*(1+(H4/100))</f>
        <v>32595</v>
      </c>
      <c r="I40" s="2">
        <f>SUM(B40:H40)</f>
        <v>95265.5</v>
      </c>
      <c r="J40" s="2">
        <f>I40-I39</f>
        <v>-4734.5</v>
      </c>
      <c r="K40" s="6">
        <f>(J40/I39)</f>
        <v>-4.7344999999999998E-2</v>
      </c>
      <c r="L40" s="7">
        <f>K40+1</f>
        <v>0.95265500000000003</v>
      </c>
      <c r="O40">
        <f>A40</f>
        <v>1990</v>
      </c>
      <c r="P40" s="6">
        <f t="shared" ref="P40:U64" si="5">B40/$I40</f>
        <v>0.20296959549889521</v>
      </c>
      <c r="Q40" s="6">
        <f t="shared" si="5"/>
        <v>0.27068036172591337</v>
      </c>
      <c r="R40" s="7"/>
      <c r="S40" s="7"/>
      <c r="T40" s="6">
        <f t="shared" ref="T40:T46" si="6">F40/$I40</f>
        <v>0.184200996163354</v>
      </c>
      <c r="U40" s="7"/>
      <c r="V40" s="6">
        <f t="shared" ref="V40:V64" si="7">H40/$I40</f>
        <v>0.34214904661183743</v>
      </c>
      <c r="W40" s="6">
        <f>SUM(P40:V40)</f>
        <v>1</v>
      </c>
      <c r="X40" s="7">
        <f>SUM(P40:U40)</f>
        <v>0.65785095338816257</v>
      </c>
      <c r="Y40" s="7">
        <f>W40-(X40+V40)</f>
        <v>0</v>
      </c>
      <c r="Z40" s="6"/>
      <c r="AB40">
        <f>O40</f>
        <v>1990</v>
      </c>
      <c r="AC40" s="1" t="b">
        <f>AND((B40/$I40)&gt;0.15,(B40/$I40)&lt;0.25)</f>
        <v>1</v>
      </c>
      <c r="AD40" s="1" t="b">
        <f>AND((C40/$I40)&gt;0.25,(C40/$I40)&lt;0.35)</f>
        <v>1</v>
      </c>
      <c r="AG40" s="1" t="b">
        <f t="shared" ref="AG40:AG46" si="8">AND((F40/$I40)&gt;0.15,(F40/$I40)&lt;0.25)</f>
        <v>1</v>
      </c>
      <c r="AI40" s="1" t="b">
        <f>AND((H40/$I40)&gt;0.25,(H40/$I40)&lt;0.35)</f>
        <v>1</v>
      </c>
      <c r="AJ40" s="1" t="b">
        <f>AND((I40/$I40)&gt;0.999,(I40/$I40)&lt;1.01)</f>
        <v>1</v>
      </c>
      <c r="AL40">
        <f>A40</f>
        <v>1990</v>
      </c>
      <c r="AM40" s="2">
        <f t="shared" ref="AM40:AN50" si="9">$I40*AM$39</f>
        <v>19053.100000000002</v>
      </c>
      <c r="AN40" s="2">
        <f t="shared" si="9"/>
        <v>28579.649999999998</v>
      </c>
      <c r="AO40" s="2"/>
      <c r="AP40" s="2"/>
      <c r="AQ40" s="2">
        <f t="shared" ref="AQ40:AR51" si="10">$I40*AQ$39</f>
        <v>19053.100000000002</v>
      </c>
      <c r="AR40" s="2"/>
      <c r="AS40" s="2">
        <f t="shared" ref="AS40:AS51" si="11">$I40*AS$39</f>
        <v>28579.649999999998</v>
      </c>
      <c r="AT40" s="2">
        <f>SUM(AM40:AS40)</f>
        <v>95265.5</v>
      </c>
      <c r="AU40" s="2">
        <f>AT40-I40</f>
        <v>0</v>
      </c>
    </row>
    <row r="41" spans="1:47" x14ac:dyDescent="0.2">
      <c r="A41">
        <f t="shared" si="4"/>
        <v>1991</v>
      </c>
      <c r="B41" s="2">
        <f t="shared" ref="B41:B50" si="12">AM40*(1+(B5/100))</f>
        <v>24810.946820000005</v>
      </c>
      <c r="C41" s="2">
        <f t="shared" ref="C41:C48" si="13">AN40*(1+(C5/100))</f>
        <v>40540.233524999996</v>
      </c>
      <c r="D41" s="2"/>
      <c r="E41" s="2"/>
      <c r="F41" s="2">
        <f t="shared" ref="F41:F46" si="14">AQ40*(1+(F5/100))</f>
        <v>20950.026636000006</v>
      </c>
      <c r="G41" s="2"/>
      <c r="H41" s="2">
        <f t="shared" ref="H41:H64" si="15">AS40*(1+(H5/100))</f>
        <v>32938.046625000003</v>
      </c>
      <c r="I41" s="2">
        <f t="shared" ref="I41:I64" si="16">SUM(B41:H41)</f>
        <v>119239.25360600001</v>
      </c>
      <c r="J41" s="2">
        <f t="shared" ref="J41:J64" si="17">I41-I40</f>
        <v>23973.753606000013</v>
      </c>
      <c r="K41" s="6">
        <f t="shared" ref="K41:K64" si="18">(J41/I40)</f>
        <v>0.25165200000000015</v>
      </c>
      <c r="L41" s="7">
        <f t="shared" ref="L41:L64" si="19">K41+1</f>
        <v>1.2516520000000002</v>
      </c>
      <c r="O41">
        <f t="shared" ref="O41:O64" si="20">A41</f>
        <v>1991</v>
      </c>
      <c r="P41" s="6">
        <f t="shared" si="5"/>
        <v>0.20807700542962423</v>
      </c>
      <c r="Q41" s="6">
        <f t="shared" si="5"/>
        <v>0.33999066833273139</v>
      </c>
      <c r="R41" s="7"/>
      <c r="S41" s="7"/>
      <c r="T41" s="6">
        <f t="shared" si="6"/>
        <v>0.17569739831838246</v>
      </c>
      <c r="U41" s="7"/>
      <c r="V41" s="6">
        <f t="shared" si="7"/>
        <v>0.27623492791926191</v>
      </c>
      <c r="W41" s="6">
        <f t="shared" ref="W41:W64" si="21">SUM(P41:V41)</f>
        <v>1</v>
      </c>
      <c r="X41" s="7">
        <f t="shared" ref="X41:X64" si="22">SUM(P41:U41)</f>
        <v>0.72376507208073815</v>
      </c>
      <c r="Y41" s="7">
        <f t="shared" ref="Y41:Y64" si="23">W41-(X41+V41)</f>
        <v>0</v>
      </c>
      <c r="Z41" s="6"/>
      <c r="AB41">
        <f t="shared" ref="AB41:AB64" si="24">O41</f>
        <v>1991</v>
      </c>
      <c r="AC41" s="1" t="b">
        <f t="shared" ref="AC41:AC64" si="25">AND((B41/$I41)&gt;0.15,(B41/$I41)&lt;0.25)</f>
        <v>1</v>
      </c>
      <c r="AD41" s="1" t="b">
        <f t="shared" ref="AD41:AD48" si="26">AND((C41/$I41)&gt;0.25,(C41/$I41)&lt;0.35)</f>
        <v>1</v>
      </c>
      <c r="AG41" s="1" t="b">
        <f t="shared" si="8"/>
        <v>1</v>
      </c>
      <c r="AI41" s="1" t="b">
        <f t="shared" ref="AI41:AI64" si="27">AND((H41/$I41)&gt;0.25,(H41/$I41)&lt;0.35)</f>
        <v>1</v>
      </c>
      <c r="AJ41" s="1" t="b">
        <f t="shared" ref="AJ41:AJ64" si="28">AND((I41/$I41)&gt;0.999,(I41/$I41)&lt;1.01)</f>
        <v>1</v>
      </c>
      <c r="AL41">
        <f t="shared" ref="AL41:AL64" si="29">A41</f>
        <v>1991</v>
      </c>
      <c r="AM41" s="2">
        <f t="shared" si="9"/>
        <v>23847.850721200004</v>
      </c>
      <c r="AN41" s="2">
        <f t="shared" si="9"/>
        <v>35771.776081800002</v>
      </c>
      <c r="AO41" s="2"/>
      <c r="AP41" s="2"/>
      <c r="AQ41" s="2">
        <f t="shared" si="10"/>
        <v>23847.850721200004</v>
      </c>
      <c r="AR41" s="2"/>
      <c r="AS41" s="2">
        <f t="shared" si="11"/>
        <v>35771.776081800002</v>
      </c>
      <c r="AT41" s="2">
        <f t="shared" ref="AT41:AT64" si="30">SUM(AM41:AS41)</f>
        <v>119239.25360600001</v>
      </c>
      <c r="AU41" s="2">
        <f t="shared" ref="AU41:AU64" si="31">AT41-I41</f>
        <v>0</v>
      </c>
    </row>
    <row r="42" spans="1:47" x14ac:dyDescent="0.2">
      <c r="A42">
        <f t="shared" si="4"/>
        <v>1992</v>
      </c>
      <c r="B42" s="2">
        <f t="shared" si="12"/>
        <v>25617.361244713047</v>
      </c>
      <c r="C42" s="2">
        <f t="shared" si="13"/>
        <v>40231.085688157189</v>
      </c>
      <c r="D42" s="2"/>
      <c r="E42" s="2"/>
      <c r="F42" s="2">
        <f t="shared" si="14"/>
        <v>21768.079659804152</v>
      </c>
      <c r="G42" s="2"/>
      <c r="H42" s="2">
        <f t="shared" si="15"/>
        <v>38325.880894040522</v>
      </c>
      <c r="I42" s="2">
        <f t="shared" ref="I42:I48" si="32">SUM(B42:H42)</f>
        <v>125942.40748671492</v>
      </c>
      <c r="J42" s="2">
        <f t="shared" si="17"/>
        <v>6703.1538807149045</v>
      </c>
      <c r="K42" s="6">
        <f t="shared" si="18"/>
        <v>5.6216000000000065E-2</v>
      </c>
      <c r="L42" s="7">
        <f t="shared" si="19"/>
        <v>1.056216</v>
      </c>
      <c r="O42">
        <f t="shared" si="20"/>
        <v>1992</v>
      </c>
      <c r="P42" s="6">
        <f t="shared" si="5"/>
        <v>0.20340536405432225</v>
      </c>
      <c r="Q42" s="6">
        <f t="shared" si="5"/>
        <v>0.31944034174827873</v>
      </c>
      <c r="R42" s="7"/>
      <c r="S42" s="7"/>
      <c r="T42" s="6">
        <f t="shared" si="6"/>
        <v>0.17284153998803276</v>
      </c>
      <c r="U42" s="7"/>
      <c r="V42" s="6">
        <f t="shared" si="7"/>
        <v>0.30431275420936621</v>
      </c>
      <c r="W42" s="6">
        <f t="shared" si="21"/>
        <v>1</v>
      </c>
      <c r="X42" s="7">
        <f t="shared" si="22"/>
        <v>0.69568724579063379</v>
      </c>
      <c r="Y42" s="7">
        <f t="shared" si="23"/>
        <v>0</v>
      </c>
      <c r="Z42" s="6"/>
      <c r="AB42">
        <f t="shared" si="24"/>
        <v>1992</v>
      </c>
      <c r="AC42" s="1" t="b">
        <f t="shared" si="25"/>
        <v>1</v>
      </c>
      <c r="AD42" s="1" t="b">
        <f t="shared" si="26"/>
        <v>1</v>
      </c>
      <c r="AG42" s="1" t="b">
        <f t="shared" si="8"/>
        <v>1</v>
      </c>
      <c r="AI42" s="1" t="b">
        <f t="shared" si="27"/>
        <v>1</v>
      </c>
      <c r="AJ42" s="1" t="b">
        <f t="shared" si="28"/>
        <v>1</v>
      </c>
      <c r="AL42">
        <f t="shared" si="29"/>
        <v>1992</v>
      </c>
      <c r="AM42" s="2">
        <f t="shared" si="9"/>
        <v>25188.481497342986</v>
      </c>
      <c r="AN42" s="2">
        <f t="shared" si="9"/>
        <v>37782.722246014477</v>
      </c>
      <c r="AO42" s="2"/>
      <c r="AP42" s="2"/>
      <c r="AQ42" s="2">
        <f t="shared" si="10"/>
        <v>25188.481497342986</v>
      </c>
      <c r="AR42" s="2"/>
      <c r="AS42" s="2">
        <f t="shared" si="11"/>
        <v>37782.722246014477</v>
      </c>
      <c r="AT42" s="2">
        <f t="shared" si="30"/>
        <v>125942.40748671492</v>
      </c>
      <c r="AU42" s="2">
        <f t="shared" si="31"/>
        <v>0</v>
      </c>
    </row>
    <row r="43" spans="1:47" x14ac:dyDescent="0.2">
      <c r="A43">
        <f t="shared" si="4"/>
        <v>1993</v>
      </c>
      <c r="B43" s="2">
        <f t="shared" si="12"/>
        <v>27679.622317430207</v>
      </c>
      <c r="C43" s="2">
        <f t="shared" si="13"/>
        <v>43257.438699461978</v>
      </c>
      <c r="D43" s="2"/>
      <c r="E43" s="2"/>
      <c r="F43" s="2">
        <f t="shared" si="14"/>
        <v>32869.457045142757</v>
      </c>
      <c r="G43" s="2"/>
      <c r="H43" s="2">
        <f t="shared" si="15"/>
        <v>41440.08975942868</v>
      </c>
      <c r="I43" s="2">
        <f t="shared" si="32"/>
        <v>145246.60782146361</v>
      </c>
      <c r="J43" s="2">
        <f t="shared" si="17"/>
        <v>19304.20033474869</v>
      </c>
      <c r="K43" s="6">
        <f t="shared" si="18"/>
        <v>0.153278</v>
      </c>
      <c r="L43" s="7">
        <f t="shared" si="19"/>
        <v>1.153278</v>
      </c>
      <c r="O43">
        <f t="shared" si="20"/>
        <v>1993</v>
      </c>
      <c r="P43" s="6">
        <f t="shared" si="5"/>
        <v>0.19056983658753571</v>
      </c>
      <c r="Q43" s="6">
        <f t="shared" si="5"/>
        <v>0.29782064688652699</v>
      </c>
      <c r="R43" s="7"/>
      <c r="S43" s="7"/>
      <c r="T43" s="6">
        <f t="shared" si="6"/>
        <v>0.226301030627481</v>
      </c>
      <c r="U43" s="7"/>
      <c r="V43" s="6">
        <f t="shared" si="7"/>
        <v>0.28530848589845642</v>
      </c>
      <c r="W43" s="6">
        <f t="shared" si="21"/>
        <v>1</v>
      </c>
      <c r="X43" s="7">
        <f t="shared" si="22"/>
        <v>0.71469151410154363</v>
      </c>
      <c r="Y43" s="7">
        <f t="shared" si="23"/>
        <v>0</v>
      </c>
      <c r="Z43" s="6"/>
      <c r="AB43">
        <f t="shared" si="24"/>
        <v>1993</v>
      </c>
      <c r="AC43" s="1" t="b">
        <f t="shared" si="25"/>
        <v>1</v>
      </c>
      <c r="AD43" s="1" t="b">
        <f t="shared" si="26"/>
        <v>1</v>
      </c>
      <c r="AG43" s="1" t="b">
        <f t="shared" si="8"/>
        <v>1</v>
      </c>
      <c r="AI43" s="1" t="b">
        <f t="shared" si="27"/>
        <v>1</v>
      </c>
      <c r="AJ43" s="1" t="b">
        <f t="shared" si="28"/>
        <v>1</v>
      </c>
      <c r="AL43">
        <f t="shared" si="29"/>
        <v>1993</v>
      </c>
      <c r="AM43" s="2">
        <f t="shared" si="9"/>
        <v>29049.321564292724</v>
      </c>
      <c r="AN43" s="2">
        <f t="shared" si="9"/>
        <v>43573.982346439079</v>
      </c>
      <c r="AO43" s="2"/>
      <c r="AP43" s="2"/>
      <c r="AQ43" s="2">
        <f t="shared" si="10"/>
        <v>29049.321564292724</v>
      </c>
      <c r="AR43" s="2"/>
      <c r="AS43" s="2">
        <f t="shared" si="11"/>
        <v>43573.982346439079</v>
      </c>
      <c r="AT43" s="2">
        <f t="shared" si="30"/>
        <v>145246.60782146361</v>
      </c>
      <c r="AU43" s="2">
        <f t="shared" si="31"/>
        <v>0</v>
      </c>
    </row>
    <row r="44" spans="1:47" x14ac:dyDescent="0.2">
      <c r="A44">
        <f t="shared" si="4"/>
        <v>1994</v>
      </c>
      <c r="B44" s="2">
        <f t="shared" si="12"/>
        <v>29392.10355875138</v>
      </c>
      <c r="C44" s="2">
        <f t="shared" si="13"/>
        <v>42805.337297847895</v>
      </c>
      <c r="D44" s="2"/>
      <c r="E44" s="2"/>
      <c r="F44" s="2">
        <f t="shared" si="14"/>
        <v>30575.86341249631</v>
      </c>
      <c r="G44" s="2"/>
      <c r="H44" s="2">
        <f t="shared" si="15"/>
        <v>42414.914416023799</v>
      </c>
      <c r="I44" s="2">
        <f t="shared" si="32"/>
        <v>145188.21868511938</v>
      </c>
      <c r="J44" s="2">
        <f t="shared" si="17"/>
        <v>-58.389136344223516</v>
      </c>
      <c r="K44" s="6">
        <f t="shared" si="18"/>
        <v>-4.0199999999996657E-4</v>
      </c>
      <c r="L44" s="7">
        <f t="shared" si="19"/>
        <v>0.99959799999999999</v>
      </c>
      <c r="O44">
        <f t="shared" si="20"/>
        <v>1994</v>
      </c>
      <c r="P44" s="6">
        <f t="shared" si="5"/>
        <v>0.20244138143533702</v>
      </c>
      <c r="Q44" s="6">
        <f t="shared" si="5"/>
        <v>0.29482652026114498</v>
      </c>
      <c r="R44" s="7"/>
      <c r="S44" s="7"/>
      <c r="T44" s="84">
        <f t="shared" si="6"/>
        <v>0.21059465905293931</v>
      </c>
      <c r="U44" s="7"/>
      <c r="V44" s="6">
        <f t="shared" si="7"/>
        <v>0.29213743925057872</v>
      </c>
      <c r="W44" s="6">
        <f t="shared" si="21"/>
        <v>1</v>
      </c>
      <c r="X44" s="7">
        <f t="shared" si="22"/>
        <v>0.70786256074942133</v>
      </c>
      <c r="Y44" s="7">
        <f t="shared" si="23"/>
        <v>0</v>
      </c>
      <c r="Z44" s="6"/>
      <c r="AB44">
        <f t="shared" si="24"/>
        <v>1994</v>
      </c>
      <c r="AC44" s="1" t="b">
        <f t="shared" si="25"/>
        <v>1</v>
      </c>
      <c r="AD44" s="1" t="b">
        <f t="shared" si="26"/>
        <v>1</v>
      </c>
      <c r="AG44" s="35" t="b">
        <f t="shared" si="8"/>
        <v>1</v>
      </c>
      <c r="AI44" s="1" t="b">
        <f t="shared" si="27"/>
        <v>1</v>
      </c>
      <c r="AJ44" s="1" t="b">
        <f t="shared" si="28"/>
        <v>1</v>
      </c>
      <c r="AL44">
        <f t="shared" si="29"/>
        <v>1994</v>
      </c>
      <c r="AM44" s="2">
        <f t="shared" si="9"/>
        <v>29037.643737023878</v>
      </c>
      <c r="AN44" s="2">
        <f t="shared" si="9"/>
        <v>43556.465605535814</v>
      </c>
      <c r="AO44" s="2"/>
      <c r="AP44" s="2"/>
      <c r="AQ44" s="2">
        <f t="shared" si="10"/>
        <v>29037.643737023878</v>
      </c>
      <c r="AR44" s="2"/>
      <c r="AS44" s="2">
        <f t="shared" si="11"/>
        <v>43556.465605535814</v>
      </c>
      <c r="AT44" s="2">
        <f t="shared" si="30"/>
        <v>145188.21868511938</v>
      </c>
      <c r="AU44" s="2">
        <f t="shared" si="31"/>
        <v>0</v>
      </c>
    </row>
    <row r="45" spans="1:47" x14ac:dyDescent="0.2">
      <c r="A45">
        <f t="shared" si="4"/>
        <v>1995</v>
      </c>
      <c r="B45" s="2">
        <f t="shared" si="12"/>
        <v>39912.241316539323</v>
      </c>
      <c r="C45" s="2">
        <f t="shared" si="13"/>
        <v>58277.244286238747</v>
      </c>
      <c r="D45" s="2"/>
      <c r="E45" s="2"/>
      <c r="F45" s="2">
        <f t="shared" si="14"/>
        <v>31838.6148518972</v>
      </c>
      <c r="G45" s="2"/>
      <c r="H45" s="2">
        <f t="shared" si="15"/>
        <v>51475.031052622224</v>
      </c>
      <c r="I45" s="2">
        <f t="shared" ref="I45" si="33">SUM(B45:H45)</f>
        <v>181503.13150729748</v>
      </c>
      <c r="J45" s="2">
        <f t="shared" si="17"/>
        <v>36314.912822178099</v>
      </c>
      <c r="K45" s="6">
        <f t="shared" si="18"/>
        <v>0.25012299999999987</v>
      </c>
      <c r="L45" s="7">
        <f t="shared" si="19"/>
        <v>1.2501229999999999</v>
      </c>
      <c r="O45">
        <f t="shared" si="20"/>
        <v>1995</v>
      </c>
      <c r="P45" s="6">
        <f t="shared" si="5"/>
        <v>0.21989836200117913</v>
      </c>
      <c r="Q45" s="6">
        <f t="shared" si="5"/>
        <v>0.32108120560936804</v>
      </c>
      <c r="R45" s="7"/>
      <c r="S45" s="7"/>
      <c r="T45" s="6">
        <f t="shared" si="6"/>
        <v>0.17541633903223924</v>
      </c>
      <c r="U45" s="7"/>
      <c r="V45" s="6">
        <f t="shared" si="7"/>
        <v>0.28360409335721365</v>
      </c>
      <c r="W45" s="6">
        <f t="shared" si="21"/>
        <v>1</v>
      </c>
      <c r="X45" s="7">
        <f t="shared" si="22"/>
        <v>0.7163959066427863</v>
      </c>
      <c r="Y45" s="7">
        <f t="shared" si="23"/>
        <v>0</v>
      </c>
      <c r="Z45" s="6"/>
      <c r="AB45">
        <f t="shared" si="24"/>
        <v>1995</v>
      </c>
      <c r="AC45" s="1" t="b">
        <f t="shared" si="25"/>
        <v>1</v>
      </c>
      <c r="AD45" s="1" t="b">
        <f t="shared" si="26"/>
        <v>1</v>
      </c>
      <c r="AG45" s="1" t="b">
        <f t="shared" si="8"/>
        <v>1</v>
      </c>
      <c r="AI45" s="1" t="b">
        <f t="shared" si="27"/>
        <v>1</v>
      </c>
      <c r="AJ45" s="1" t="b">
        <f t="shared" si="28"/>
        <v>1</v>
      </c>
      <c r="AL45">
        <f t="shared" si="29"/>
        <v>1995</v>
      </c>
      <c r="AM45" s="2">
        <f t="shared" si="9"/>
        <v>36300.626301459495</v>
      </c>
      <c r="AN45" s="2">
        <f t="shared" si="9"/>
        <v>54450.939452189246</v>
      </c>
      <c r="AO45" s="2"/>
      <c r="AP45" s="2"/>
      <c r="AQ45" s="2">
        <f t="shared" si="10"/>
        <v>36300.626301459495</v>
      </c>
      <c r="AR45" s="2"/>
      <c r="AS45" s="2">
        <f t="shared" si="11"/>
        <v>54450.939452189246</v>
      </c>
      <c r="AT45" s="2">
        <f t="shared" si="30"/>
        <v>181503.13150729748</v>
      </c>
      <c r="AU45" s="2">
        <f t="shared" si="31"/>
        <v>0</v>
      </c>
    </row>
    <row r="46" spans="1:47" x14ac:dyDescent="0.2">
      <c r="A46">
        <f t="shared" si="4"/>
        <v>1996</v>
      </c>
      <c r="B46" s="2">
        <f t="shared" si="12"/>
        <v>44606.209599233429</v>
      </c>
      <c r="C46" s="2">
        <f t="shared" si="13"/>
        <v>64059.896737317074</v>
      </c>
      <c r="D46" s="2"/>
      <c r="E46" s="2"/>
      <c r="F46" s="2">
        <f t="shared" si="14"/>
        <v>40010.187303205639</v>
      </c>
      <c r="G46" s="2"/>
      <c r="H46" s="2">
        <f t="shared" si="15"/>
        <v>56400.283084577626</v>
      </c>
      <c r="I46" s="2">
        <f t="shared" si="32"/>
        <v>205076.57672433375</v>
      </c>
      <c r="J46" s="2">
        <f t="shared" si="17"/>
        <v>23573.445217036264</v>
      </c>
      <c r="K46" s="6">
        <f t="shared" si="18"/>
        <v>0.12987899999999986</v>
      </c>
      <c r="L46" s="7">
        <f t="shared" si="19"/>
        <v>1.1298789999999999</v>
      </c>
      <c r="O46">
        <f t="shared" si="20"/>
        <v>1996</v>
      </c>
      <c r="P46" s="6">
        <f t="shared" si="5"/>
        <v>0.2175100165592953</v>
      </c>
      <c r="Q46" s="6">
        <f t="shared" si="5"/>
        <v>0.312370616676653</v>
      </c>
      <c r="R46" s="7"/>
      <c r="S46" s="7"/>
      <c r="T46" s="6">
        <f t="shared" si="6"/>
        <v>0.19509876721312636</v>
      </c>
      <c r="U46" s="7"/>
      <c r="V46" s="6">
        <f t="shared" si="7"/>
        <v>0.27502059955092545</v>
      </c>
      <c r="W46" s="6">
        <f t="shared" si="21"/>
        <v>1</v>
      </c>
      <c r="X46" s="7">
        <f t="shared" si="22"/>
        <v>0.72497940044907461</v>
      </c>
      <c r="Y46" s="7">
        <f t="shared" si="23"/>
        <v>0</v>
      </c>
      <c r="Z46" s="6"/>
      <c r="AB46">
        <f t="shared" si="24"/>
        <v>1996</v>
      </c>
      <c r="AC46" s="1" t="b">
        <f t="shared" si="25"/>
        <v>1</v>
      </c>
      <c r="AD46" s="1" t="b">
        <f t="shared" si="26"/>
        <v>1</v>
      </c>
      <c r="AG46" s="1" t="b">
        <f t="shared" si="8"/>
        <v>1</v>
      </c>
      <c r="AI46" s="1" t="b">
        <f t="shared" si="27"/>
        <v>1</v>
      </c>
      <c r="AJ46" s="1" t="b">
        <f t="shared" si="28"/>
        <v>1</v>
      </c>
      <c r="AL46">
        <f t="shared" si="29"/>
        <v>1996</v>
      </c>
      <c r="AM46" s="2">
        <f t="shared" si="9"/>
        <v>41015.315344866751</v>
      </c>
      <c r="AN46" s="2">
        <f t="shared" si="9"/>
        <v>61522.973017300123</v>
      </c>
      <c r="AO46" s="2"/>
      <c r="AP46" s="2"/>
      <c r="AQ46" s="2">
        <f t="shared" si="10"/>
        <v>41015.315344866751</v>
      </c>
      <c r="AR46" s="2"/>
      <c r="AS46" s="2">
        <f t="shared" si="11"/>
        <v>61522.973017300123</v>
      </c>
      <c r="AT46" s="2">
        <f t="shared" si="30"/>
        <v>205076.57672433375</v>
      </c>
      <c r="AU46" s="2">
        <f t="shared" si="31"/>
        <v>0</v>
      </c>
    </row>
    <row r="47" spans="1:47" x14ac:dyDescent="0.2">
      <c r="A47">
        <f t="shared" si="4"/>
        <v>1997</v>
      </c>
      <c r="B47" s="2">
        <f t="shared" si="12"/>
        <v>54628.298507828025</v>
      </c>
      <c r="C47" s="2">
        <f t="shared" si="13"/>
        <v>77941.608826427007</v>
      </c>
      <c r="D47" s="2"/>
      <c r="E47" s="2"/>
      <c r="F47" s="2"/>
      <c r="G47" s="2">
        <f>AQ46*(1+(G11/100))</f>
        <v>40697.446650944032</v>
      </c>
      <c r="H47" s="2">
        <f t="shared" si="15"/>
        <v>67330.741670133255</v>
      </c>
      <c r="I47" s="2">
        <f t="shared" si="32"/>
        <v>240598.09565533232</v>
      </c>
      <c r="J47" s="2">
        <f t="shared" si="17"/>
        <v>35521.518930998573</v>
      </c>
      <c r="K47" s="6">
        <f t="shared" si="18"/>
        <v>0.173211</v>
      </c>
      <c r="L47" s="7">
        <f t="shared" si="19"/>
        <v>1.173211</v>
      </c>
      <c r="O47">
        <f t="shared" si="20"/>
        <v>1997</v>
      </c>
      <c r="P47" s="6">
        <f t="shared" si="5"/>
        <v>0.22705208185057932</v>
      </c>
      <c r="Q47" s="6">
        <f t="shared" si="5"/>
        <v>0.32394940040623554</v>
      </c>
      <c r="R47" s="7"/>
      <c r="S47" s="7"/>
      <c r="T47" s="6"/>
      <c r="U47" s="6">
        <f t="shared" si="5"/>
        <v>0.16915115865773506</v>
      </c>
      <c r="V47" s="6">
        <f t="shared" si="7"/>
        <v>0.27984735908545011</v>
      </c>
      <c r="W47" s="6">
        <f t="shared" si="21"/>
        <v>1</v>
      </c>
      <c r="X47" s="7">
        <f t="shared" si="22"/>
        <v>0.72015264091455</v>
      </c>
      <c r="Y47" s="7">
        <f t="shared" si="23"/>
        <v>0</v>
      </c>
      <c r="Z47" s="6"/>
      <c r="AB47">
        <f t="shared" si="24"/>
        <v>1997</v>
      </c>
      <c r="AC47" s="1" t="b">
        <f t="shared" si="25"/>
        <v>1</v>
      </c>
      <c r="AD47" s="1" t="b">
        <f t="shared" si="26"/>
        <v>1</v>
      </c>
      <c r="AG47" s="1"/>
      <c r="AH47" s="1" t="b">
        <f t="shared" ref="AH47:AH64" si="34">AND((G47/$I47)&gt;0.15,(G47/$I47)&lt;0.25)</f>
        <v>1</v>
      </c>
      <c r="AI47" s="1" t="b">
        <f t="shared" si="27"/>
        <v>1</v>
      </c>
      <c r="AJ47" s="1" t="b">
        <f t="shared" si="28"/>
        <v>1</v>
      </c>
      <c r="AL47">
        <f t="shared" si="29"/>
        <v>1997</v>
      </c>
      <c r="AM47" s="2">
        <f t="shared" si="9"/>
        <v>48119.619131066465</v>
      </c>
      <c r="AN47" s="2">
        <f t="shared" si="9"/>
        <v>72179.428696599687</v>
      </c>
      <c r="AO47" s="2"/>
      <c r="AP47" s="2"/>
      <c r="AQ47" s="2"/>
      <c r="AR47" s="2">
        <f t="shared" si="10"/>
        <v>48119.619131066465</v>
      </c>
      <c r="AS47" s="2">
        <f t="shared" si="11"/>
        <v>72179.428696599687</v>
      </c>
      <c r="AT47" s="2">
        <f t="shared" si="30"/>
        <v>240598.09565533232</v>
      </c>
      <c r="AU47" s="2">
        <f t="shared" si="31"/>
        <v>0</v>
      </c>
    </row>
    <row r="48" spans="1:47" x14ac:dyDescent="0.2">
      <c r="A48">
        <f t="shared" si="4"/>
        <v>1998</v>
      </c>
      <c r="B48" s="2">
        <f t="shared" si="12"/>
        <v>61910.701974030111</v>
      </c>
      <c r="C48" s="2">
        <f t="shared" si="13"/>
        <v>78208.576375626668</v>
      </c>
      <c r="D48" s="2"/>
      <c r="E48" s="2"/>
      <c r="F48" s="2"/>
      <c r="G48" s="2">
        <f t="shared" ref="G48:G64" si="35">AR47*(1+(G12/100))</f>
        <v>55627.723304086758</v>
      </c>
      <c r="H48" s="2">
        <f t="shared" si="15"/>
        <v>78372.42367876794</v>
      </c>
      <c r="I48" s="2">
        <f t="shared" si="32"/>
        <v>274119.42533251148</v>
      </c>
      <c r="J48" s="2">
        <f t="shared" si="17"/>
        <v>33521.329677179165</v>
      </c>
      <c r="K48" s="6">
        <f t="shared" si="18"/>
        <v>0.13932499999999995</v>
      </c>
      <c r="L48" s="7">
        <f t="shared" si="19"/>
        <v>1.1393249999999999</v>
      </c>
      <c r="O48">
        <f t="shared" si="20"/>
        <v>1998</v>
      </c>
      <c r="P48" s="6">
        <f t="shared" si="5"/>
        <v>0.22585302701160775</v>
      </c>
      <c r="Q48" s="6">
        <f t="shared" si="5"/>
        <v>0.28530840629319992</v>
      </c>
      <c r="R48" s="7"/>
      <c r="S48" s="7"/>
      <c r="T48" s="6"/>
      <c r="U48" s="6">
        <f t="shared" si="5"/>
        <v>0.20293243806639893</v>
      </c>
      <c r="V48" s="84">
        <f t="shared" si="7"/>
        <v>0.28590612862879333</v>
      </c>
      <c r="W48" s="6">
        <f t="shared" si="21"/>
        <v>1</v>
      </c>
      <c r="X48" s="7">
        <f t="shared" si="22"/>
        <v>0.71409387137120661</v>
      </c>
      <c r="Y48" s="7">
        <f t="shared" si="23"/>
        <v>0</v>
      </c>
      <c r="Z48" s="6"/>
      <c r="AB48">
        <f t="shared" si="24"/>
        <v>1998</v>
      </c>
      <c r="AC48" s="1" t="b">
        <f t="shared" si="25"/>
        <v>1</v>
      </c>
      <c r="AD48" s="1" t="b">
        <f t="shared" si="26"/>
        <v>1</v>
      </c>
      <c r="AG48" s="1"/>
      <c r="AH48" s="1" t="b">
        <f t="shared" si="34"/>
        <v>1</v>
      </c>
      <c r="AI48" s="35" t="b">
        <f t="shared" si="27"/>
        <v>1</v>
      </c>
      <c r="AJ48" s="1" t="b">
        <f t="shared" si="28"/>
        <v>1</v>
      </c>
      <c r="AL48">
        <f t="shared" si="29"/>
        <v>1998</v>
      </c>
      <c r="AM48" s="2">
        <f t="shared" si="9"/>
        <v>54823.885066502298</v>
      </c>
      <c r="AN48" s="2">
        <f t="shared" si="9"/>
        <v>82235.827599753437</v>
      </c>
      <c r="AO48" s="2"/>
      <c r="AP48" s="2"/>
      <c r="AQ48" s="2"/>
      <c r="AR48" s="2">
        <f t="shared" si="10"/>
        <v>54823.885066502298</v>
      </c>
      <c r="AS48" s="2">
        <f t="shared" si="11"/>
        <v>82235.827599753437</v>
      </c>
      <c r="AT48" s="2">
        <f t="shared" si="30"/>
        <v>274119.42533251148</v>
      </c>
      <c r="AU48" s="2">
        <f t="shared" si="31"/>
        <v>0</v>
      </c>
    </row>
    <row r="49" spans="1:47" x14ac:dyDescent="0.2">
      <c r="A49">
        <f t="shared" si="4"/>
        <v>1999</v>
      </c>
      <c r="B49" s="2">
        <f t="shared" si="12"/>
        <v>66375.277650014337</v>
      </c>
      <c r="C49" s="2"/>
      <c r="D49" s="2">
        <f>(AN48*0.67)*(1+(D13/100))</f>
        <v>63538.467799938975</v>
      </c>
      <c r="E49" s="2">
        <f>(AN48*0.33)*(1+(E13/100))</f>
        <v>33415.615727473458</v>
      </c>
      <c r="F49" s="2"/>
      <c r="G49" s="2">
        <f t="shared" si="35"/>
        <v>71226.643239549128</v>
      </c>
      <c r="H49" s="2">
        <f t="shared" si="15"/>
        <v>81610.835309995309</v>
      </c>
      <c r="I49" s="2">
        <f t="shared" si="16"/>
        <v>316166.83972697123</v>
      </c>
      <c r="J49" s="2">
        <f t="shared" si="17"/>
        <v>42047.414394459745</v>
      </c>
      <c r="K49" s="6">
        <f t="shared" si="18"/>
        <v>0.15339086000000007</v>
      </c>
      <c r="L49" s="7">
        <f t="shared" si="19"/>
        <v>1.15339086</v>
      </c>
      <c r="O49">
        <f t="shared" si="20"/>
        <v>1999</v>
      </c>
      <c r="P49" s="6">
        <f t="shared" si="5"/>
        <v>0.20993750548708182</v>
      </c>
      <c r="Q49" s="6"/>
      <c r="R49" s="6">
        <f t="shared" ref="R49" si="36">D49/$I49</f>
        <v>0.20096499637598997</v>
      </c>
      <c r="S49" s="6">
        <f t="shared" ref="S49" si="37">E49/$I49</f>
        <v>0.1056898179338789</v>
      </c>
      <c r="T49" s="6"/>
      <c r="U49" s="6">
        <f t="shared" si="5"/>
        <v>0.22528182683882203</v>
      </c>
      <c r="V49" s="6">
        <f t="shared" si="7"/>
        <v>0.25812585336422722</v>
      </c>
      <c r="W49" s="6">
        <f t="shared" si="21"/>
        <v>0.99999999999999989</v>
      </c>
      <c r="X49" s="7">
        <f t="shared" si="22"/>
        <v>0.74187414663577267</v>
      </c>
      <c r="Y49" s="7">
        <f t="shared" si="23"/>
        <v>0</v>
      </c>
      <c r="Z49" s="6"/>
      <c r="AB49">
        <f t="shared" si="24"/>
        <v>1999</v>
      </c>
      <c r="AC49" s="1" t="b">
        <f t="shared" si="25"/>
        <v>1</v>
      </c>
      <c r="AD49" s="1"/>
      <c r="AE49" s="1" t="b">
        <f t="shared" ref="AE49:AE50" si="38">AND((D49/$I49)&gt;0.15,(D49/$I49)&lt;0.25)</f>
        <v>1</v>
      </c>
      <c r="AF49" s="1" t="b">
        <f t="shared" ref="AF49:AF50" si="39">AND((E49/$I49)&gt;0.05,(E49/$I49)&lt;0.15)</f>
        <v>1</v>
      </c>
      <c r="AG49" s="1"/>
      <c r="AH49" s="1" t="b">
        <f t="shared" si="34"/>
        <v>1</v>
      </c>
      <c r="AI49" s="1" t="b">
        <f t="shared" si="27"/>
        <v>1</v>
      </c>
      <c r="AJ49" s="1" t="b">
        <f t="shared" si="28"/>
        <v>1</v>
      </c>
      <c r="AL49">
        <f t="shared" si="29"/>
        <v>1999</v>
      </c>
      <c r="AM49" s="2">
        <f t="shared" si="9"/>
        <v>63233.367945394246</v>
      </c>
      <c r="AN49" s="2"/>
      <c r="AO49" s="2">
        <f t="shared" ref="AO49:AP64" si="40">$I49*AO$39</f>
        <v>63233.367945394246</v>
      </c>
      <c r="AP49" s="2">
        <f t="shared" si="40"/>
        <v>31616.683972697123</v>
      </c>
      <c r="AQ49" s="2"/>
      <c r="AR49" s="2">
        <f t="shared" si="10"/>
        <v>63233.367945394246</v>
      </c>
      <c r="AS49" s="2">
        <f t="shared" si="11"/>
        <v>94850.051918091369</v>
      </c>
      <c r="AT49" s="2">
        <f t="shared" si="30"/>
        <v>316166.83972697123</v>
      </c>
      <c r="AU49" s="2">
        <f t="shared" si="31"/>
        <v>0</v>
      </c>
    </row>
    <row r="50" spans="1:47" x14ac:dyDescent="0.2">
      <c r="A50">
        <f t="shared" si="4"/>
        <v>2000</v>
      </c>
      <c r="B50" s="2">
        <f t="shared" si="12"/>
        <v>57504.424809541524</v>
      </c>
      <c r="C50" s="2"/>
      <c r="D50" s="2">
        <f t="shared" ref="D50:D51" si="41">AO49*(1+(D14/100))</f>
        <v>74677.342876151684</v>
      </c>
      <c r="E50" s="2">
        <f t="shared" ref="E50:E51" si="42">AP49*(1+(E14/100))</f>
        <v>30774.099344824746</v>
      </c>
      <c r="F50" s="2"/>
      <c r="G50" s="2">
        <f t="shared" si="35"/>
        <v>53360.10987440039</v>
      </c>
      <c r="H50" s="2">
        <f t="shared" si="15"/>
        <v>105653.47283156199</v>
      </c>
      <c r="I50" s="2">
        <f t="shared" si="16"/>
        <v>321969.44973648037</v>
      </c>
      <c r="J50" s="2">
        <f t="shared" si="17"/>
        <v>5802.6100095091388</v>
      </c>
      <c r="K50" s="6">
        <f t="shared" si="18"/>
        <v>1.8353000000000112E-2</v>
      </c>
      <c r="L50" s="7">
        <f t="shared" si="19"/>
        <v>1.0183530000000001</v>
      </c>
      <c r="O50">
        <f t="shared" si="20"/>
        <v>2000</v>
      </c>
      <c r="P50" s="84">
        <f t="shared" si="5"/>
        <v>0.17860211537649515</v>
      </c>
      <c r="Q50" s="6"/>
      <c r="R50" s="6">
        <f t="shared" ref="R50" si="43">D50/$I50</f>
        <v>0.23193921950443505</v>
      </c>
      <c r="S50" s="6">
        <f t="shared" ref="S50" si="44">E50/$I50</f>
        <v>9.5580805477079159E-2</v>
      </c>
      <c r="T50" s="7"/>
      <c r="U50" s="6">
        <f t="shared" si="5"/>
        <v>0.16573035087047416</v>
      </c>
      <c r="V50" s="6">
        <f t="shared" si="7"/>
        <v>0.32814750877151638</v>
      </c>
      <c r="W50" s="6">
        <f t="shared" si="21"/>
        <v>1</v>
      </c>
      <c r="X50" s="7">
        <f t="shared" si="22"/>
        <v>0.67185249122848356</v>
      </c>
      <c r="Y50" s="7">
        <f t="shared" si="23"/>
        <v>0</v>
      </c>
      <c r="Z50" s="6"/>
      <c r="AB50">
        <f t="shared" si="24"/>
        <v>2000</v>
      </c>
      <c r="AC50" s="1" t="b">
        <f t="shared" si="25"/>
        <v>1</v>
      </c>
      <c r="AD50" s="1"/>
      <c r="AE50" s="1" t="b">
        <f t="shared" si="38"/>
        <v>1</v>
      </c>
      <c r="AF50" s="1" t="b">
        <f t="shared" si="39"/>
        <v>1</v>
      </c>
      <c r="AH50" s="1" t="b">
        <f t="shared" si="34"/>
        <v>1</v>
      </c>
      <c r="AI50" s="1" t="b">
        <f t="shared" si="27"/>
        <v>1</v>
      </c>
      <c r="AJ50" s="1" t="b">
        <f t="shared" si="28"/>
        <v>1</v>
      </c>
      <c r="AL50">
        <f t="shared" si="29"/>
        <v>2000</v>
      </c>
      <c r="AM50" s="2">
        <f t="shared" si="9"/>
        <v>64393.889947296077</v>
      </c>
      <c r="AN50" s="2"/>
      <c r="AO50" s="2">
        <f t="shared" si="40"/>
        <v>64393.889947296077</v>
      </c>
      <c r="AP50" s="2">
        <f t="shared" si="40"/>
        <v>32196.944973648038</v>
      </c>
      <c r="AQ50" s="2"/>
      <c r="AR50" s="2">
        <f t="shared" si="10"/>
        <v>64393.889947296077</v>
      </c>
      <c r="AS50" s="2">
        <f t="shared" si="11"/>
        <v>96590.834920944108</v>
      </c>
      <c r="AT50" s="2">
        <f t="shared" si="30"/>
        <v>321969.44973648037</v>
      </c>
      <c r="AU50" s="2">
        <f t="shared" si="31"/>
        <v>0</v>
      </c>
    </row>
    <row r="51" spans="1:47" x14ac:dyDescent="0.2">
      <c r="A51">
        <f t="shared" si="4"/>
        <v>2001</v>
      </c>
      <c r="B51" s="2">
        <f t="shared" ref="B51:B64" si="45">AM50*(1+(B15/100))</f>
        <v>56653.744375631089</v>
      </c>
      <c r="C51" s="2"/>
      <c r="D51" s="2">
        <f t="shared" si="41"/>
        <v>64072.564436459063</v>
      </c>
      <c r="E51" s="2">
        <f t="shared" si="42"/>
        <v>33195.050267831124</v>
      </c>
      <c r="F51" s="2"/>
      <c r="G51" s="2">
        <f t="shared" si="35"/>
        <v>51416.589306217502</v>
      </c>
      <c r="H51" s="2">
        <f t="shared" si="15"/>
        <v>104733.4423047797</v>
      </c>
      <c r="I51" s="2">
        <f t="shared" si="16"/>
        <v>310071.39069091849</v>
      </c>
      <c r="J51" s="2">
        <f t="shared" si="17"/>
        <v>-11898.05904556188</v>
      </c>
      <c r="K51" s="6">
        <f t="shared" si="18"/>
        <v>-3.6953999999999952E-2</v>
      </c>
      <c r="L51" s="7">
        <f t="shared" si="19"/>
        <v>0.96304600000000007</v>
      </c>
      <c r="O51">
        <f t="shared" si="20"/>
        <v>2001</v>
      </c>
      <c r="P51" s="6">
        <f t="shared" si="5"/>
        <v>0.18271193691682433</v>
      </c>
      <c r="Q51" s="7"/>
      <c r="R51" s="6">
        <f t="shared" si="5"/>
        <v>0.20663810451421841</v>
      </c>
      <c r="S51" s="6">
        <f t="shared" si="5"/>
        <v>0.10705615308095355</v>
      </c>
      <c r="T51" s="7"/>
      <c r="U51" s="6">
        <f t="shared" si="5"/>
        <v>0.1658217779836062</v>
      </c>
      <c r="V51" s="6">
        <f t="shared" si="7"/>
        <v>0.3377720275043975</v>
      </c>
      <c r="W51" s="6">
        <f t="shared" si="21"/>
        <v>1</v>
      </c>
      <c r="X51" s="7">
        <f t="shared" si="22"/>
        <v>0.6622279724956025</v>
      </c>
      <c r="Y51" s="7">
        <f t="shared" si="23"/>
        <v>0</v>
      </c>
      <c r="Z51" s="6"/>
      <c r="AB51">
        <f t="shared" si="24"/>
        <v>2001</v>
      </c>
      <c r="AC51" s="1" t="b">
        <f t="shared" si="25"/>
        <v>1</v>
      </c>
      <c r="AE51" s="1" t="b">
        <f>AND((D51/$I51)&gt;0.15,(D51/$I51)&lt;0.25)</f>
        <v>1</v>
      </c>
      <c r="AF51" s="1" t="b">
        <f>AND((E51/$I51)&gt;0.05,(E51/$I51)&lt;0.15)</f>
        <v>1</v>
      </c>
      <c r="AH51" s="1" t="b">
        <f t="shared" si="34"/>
        <v>1</v>
      </c>
      <c r="AI51" s="1" t="b">
        <f t="shared" si="27"/>
        <v>1</v>
      </c>
      <c r="AJ51" s="1" t="b">
        <f t="shared" si="28"/>
        <v>1</v>
      </c>
      <c r="AL51">
        <f t="shared" si="29"/>
        <v>2001</v>
      </c>
      <c r="AM51" s="2">
        <f>$I51*AM$39</f>
        <v>62014.278138183698</v>
      </c>
      <c r="AN51" s="2"/>
      <c r="AO51" s="2">
        <f t="shared" si="40"/>
        <v>62014.278138183698</v>
      </c>
      <c r="AP51" s="2">
        <f t="shared" si="40"/>
        <v>31007.139069091849</v>
      </c>
      <c r="AQ51" s="2"/>
      <c r="AR51" s="2">
        <f t="shared" si="10"/>
        <v>62014.278138183698</v>
      </c>
      <c r="AS51" s="2">
        <f t="shared" si="11"/>
        <v>93021.417207275546</v>
      </c>
      <c r="AT51" s="2">
        <f t="shared" si="30"/>
        <v>310071.39069091849</v>
      </c>
      <c r="AU51" s="2">
        <f t="shared" si="31"/>
        <v>0</v>
      </c>
    </row>
    <row r="52" spans="1:47" x14ac:dyDescent="0.2">
      <c r="A52">
        <f t="shared" si="4"/>
        <v>2002</v>
      </c>
      <c r="B52" s="2">
        <f t="shared" si="45"/>
        <v>48278.115530576004</v>
      </c>
      <c r="C52" s="2"/>
      <c r="D52" s="2">
        <f t="shared" ref="D52:D64" si="46">AO51*(1+(D16/100))</f>
        <v>52955.232387757824</v>
      </c>
      <c r="E52" s="2">
        <f t="shared" ref="E52:E64" si="47">AP51*(1+(E16/100))</f>
        <v>24798.889684678281</v>
      </c>
      <c r="F52" s="2"/>
      <c r="G52" s="2">
        <f t="shared" si="35"/>
        <v>52660.664566601452</v>
      </c>
      <c r="H52" s="2">
        <f t="shared" si="15"/>
        <v>100704.98626859651</v>
      </c>
      <c r="I52" s="2">
        <f t="shared" si="16"/>
        <v>279397.88843821007</v>
      </c>
      <c r="J52" s="2">
        <f t="shared" si="17"/>
        <v>-30673.502252708422</v>
      </c>
      <c r="K52" s="6">
        <f t="shared" si="18"/>
        <v>-9.8923999999999998E-2</v>
      </c>
      <c r="L52" s="7">
        <f t="shared" si="19"/>
        <v>0.90107599999999999</v>
      </c>
      <c r="O52">
        <f t="shared" si="20"/>
        <v>2002</v>
      </c>
      <c r="P52" s="6">
        <f t="shared" si="5"/>
        <v>0.17279341587169117</v>
      </c>
      <c r="Q52" s="7"/>
      <c r="R52" s="6">
        <f t="shared" si="5"/>
        <v>0.18953340228793131</v>
      </c>
      <c r="S52" s="84">
        <f t="shared" si="5"/>
        <v>8.8758328931188943E-2</v>
      </c>
      <c r="T52" s="7"/>
      <c r="U52" s="6">
        <f t="shared" si="5"/>
        <v>0.18847910720072447</v>
      </c>
      <c r="V52" s="6">
        <f t="shared" si="7"/>
        <v>0.36043574570846409</v>
      </c>
      <c r="W52" s="6">
        <f t="shared" si="21"/>
        <v>1</v>
      </c>
      <c r="X52" s="7">
        <f t="shared" si="22"/>
        <v>0.63956425429153585</v>
      </c>
      <c r="Y52" s="7">
        <f t="shared" si="23"/>
        <v>0</v>
      </c>
      <c r="Z52" s="6"/>
      <c r="AB52">
        <f t="shared" si="24"/>
        <v>2002</v>
      </c>
      <c r="AC52" s="1" t="b">
        <f t="shared" si="25"/>
        <v>1</v>
      </c>
      <c r="AE52" s="1" t="b">
        <f t="shared" ref="AE52:AE64" si="48">AND((D52/$I52)&gt;0.15,(D52/$I52)&lt;0.25)</f>
        <v>1</v>
      </c>
      <c r="AF52" s="1" t="b">
        <f t="shared" ref="AF52:AF64" si="49">AND((E52/$I52)&gt;0.05,(E52/$I52)&lt;0.15)</f>
        <v>1</v>
      </c>
      <c r="AH52" s="1" t="b">
        <f t="shared" si="34"/>
        <v>1</v>
      </c>
      <c r="AI52" s="39" t="b">
        <f t="shared" si="27"/>
        <v>0</v>
      </c>
      <c r="AJ52" s="1" t="b">
        <f t="shared" si="28"/>
        <v>1</v>
      </c>
      <c r="AL52">
        <f t="shared" si="29"/>
        <v>2002</v>
      </c>
      <c r="AM52" s="2">
        <f t="shared" ref="AM52:AM64" si="50">$I52*AM$39</f>
        <v>55879.577687642013</v>
      </c>
      <c r="AN52" s="2"/>
      <c r="AO52" s="2">
        <f t="shared" si="40"/>
        <v>55879.577687642013</v>
      </c>
      <c r="AP52" s="2">
        <f t="shared" si="40"/>
        <v>27939.788843821007</v>
      </c>
      <c r="AQ52" s="2"/>
      <c r="AR52" s="2">
        <f t="shared" ref="AR52:AS64" si="51">$I52*AR$39</f>
        <v>55879.577687642013</v>
      </c>
      <c r="AS52" s="2">
        <f t="shared" si="51"/>
        <v>83819.36653146302</v>
      </c>
      <c r="AT52" s="2">
        <f t="shared" si="30"/>
        <v>279397.88843821007</v>
      </c>
      <c r="AU52" s="2">
        <f t="shared" si="31"/>
        <v>0</v>
      </c>
    </row>
    <row r="53" spans="1:47" x14ac:dyDescent="0.2">
      <c r="A53">
        <f t="shared" si="4"/>
        <v>2003</v>
      </c>
      <c r="B53" s="2">
        <f t="shared" si="45"/>
        <v>71805.257328619977</v>
      </c>
      <c r="C53" s="2"/>
      <c r="D53" s="2">
        <f t="shared" si="46"/>
        <v>74957.983101756749</v>
      </c>
      <c r="E53" s="2">
        <f t="shared" si="47"/>
        <v>40688.155697479655</v>
      </c>
      <c r="F53" s="2"/>
      <c r="G53" s="2">
        <f t="shared" si="35"/>
        <v>78421.399326836807</v>
      </c>
      <c r="H53" s="2">
        <f t="shared" si="15"/>
        <v>87146.995382762107</v>
      </c>
      <c r="I53" s="2">
        <f t="shared" si="16"/>
        <v>353019.79083745531</v>
      </c>
      <c r="J53" s="2">
        <f t="shared" si="17"/>
        <v>73621.902399245242</v>
      </c>
      <c r="K53" s="6">
        <f t="shared" si="18"/>
        <v>0.26350200000000007</v>
      </c>
      <c r="L53" s="7">
        <f t="shared" si="19"/>
        <v>1.2635020000000001</v>
      </c>
      <c r="O53">
        <f t="shared" si="20"/>
        <v>2003</v>
      </c>
      <c r="P53" s="6">
        <f t="shared" si="5"/>
        <v>0.20340292298706292</v>
      </c>
      <c r="Q53" s="7"/>
      <c r="R53" s="6">
        <f t="shared" si="5"/>
        <v>0.21233365677300076</v>
      </c>
      <c r="S53" s="6">
        <f t="shared" si="5"/>
        <v>0.1152574352870039</v>
      </c>
      <c r="T53" s="7"/>
      <c r="U53" s="6">
        <f t="shared" si="5"/>
        <v>0.22214448414011218</v>
      </c>
      <c r="V53" s="84">
        <f t="shared" si="7"/>
        <v>0.24686150081282024</v>
      </c>
      <c r="W53" s="6">
        <f t="shared" si="21"/>
        <v>0.99999999999999989</v>
      </c>
      <c r="X53" s="7">
        <f t="shared" si="22"/>
        <v>0.75313849918717968</v>
      </c>
      <c r="Y53" s="7">
        <f t="shared" si="23"/>
        <v>0</v>
      </c>
      <c r="Z53" s="6"/>
      <c r="AB53">
        <f t="shared" si="24"/>
        <v>2003</v>
      </c>
      <c r="AC53" s="1" t="b">
        <f t="shared" si="25"/>
        <v>1</v>
      </c>
      <c r="AE53" s="1" t="b">
        <f t="shared" si="48"/>
        <v>1</v>
      </c>
      <c r="AF53" s="1" t="b">
        <f t="shared" si="49"/>
        <v>1</v>
      </c>
      <c r="AH53" s="1" t="b">
        <f t="shared" si="34"/>
        <v>1</v>
      </c>
      <c r="AI53" s="1" t="b">
        <f t="shared" si="27"/>
        <v>0</v>
      </c>
      <c r="AJ53" s="1" t="b">
        <f t="shared" si="28"/>
        <v>1</v>
      </c>
      <c r="AL53">
        <f t="shared" si="29"/>
        <v>2003</v>
      </c>
      <c r="AM53" s="2">
        <f t="shared" si="50"/>
        <v>70603.958167491059</v>
      </c>
      <c r="AN53" s="2"/>
      <c r="AO53" s="2">
        <f t="shared" si="40"/>
        <v>70603.958167491059</v>
      </c>
      <c r="AP53" s="2">
        <f t="shared" si="40"/>
        <v>35301.979083745529</v>
      </c>
      <c r="AQ53" s="2"/>
      <c r="AR53" s="2">
        <f t="shared" si="51"/>
        <v>70603.958167491059</v>
      </c>
      <c r="AS53" s="2">
        <f t="shared" si="51"/>
        <v>105905.9372512366</v>
      </c>
      <c r="AT53" s="2">
        <f t="shared" si="30"/>
        <v>353019.79083745531</v>
      </c>
      <c r="AU53" s="2">
        <f t="shared" si="31"/>
        <v>0</v>
      </c>
    </row>
    <row r="54" spans="1:47" x14ac:dyDescent="0.2">
      <c r="A54">
        <f t="shared" si="4"/>
        <v>2004</v>
      </c>
      <c r="B54" s="2">
        <f t="shared" si="45"/>
        <v>78186.823274679598</v>
      </c>
      <c r="C54" s="2"/>
      <c r="D54" s="2">
        <f t="shared" si="46"/>
        <v>84973.981773320513</v>
      </c>
      <c r="E54" s="2">
        <f t="shared" si="47"/>
        <v>42326.01386203838</v>
      </c>
      <c r="F54" s="2"/>
      <c r="G54" s="2">
        <f t="shared" si="35"/>
        <v>85315.704930851163</v>
      </c>
      <c r="H54" s="2">
        <f t="shared" si="15"/>
        <v>110396.34899068903</v>
      </c>
      <c r="I54" s="2">
        <f t="shared" si="16"/>
        <v>401198.87283157872</v>
      </c>
      <c r="J54" s="2">
        <f t="shared" si="17"/>
        <v>48179.081994123408</v>
      </c>
      <c r="K54" s="6">
        <f t="shared" si="18"/>
        <v>0.13647700000000004</v>
      </c>
      <c r="L54" s="7">
        <f t="shared" si="19"/>
        <v>1.136477</v>
      </c>
      <c r="O54">
        <f t="shared" si="20"/>
        <v>2004</v>
      </c>
      <c r="P54" s="84">
        <f t="shared" si="5"/>
        <v>0.19488295847606241</v>
      </c>
      <c r="Q54" s="7"/>
      <c r="R54" s="6">
        <f t="shared" si="5"/>
        <v>0.21180015081695447</v>
      </c>
      <c r="S54" s="6">
        <f t="shared" si="5"/>
        <v>0.10549883543617689</v>
      </c>
      <c r="T54" s="7"/>
      <c r="U54" s="84">
        <f t="shared" si="5"/>
        <v>0.21265190584587279</v>
      </c>
      <c r="V54" s="84">
        <f t="shared" si="7"/>
        <v>0.27516614942493339</v>
      </c>
      <c r="W54" s="6">
        <f t="shared" si="21"/>
        <v>1</v>
      </c>
      <c r="X54" s="7">
        <f t="shared" si="22"/>
        <v>0.72483385057506655</v>
      </c>
      <c r="Y54" s="7">
        <f t="shared" si="23"/>
        <v>0</v>
      </c>
      <c r="Z54" s="6"/>
      <c r="AB54">
        <f t="shared" si="24"/>
        <v>2004</v>
      </c>
      <c r="AC54" s="39" t="b">
        <f t="shared" si="25"/>
        <v>1</v>
      </c>
      <c r="AE54" s="1" t="b">
        <f t="shared" si="48"/>
        <v>1</v>
      </c>
      <c r="AF54" s="1" t="b">
        <f t="shared" si="49"/>
        <v>1</v>
      </c>
      <c r="AH54" s="39" t="b">
        <f t="shared" si="34"/>
        <v>1</v>
      </c>
      <c r="AI54" s="39" t="b">
        <f t="shared" si="27"/>
        <v>1</v>
      </c>
      <c r="AJ54" s="1" t="b">
        <f t="shared" si="28"/>
        <v>1</v>
      </c>
      <c r="AL54">
        <f t="shared" si="29"/>
        <v>2004</v>
      </c>
      <c r="AM54" s="2">
        <f t="shared" si="50"/>
        <v>80239.774566315755</v>
      </c>
      <c r="AN54" s="2"/>
      <c r="AO54" s="2">
        <f t="shared" si="40"/>
        <v>80239.774566315755</v>
      </c>
      <c r="AP54" s="2">
        <f t="shared" si="40"/>
        <v>40119.887283157877</v>
      </c>
      <c r="AQ54" s="2"/>
      <c r="AR54" s="2">
        <f t="shared" si="51"/>
        <v>80239.774566315755</v>
      </c>
      <c r="AS54" s="2">
        <f t="shared" si="51"/>
        <v>120359.6618494736</v>
      </c>
      <c r="AT54" s="2">
        <f t="shared" si="30"/>
        <v>401198.87283157872</v>
      </c>
      <c r="AU54" s="2">
        <f t="shared" si="31"/>
        <v>0</v>
      </c>
    </row>
    <row r="55" spans="1:47" x14ac:dyDescent="0.2">
      <c r="A55">
        <f t="shared" si="4"/>
        <v>2005</v>
      </c>
      <c r="B55" s="2">
        <f t="shared" si="45"/>
        <v>84067.211813129019</v>
      </c>
      <c r="C55" s="2"/>
      <c r="D55" s="2">
        <f t="shared" si="46"/>
        <v>91417.977561149208</v>
      </c>
      <c r="E55" s="2">
        <f t="shared" si="47"/>
        <v>43073.914583816797</v>
      </c>
      <c r="F55" s="2"/>
      <c r="G55" s="2">
        <f t="shared" si="35"/>
        <v>92733.909864036788</v>
      </c>
      <c r="H55" s="2">
        <f t="shared" si="15"/>
        <v>123248.29373386098</v>
      </c>
      <c r="I55" s="2">
        <f t="shared" si="16"/>
        <v>434541.30755599285</v>
      </c>
      <c r="J55" s="2">
        <f t="shared" si="17"/>
        <v>33342.434724414139</v>
      </c>
      <c r="K55" s="6">
        <f t="shared" si="18"/>
        <v>8.310700000000032E-2</v>
      </c>
      <c r="L55" s="7">
        <f t="shared" si="19"/>
        <v>1.0831070000000003</v>
      </c>
      <c r="O55">
        <f t="shared" si="20"/>
        <v>2005</v>
      </c>
      <c r="P55" s="6">
        <f t="shared" si="5"/>
        <v>0.19346195712888936</v>
      </c>
      <c r="Q55" s="7"/>
      <c r="R55" s="6">
        <f t="shared" si="5"/>
        <v>0.21037810668752024</v>
      </c>
      <c r="S55" s="6">
        <f t="shared" si="5"/>
        <v>9.9125017195900306E-2</v>
      </c>
      <c r="T55" s="7"/>
      <c r="U55" s="6">
        <f t="shared" si="5"/>
        <v>0.21340643168218837</v>
      </c>
      <c r="V55" s="38">
        <f t="shared" si="7"/>
        <v>0.28362848730550155</v>
      </c>
      <c r="W55" s="6">
        <f t="shared" si="21"/>
        <v>0.99999999999999978</v>
      </c>
      <c r="X55" s="7">
        <f t="shared" si="22"/>
        <v>0.71637151269449828</v>
      </c>
      <c r="Y55" s="7">
        <f t="shared" si="23"/>
        <v>0</v>
      </c>
      <c r="Z55" s="6"/>
      <c r="AB55">
        <f t="shared" si="24"/>
        <v>2005</v>
      </c>
      <c r="AC55" s="1" t="b">
        <f t="shared" si="25"/>
        <v>1</v>
      </c>
      <c r="AE55" s="1" t="b">
        <f t="shared" si="48"/>
        <v>1</v>
      </c>
      <c r="AF55" s="1" t="b">
        <f t="shared" si="49"/>
        <v>1</v>
      </c>
      <c r="AH55" s="1" t="b">
        <f t="shared" si="34"/>
        <v>1</v>
      </c>
      <c r="AI55" s="39" t="b">
        <f t="shared" si="27"/>
        <v>1</v>
      </c>
      <c r="AJ55" s="1" t="b">
        <f t="shared" si="28"/>
        <v>1</v>
      </c>
      <c r="AL55">
        <f t="shared" si="29"/>
        <v>2005</v>
      </c>
      <c r="AM55" s="2">
        <f t="shared" si="50"/>
        <v>86908.26151119858</v>
      </c>
      <c r="AN55" s="2"/>
      <c r="AO55" s="2">
        <f t="shared" si="40"/>
        <v>86908.26151119858</v>
      </c>
      <c r="AP55" s="2">
        <f t="shared" si="40"/>
        <v>43454.13075559929</v>
      </c>
      <c r="AQ55" s="2"/>
      <c r="AR55" s="2">
        <f t="shared" si="51"/>
        <v>86908.26151119858</v>
      </c>
      <c r="AS55" s="2">
        <f t="shared" si="51"/>
        <v>130362.39226679785</v>
      </c>
      <c r="AT55" s="2">
        <f t="shared" si="30"/>
        <v>434541.30755599285</v>
      </c>
      <c r="AU55" s="2">
        <f t="shared" si="31"/>
        <v>0</v>
      </c>
    </row>
    <row r="56" spans="1:47" x14ac:dyDescent="0.2">
      <c r="A56">
        <f t="shared" si="4"/>
        <v>2006</v>
      </c>
      <c r="B56" s="2">
        <f t="shared" si="45"/>
        <v>100500.71361155005</v>
      </c>
      <c r="C56" s="2"/>
      <c r="D56" s="2">
        <f t="shared" si="46"/>
        <v>98725.177828876243</v>
      </c>
      <c r="E56" s="2">
        <f t="shared" si="47"/>
        <v>50257.309466695915</v>
      </c>
      <c r="F56" s="2"/>
      <c r="G56" s="2">
        <f t="shared" si="35"/>
        <v>110058.01512993654</v>
      </c>
      <c r="H56" s="2">
        <f t="shared" si="15"/>
        <v>135928.86641659011</v>
      </c>
      <c r="I56" s="2">
        <f t="shared" si="16"/>
        <v>495470.08245364885</v>
      </c>
      <c r="J56" s="2">
        <f>I56-I55</f>
        <v>60928.774897655996</v>
      </c>
      <c r="K56" s="6">
        <f>(J56/I55)</f>
        <v>0.14021400000000003</v>
      </c>
      <c r="L56" s="7">
        <f t="shared" si="19"/>
        <v>1.1402140000000001</v>
      </c>
      <c r="O56">
        <f t="shared" si="20"/>
        <v>2006</v>
      </c>
      <c r="P56" s="6">
        <f t="shared" si="5"/>
        <v>0.20283911616591274</v>
      </c>
      <c r="Q56" s="7"/>
      <c r="R56" s="6">
        <f t="shared" si="5"/>
        <v>0.19925557833880306</v>
      </c>
      <c r="S56" s="6">
        <f t="shared" si="5"/>
        <v>0.10143359053651332</v>
      </c>
      <c r="T56" s="7"/>
      <c r="U56" s="6">
        <f t="shared" si="5"/>
        <v>0.22212847763665416</v>
      </c>
      <c r="V56" s="6">
        <f t="shared" si="7"/>
        <v>0.27434323732211668</v>
      </c>
      <c r="W56" s="6">
        <f t="shared" si="21"/>
        <v>1</v>
      </c>
      <c r="X56" s="7">
        <f t="shared" si="22"/>
        <v>0.72565676267788337</v>
      </c>
      <c r="Y56" s="7">
        <f t="shared" si="23"/>
        <v>0</v>
      </c>
      <c r="Z56" s="6"/>
      <c r="AB56">
        <f t="shared" si="24"/>
        <v>2006</v>
      </c>
      <c r="AC56" s="1" t="b">
        <f t="shared" si="25"/>
        <v>1</v>
      </c>
      <c r="AE56" s="1" t="b">
        <f t="shared" si="48"/>
        <v>1</v>
      </c>
      <c r="AF56" s="1" t="b">
        <f t="shared" si="49"/>
        <v>1</v>
      </c>
      <c r="AH56" s="1" t="b">
        <f t="shared" si="34"/>
        <v>1</v>
      </c>
      <c r="AI56" s="1" t="b">
        <f t="shared" si="27"/>
        <v>1</v>
      </c>
      <c r="AJ56" s="1" t="b">
        <f t="shared" si="28"/>
        <v>1</v>
      </c>
      <c r="AL56">
        <f t="shared" si="29"/>
        <v>2006</v>
      </c>
      <c r="AM56" s="2">
        <f t="shared" si="50"/>
        <v>99094.016490729773</v>
      </c>
      <c r="AN56" s="2"/>
      <c r="AO56" s="2">
        <f t="shared" si="40"/>
        <v>99094.016490729773</v>
      </c>
      <c r="AP56" s="2">
        <f t="shared" si="40"/>
        <v>49547.008245364887</v>
      </c>
      <c r="AQ56" s="2"/>
      <c r="AR56" s="2">
        <f t="shared" si="51"/>
        <v>99094.016490729773</v>
      </c>
      <c r="AS56" s="2">
        <f t="shared" si="51"/>
        <v>148641.02473609464</v>
      </c>
      <c r="AT56" s="2">
        <f t="shared" si="30"/>
        <v>495470.08245364885</v>
      </c>
      <c r="AU56" s="2">
        <f t="shared" si="31"/>
        <v>0</v>
      </c>
    </row>
    <row r="57" spans="1:47" x14ac:dyDescent="0.2">
      <c r="A57">
        <f t="shared" si="4"/>
        <v>2007</v>
      </c>
      <c r="B57" s="2">
        <f t="shared" si="45"/>
        <v>104435.18397958012</v>
      </c>
      <c r="C57" s="2"/>
      <c r="D57" s="2">
        <f t="shared" si="46"/>
        <v>105060.46722363662</v>
      </c>
      <c r="E57" s="2">
        <f t="shared" si="47"/>
        <v>50119.771660681305</v>
      </c>
      <c r="F57" s="2"/>
      <c r="G57" s="2">
        <f t="shared" si="35"/>
        <v>114475.38973042084</v>
      </c>
      <c r="H57" s="2">
        <f t="shared" si="15"/>
        <v>158926.98364783239</v>
      </c>
      <c r="I57" s="2">
        <f t="shared" si="16"/>
        <v>533017.79624215129</v>
      </c>
      <c r="J57" s="2">
        <f t="shared" si="17"/>
        <v>37547.713788502442</v>
      </c>
      <c r="K57" s="6">
        <f t="shared" si="18"/>
        <v>7.5782000000000044E-2</v>
      </c>
      <c r="L57" s="7">
        <f t="shared" si="19"/>
        <v>1.075782</v>
      </c>
      <c r="O57">
        <f t="shared" si="20"/>
        <v>2007</v>
      </c>
      <c r="P57" s="6">
        <f t="shared" si="5"/>
        <v>0.19593188954639512</v>
      </c>
      <c r="Q57" s="7"/>
      <c r="R57" s="6">
        <f t="shared" si="5"/>
        <v>0.19710498967262885</v>
      </c>
      <c r="S57" s="6">
        <f t="shared" si="5"/>
        <v>9.4030203145246904E-2</v>
      </c>
      <c r="T57" s="7"/>
      <c r="U57" s="6">
        <f t="shared" si="5"/>
        <v>0.21476841962405019</v>
      </c>
      <c r="V57" s="6">
        <f t="shared" si="7"/>
        <v>0.29816449801167888</v>
      </c>
      <c r="W57" s="6">
        <f t="shared" si="21"/>
        <v>1</v>
      </c>
      <c r="X57" s="7">
        <f t="shared" si="22"/>
        <v>0.70183550198832112</v>
      </c>
      <c r="Y57" s="7">
        <f t="shared" si="23"/>
        <v>0</v>
      </c>
      <c r="Z57" s="6"/>
      <c r="AB57">
        <f t="shared" si="24"/>
        <v>2007</v>
      </c>
      <c r="AC57" s="1" t="b">
        <f t="shared" si="25"/>
        <v>1</v>
      </c>
      <c r="AE57" s="1" t="b">
        <f t="shared" si="48"/>
        <v>1</v>
      </c>
      <c r="AF57" s="1" t="b">
        <f t="shared" si="49"/>
        <v>1</v>
      </c>
      <c r="AH57" s="1" t="b">
        <f t="shared" si="34"/>
        <v>1</v>
      </c>
      <c r="AI57" s="1" t="b">
        <f t="shared" si="27"/>
        <v>1</v>
      </c>
      <c r="AJ57" s="1" t="b">
        <f t="shared" si="28"/>
        <v>1</v>
      </c>
      <c r="AL57">
        <f t="shared" si="29"/>
        <v>2007</v>
      </c>
      <c r="AM57" s="2">
        <f t="shared" si="50"/>
        <v>106603.55924843026</v>
      </c>
      <c r="AN57" s="2"/>
      <c r="AO57" s="2">
        <f t="shared" si="40"/>
        <v>106603.55924843026</v>
      </c>
      <c r="AP57" s="2">
        <f t="shared" si="40"/>
        <v>53301.779624215131</v>
      </c>
      <c r="AQ57" s="2"/>
      <c r="AR57" s="2">
        <f t="shared" si="51"/>
        <v>106603.55924843026</v>
      </c>
      <c r="AS57" s="2">
        <f t="shared" si="51"/>
        <v>159905.33887264537</v>
      </c>
      <c r="AT57" s="2">
        <f t="shared" si="30"/>
        <v>533017.79624215129</v>
      </c>
      <c r="AU57" s="2">
        <f t="shared" si="31"/>
        <v>0</v>
      </c>
    </row>
    <row r="58" spans="1:47" x14ac:dyDescent="0.2">
      <c r="A58">
        <f t="shared" si="4"/>
        <v>2008</v>
      </c>
      <c r="B58" s="2">
        <f t="shared" si="45"/>
        <v>67138.921614661376</v>
      </c>
      <c r="C58" s="2"/>
      <c r="D58" s="2">
        <f t="shared" si="46"/>
        <v>62017.686628366791</v>
      </c>
      <c r="E58" s="2">
        <f t="shared" si="47"/>
        <v>34075.827713760729</v>
      </c>
      <c r="F58" s="2"/>
      <c r="G58" s="2">
        <f t="shared" si="35"/>
        <v>59590.323584280028</v>
      </c>
      <c r="H58" s="2">
        <f t="shared" si="15"/>
        <v>167980.55848571396</v>
      </c>
      <c r="I58" s="2">
        <f t="shared" si="16"/>
        <v>390803.31802678289</v>
      </c>
      <c r="J58" s="2">
        <f t="shared" si="17"/>
        <v>-142214.47821536841</v>
      </c>
      <c r="K58" s="6">
        <f t="shared" si="18"/>
        <v>-0.26681000000000005</v>
      </c>
      <c r="L58" s="7">
        <f t="shared" si="19"/>
        <v>0.73319000000000001</v>
      </c>
      <c r="O58">
        <f t="shared" si="20"/>
        <v>2008</v>
      </c>
      <c r="P58" s="6">
        <f t="shared" si="5"/>
        <v>0.17179721491018698</v>
      </c>
      <c r="Q58" s="7"/>
      <c r="R58" s="6">
        <f t="shared" si="5"/>
        <v>0.15869283541783169</v>
      </c>
      <c r="S58" s="6">
        <f t="shared" si="5"/>
        <v>8.7194315252526633E-2</v>
      </c>
      <c r="T58" s="7"/>
      <c r="U58" s="6">
        <f t="shared" si="5"/>
        <v>0.15248162140782062</v>
      </c>
      <c r="V58" s="38">
        <f t="shared" si="7"/>
        <v>0.42983401301163404</v>
      </c>
      <c r="W58" s="6">
        <f t="shared" si="21"/>
        <v>1</v>
      </c>
      <c r="X58" s="7">
        <f t="shared" si="22"/>
        <v>0.57016598698836596</v>
      </c>
      <c r="Y58" s="7">
        <f t="shared" si="23"/>
        <v>0</v>
      </c>
      <c r="Z58" s="6"/>
      <c r="AB58">
        <f t="shared" si="24"/>
        <v>2008</v>
      </c>
      <c r="AC58" s="1" t="b">
        <f t="shared" si="25"/>
        <v>1</v>
      </c>
      <c r="AE58" s="1" t="b">
        <f t="shared" si="48"/>
        <v>1</v>
      </c>
      <c r="AF58" s="1" t="b">
        <f t="shared" si="49"/>
        <v>1</v>
      </c>
      <c r="AH58" s="1" t="b">
        <f t="shared" si="34"/>
        <v>1</v>
      </c>
      <c r="AI58" s="39" t="b">
        <f t="shared" si="27"/>
        <v>0</v>
      </c>
      <c r="AJ58" s="1" t="b">
        <f t="shared" si="28"/>
        <v>1</v>
      </c>
      <c r="AL58">
        <f t="shared" si="29"/>
        <v>2008</v>
      </c>
      <c r="AM58" s="2">
        <f t="shared" si="50"/>
        <v>78160.663605356574</v>
      </c>
      <c r="AN58" s="2"/>
      <c r="AO58" s="2">
        <f t="shared" si="40"/>
        <v>78160.663605356574</v>
      </c>
      <c r="AP58" s="2">
        <f t="shared" si="40"/>
        <v>39080.331802678287</v>
      </c>
      <c r="AQ58" s="2"/>
      <c r="AR58" s="2">
        <f t="shared" si="51"/>
        <v>78160.663605356574</v>
      </c>
      <c r="AS58" s="2">
        <f t="shared" si="51"/>
        <v>117240.99540803487</v>
      </c>
      <c r="AT58" s="2">
        <f t="shared" si="30"/>
        <v>390803.31802678289</v>
      </c>
      <c r="AU58" s="2">
        <f t="shared" si="31"/>
        <v>0</v>
      </c>
    </row>
    <row r="59" spans="1:47" x14ac:dyDescent="0.2">
      <c r="A59">
        <f t="shared" si="4"/>
        <v>2009</v>
      </c>
      <c r="B59" s="2">
        <f t="shared" si="45"/>
        <v>98865.423394415528</v>
      </c>
      <c r="C59" s="2"/>
      <c r="D59" s="2">
        <f t="shared" si="46"/>
        <v>109595.31929415888</v>
      </c>
      <c r="E59" s="2">
        <f t="shared" si="47"/>
        <v>53195.366043169633</v>
      </c>
      <c r="F59" s="2"/>
      <c r="G59" s="2">
        <f t="shared" si="35"/>
        <v>106866.73052769588</v>
      </c>
      <c r="H59" s="2">
        <f t="shared" si="15"/>
        <v>124193.38643573133</v>
      </c>
      <c r="I59" s="2">
        <f t="shared" si="16"/>
        <v>492716.22569517128</v>
      </c>
      <c r="J59" s="2">
        <f t="shared" si="17"/>
        <v>101912.90766838839</v>
      </c>
      <c r="K59" s="6">
        <f t="shared" si="18"/>
        <v>0.26077800000000001</v>
      </c>
      <c r="L59" s="7">
        <f t="shared" si="19"/>
        <v>1.260778</v>
      </c>
      <c r="O59">
        <f t="shared" si="20"/>
        <v>2009</v>
      </c>
      <c r="P59" s="6">
        <f t="shared" si="5"/>
        <v>0.20065388196811809</v>
      </c>
      <c r="Q59" s="7"/>
      <c r="R59" s="6">
        <f t="shared" si="5"/>
        <v>0.22243091170689841</v>
      </c>
      <c r="S59" s="6">
        <f t="shared" si="5"/>
        <v>0.10796349555591865</v>
      </c>
      <c r="T59" s="7"/>
      <c r="U59" s="6">
        <f t="shared" si="5"/>
        <v>0.21689306126851832</v>
      </c>
      <c r="V59" s="6">
        <f t="shared" si="7"/>
        <v>0.25205864950054646</v>
      </c>
      <c r="W59" s="6">
        <f t="shared" si="21"/>
        <v>0.99999999999999989</v>
      </c>
      <c r="X59" s="7">
        <f t="shared" si="22"/>
        <v>0.74794135049945343</v>
      </c>
      <c r="Y59" s="7">
        <f t="shared" si="23"/>
        <v>0</v>
      </c>
      <c r="Z59" s="6"/>
      <c r="AA59" s="7">
        <f>SUM(P59:U59)</f>
        <v>0.74794135049945343</v>
      </c>
      <c r="AB59">
        <f t="shared" si="24"/>
        <v>2009</v>
      </c>
      <c r="AC59" s="1" t="b">
        <f t="shared" si="25"/>
        <v>1</v>
      </c>
      <c r="AE59" s="1" t="b">
        <f t="shared" si="48"/>
        <v>1</v>
      </c>
      <c r="AF59" s="1" t="b">
        <f t="shared" si="49"/>
        <v>1</v>
      </c>
      <c r="AH59" s="1" t="b">
        <f t="shared" si="34"/>
        <v>1</v>
      </c>
      <c r="AI59" s="1" t="b">
        <f t="shared" si="27"/>
        <v>1</v>
      </c>
      <c r="AJ59" s="1" t="b">
        <f t="shared" si="28"/>
        <v>1</v>
      </c>
      <c r="AL59">
        <f t="shared" si="29"/>
        <v>2009</v>
      </c>
      <c r="AM59" s="2">
        <f t="shared" si="50"/>
        <v>98543.245139034261</v>
      </c>
      <c r="AN59" s="2"/>
      <c r="AO59" s="2">
        <f t="shared" si="40"/>
        <v>98543.245139034261</v>
      </c>
      <c r="AP59" s="2">
        <f t="shared" si="40"/>
        <v>49271.622569517131</v>
      </c>
      <c r="AQ59" s="2"/>
      <c r="AR59" s="2">
        <f t="shared" si="51"/>
        <v>98543.245139034261</v>
      </c>
      <c r="AS59" s="2">
        <f t="shared" si="51"/>
        <v>147814.86770855138</v>
      </c>
      <c r="AT59" s="2">
        <f t="shared" si="30"/>
        <v>492716.22569517128</v>
      </c>
      <c r="AU59" s="2">
        <f t="shared" si="31"/>
        <v>0</v>
      </c>
    </row>
    <row r="60" spans="1:47" x14ac:dyDescent="0.2">
      <c r="A60">
        <f t="shared" si="4"/>
        <v>2010</v>
      </c>
      <c r="B60" s="2">
        <f t="shared" si="45"/>
        <v>113236.04298926427</v>
      </c>
      <c r="C60" s="2"/>
      <c r="D60" s="2">
        <f t="shared" si="46"/>
        <v>123632.35535143237</v>
      </c>
      <c r="E60" s="2">
        <f t="shared" si="47"/>
        <v>62929.716345787281</v>
      </c>
      <c r="F60" s="2"/>
      <c r="G60" s="2">
        <f t="shared" si="35"/>
        <v>109501.25399849487</v>
      </c>
      <c r="H60" s="2">
        <f t="shared" si="15"/>
        <v>157304.58221544037</v>
      </c>
      <c r="I60" s="2">
        <f t="shared" si="16"/>
        <v>566603.95090041915</v>
      </c>
      <c r="J60" s="2">
        <f t="shared" si="17"/>
        <v>73887.725205247873</v>
      </c>
      <c r="K60" s="6">
        <f t="shared" si="18"/>
        <v>0.14995999999999998</v>
      </c>
      <c r="L60" s="7">
        <f t="shared" si="19"/>
        <v>1.1499600000000001</v>
      </c>
      <c r="O60">
        <f t="shared" si="20"/>
        <v>2010</v>
      </c>
      <c r="P60" s="6">
        <f t="shared" si="5"/>
        <v>0.19985042958015933</v>
      </c>
      <c r="Q60" s="7"/>
      <c r="R60" s="6">
        <f t="shared" si="5"/>
        <v>0.21819889387456953</v>
      </c>
      <c r="S60" s="6">
        <f t="shared" si="5"/>
        <v>0.11106473268635432</v>
      </c>
      <c r="T60" s="7"/>
      <c r="U60" s="6">
        <f t="shared" si="5"/>
        <v>0.19325889596159868</v>
      </c>
      <c r="V60" s="38">
        <f t="shared" si="7"/>
        <v>0.27762704789731818</v>
      </c>
      <c r="W60" s="6">
        <f t="shared" si="21"/>
        <v>1</v>
      </c>
      <c r="X60" s="7">
        <f t="shared" si="22"/>
        <v>0.72237295210268182</v>
      </c>
      <c r="Y60" s="7">
        <f t="shared" si="23"/>
        <v>0</v>
      </c>
      <c r="Z60" s="6"/>
      <c r="AB60">
        <f t="shared" si="24"/>
        <v>2010</v>
      </c>
      <c r="AC60" s="1" t="b">
        <f t="shared" si="25"/>
        <v>1</v>
      </c>
      <c r="AE60" s="1" t="b">
        <f t="shared" si="48"/>
        <v>1</v>
      </c>
      <c r="AF60" s="1" t="b">
        <f t="shared" si="49"/>
        <v>1</v>
      </c>
      <c r="AH60" s="1" t="b">
        <f t="shared" si="34"/>
        <v>1</v>
      </c>
      <c r="AI60" s="39" t="b">
        <f t="shared" si="27"/>
        <v>1</v>
      </c>
      <c r="AJ60" s="1" t="b">
        <f t="shared" si="28"/>
        <v>1</v>
      </c>
      <c r="AL60">
        <f t="shared" si="29"/>
        <v>2010</v>
      </c>
      <c r="AM60" s="2">
        <f t="shared" si="50"/>
        <v>113320.79018008383</v>
      </c>
      <c r="AN60" s="2"/>
      <c r="AO60" s="2">
        <f t="shared" si="40"/>
        <v>113320.79018008383</v>
      </c>
      <c r="AP60" s="2">
        <f t="shared" si="40"/>
        <v>56660.395090041915</v>
      </c>
      <c r="AQ60" s="2"/>
      <c r="AR60" s="2">
        <f t="shared" si="51"/>
        <v>113320.79018008383</v>
      </c>
      <c r="AS60" s="2">
        <f t="shared" si="51"/>
        <v>169981.18527012574</v>
      </c>
      <c r="AT60" s="2">
        <f t="shared" si="30"/>
        <v>566603.95090041915</v>
      </c>
      <c r="AU60" s="2">
        <f t="shared" si="31"/>
        <v>0</v>
      </c>
    </row>
    <row r="61" spans="1:47" x14ac:dyDescent="0.2">
      <c r="A61">
        <f t="shared" si="4"/>
        <v>2011</v>
      </c>
      <c r="B61" s="2">
        <f t="shared" si="45"/>
        <v>115553.20974663149</v>
      </c>
      <c r="C61" s="2"/>
      <c r="D61" s="2">
        <f t="shared" si="46"/>
        <v>110929.72150728406</v>
      </c>
      <c r="E61" s="2">
        <f t="shared" si="47"/>
        <v>55073.904027520737</v>
      </c>
      <c r="F61" s="2"/>
      <c r="G61" s="2">
        <f t="shared" si="35"/>
        <v>96821.28312986363</v>
      </c>
      <c r="H61" s="2">
        <f t="shared" si="15"/>
        <v>182831.76287654726</v>
      </c>
      <c r="I61" s="2">
        <f t="shared" si="16"/>
        <v>561209.88128784718</v>
      </c>
      <c r="J61" s="2">
        <f t="shared" si="17"/>
        <v>-5394.0696125719696</v>
      </c>
      <c r="K61" s="6">
        <f t="shared" si="18"/>
        <v>-9.5199999999999643E-3</v>
      </c>
      <c r="L61" s="7">
        <f t="shared" si="19"/>
        <v>0.99048000000000003</v>
      </c>
      <c r="O61">
        <f t="shared" si="20"/>
        <v>2011</v>
      </c>
      <c r="P61" s="6">
        <f t="shared" si="5"/>
        <v>0.20590016961473226</v>
      </c>
      <c r="Q61" s="7"/>
      <c r="R61" s="6">
        <f t="shared" si="5"/>
        <v>0.19766173976253937</v>
      </c>
      <c r="S61" s="6">
        <f t="shared" si="5"/>
        <v>9.8134237945238664E-2</v>
      </c>
      <c r="T61" s="7"/>
      <c r="U61" s="6">
        <f t="shared" si="5"/>
        <v>0.17252241337533317</v>
      </c>
      <c r="V61" s="6">
        <f t="shared" si="7"/>
        <v>0.32578143930215653</v>
      </c>
      <c r="W61" s="6">
        <f t="shared" si="21"/>
        <v>1</v>
      </c>
      <c r="X61" s="7">
        <f t="shared" si="22"/>
        <v>0.67421856069784347</v>
      </c>
      <c r="Y61" s="7">
        <f t="shared" si="23"/>
        <v>0</v>
      </c>
      <c r="Z61" s="6"/>
      <c r="AB61">
        <f t="shared" si="24"/>
        <v>2011</v>
      </c>
      <c r="AC61" s="1" t="b">
        <f t="shared" si="25"/>
        <v>1</v>
      </c>
      <c r="AE61" s="1" t="b">
        <f t="shared" si="48"/>
        <v>1</v>
      </c>
      <c r="AF61" s="1" t="b">
        <f t="shared" si="49"/>
        <v>1</v>
      </c>
      <c r="AH61" s="1" t="b">
        <f t="shared" si="34"/>
        <v>1</v>
      </c>
      <c r="AI61" s="1" t="b">
        <f t="shared" si="27"/>
        <v>1</v>
      </c>
      <c r="AJ61" s="1" t="b">
        <f t="shared" si="28"/>
        <v>1</v>
      </c>
      <c r="AL61">
        <f t="shared" si="29"/>
        <v>2011</v>
      </c>
      <c r="AM61" s="2">
        <f t="shared" si="50"/>
        <v>112241.97625756945</v>
      </c>
      <c r="AN61" s="2"/>
      <c r="AO61" s="2">
        <f t="shared" si="40"/>
        <v>112241.97625756945</v>
      </c>
      <c r="AP61" s="2">
        <f t="shared" si="40"/>
        <v>56120.988128784724</v>
      </c>
      <c r="AQ61" s="2"/>
      <c r="AR61" s="2">
        <f t="shared" si="51"/>
        <v>112241.97625756945</v>
      </c>
      <c r="AS61" s="2">
        <f t="shared" si="51"/>
        <v>168362.96438635414</v>
      </c>
      <c r="AT61" s="2">
        <f t="shared" si="30"/>
        <v>561209.88128784718</v>
      </c>
      <c r="AU61" s="2">
        <f t="shared" si="31"/>
        <v>0</v>
      </c>
    </row>
    <row r="62" spans="1:47" x14ac:dyDescent="0.2">
      <c r="A62">
        <f t="shared" si="4"/>
        <v>2012</v>
      </c>
      <c r="B62" s="2">
        <f t="shared" si="45"/>
        <v>129998.65690151692</v>
      </c>
      <c r="C62" s="2"/>
      <c r="D62" s="2">
        <f t="shared" si="46"/>
        <v>129976.20850626541</v>
      </c>
      <c r="E62" s="2">
        <f t="shared" si="47"/>
        <v>66245.214387217493</v>
      </c>
      <c r="F62" s="2"/>
      <c r="G62" s="2">
        <f t="shared" si="35"/>
        <v>132602.67075069254</v>
      </c>
      <c r="H62" s="2">
        <f t="shared" si="15"/>
        <v>175181.66444400148</v>
      </c>
      <c r="I62" s="2">
        <f t="shared" si="16"/>
        <v>634004.41498969379</v>
      </c>
      <c r="J62" s="2">
        <f t="shared" si="17"/>
        <v>72794.533701846609</v>
      </c>
      <c r="K62" s="6">
        <f t="shared" si="18"/>
        <v>0.12970999999999991</v>
      </c>
      <c r="L62" s="7">
        <f t="shared" si="19"/>
        <v>1.12971</v>
      </c>
      <c r="O62">
        <f t="shared" si="20"/>
        <v>2012</v>
      </c>
      <c r="P62" s="6">
        <f t="shared" si="5"/>
        <v>0.20504377229554488</v>
      </c>
      <c r="Q62" s="7"/>
      <c r="R62" s="6">
        <f t="shared" si="5"/>
        <v>0.20500836497862285</v>
      </c>
      <c r="S62" s="6">
        <f t="shared" si="5"/>
        <v>0.1044869922369458</v>
      </c>
      <c r="T62" s="7"/>
      <c r="U62" s="6">
        <f t="shared" si="5"/>
        <v>0.20915102105850178</v>
      </c>
      <c r="V62" s="38">
        <f t="shared" si="7"/>
        <v>0.27630984943038478</v>
      </c>
      <c r="W62" s="6">
        <f t="shared" si="21"/>
        <v>1</v>
      </c>
      <c r="X62" s="7">
        <f t="shared" si="22"/>
        <v>0.72369015056961528</v>
      </c>
      <c r="Y62" s="7">
        <f t="shared" si="23"/>
        <v>0</v>
      </c>
      <c r="Z62" s="6"/>
      <c r="AB62">
        <f t="shared" si="24"/>
        <v>2012</v>
      </c>
      <c r="AC62" s="1" t="b">
        <f t="shared" si="25"/>
        <v>1</v>
      </c>
      <c r="AE62" s="1" t="b">
        <f t="shared" si="48"/>
        <v>1</v>
      </c>
      <c r="AF62" s="1" t="b">
        <f t="shared" si="49"/>
        <v>1</v>
      </c>
      <c r="AH62" s="1" t="b">
        <f t="shared" si="34"/>
        <v>1</v>
      </c>
      <c r="AI62" s="39" t="b">
        <f t="shared" si="27"/>
        <v>1</v>
      </c>
      <c r="AJ62" s="1" t="b">
        <f t="shared" si="28"/>
        <v>1</v>
      </c>
      <c r="AL62">
        <f t="shared" si="29"/>
        <v>2012</v>
      </c>
      <c r="AM62" s="2">
        <f t="shared" si="50"/>
        <v>126800.88299793877</v>
      </c>
      <c r="AN62" s="2"/>
      <c r="AO62" s="2">
        <f t="shared" si="40"/>
        <v>126800.88299793877</v>
      </c>
      <c r="AP62" s="2">
        <f t="shared" si="40"/>
        <v>63400.441498969383</v>
      </c>
      <c r="AQ62" s="2"/>
      <c r="AR62" s="2">
        <f t="shared" si="51"/>
        <v>126800.88299793877</v>
      </c>
      <c r="AS62" s="2">
        <f t="shared" si="51"/>
        <v>190201.32449690814</v>
      </c>
      <c r="AT62" s="2">
        <f t="shared" si="30"/>
        <v>634004.41498969379</v>
      </c>
      <c r="AU62" s="2">
        <f t="shared" si="31"/>
        <v>0</v>
      </c>
    </row>
    <row r="63" spans="1:47" x14ac:dyDescent="0.2">
      <c r="A63">
        <f t="shared" si="4"/>
        <v>2013</v>
      </c>
      <c r="B63" s="2">
        <f t="shared" si="45"/>
        <v>167605.40714667548</v>
      </c>
      <c r="C63" s="2"/>
      <c r="D63" s="2">
        <f t="shared" si="46"/>
        <v>171181.19204721734</v>
      </c>
      <c r="E63" s="2">
        <f t="shared" si="47"/>
        <v>87251.687590881658</v>
      </c>
      <c r="F63" s="2"/>
      <c r="G63" s="2">
        <f t="shared" si="35"/>
        <v>145871.73580082873</v>
      </c>
      <c r="H63" s="2">
        <f t="shared" si="15"/>
        <v>185902.77456327801</v>
      </c>
      <c r="I63" s="2">
        <f t="shared" si="16"/>
        <v>757812.79714888125</v>
      </c>
      <c r="J63" s="2">
        <f t="shared" si="17"/>
        <v>123808.38215918746</v>
      </c>
      <c r="K63" s="6">
        <f t="shared" si="18"/>
        <v>0.19528000000000009</v>
      </c>
      <c r="L63" s="7">
        <f t="shared" si="19"/>
        <v>1.1952800000000001</v>
      </c>
      <c r="O63">
        <f t="shared" si="20"/>
        <v>2013</v>
      </c>
      <c r="P63" s="6">
        <f t="shared" si="5"/>
        <v>0.22116993507797339</v>
      </c>
      <c r="Q63" s="7"/>
      <c r="R63" s="6">
        <f t="shared" si="5"/>
        <v>0.22588849474600095</v>
      </c>
      <c r="S63" s="6">
        <f t="shared" si="5"/>
        <v>0.11513620239609128</v>
      </c>
      <c r="T63" s="7"/>
      <c r="U63" s="6">
        <f t="shared" si="5"/>
        <v>0.19249046248577736</v>
      </c>
      <c r="V63" s="6">
        <f t="shared" si="7"/>
        <v>0.245314905294157</v>
      </c>
      <c r="W63" s="6">
        <f t="shared" si="21"/>
        <v>1</v>
      </c>
      <c r="X63" s="7">
        <f t="shared" si="22"/>
        <v>0.754685094705843</v>
      </c>
      <c r="Y63" s="7">
        <f t="shared" si="23"/>
        <v>0</v>
      </c>
      <c r="Z63" s="6"/>
      <c r="AB63">
        <f t="shared" si="24"/>
        <v>2013</v>
      </c>
      <c r="AC63" s="1" t="b">
        <f t="shared" si="25"/>
        <v>1</v>
      </c>
      <c r="AE63" s="1" t="b">
        <f t="shared" si="48"/>
        <v>1</v>
      </c>
      <c r="AF63" s="1" t="b">
        <f t="shared" si="49"/>
        <v>1</v>
      </c>
      <c r="AH63" s="1" t="b">
        <f t="shared" si="34"/>
        <v>1</v>
      </c>
      <c r="AI63" s="1" t="b">
        <f t="shared" si="27"/>
        <v>0</v>
      </c>
      <c r="AJ63" s="1" t="b">
        <f t="shared" si="28"/>
        <v>1</v>
      </c>
      <c r="AL63">
        <f t="shared" si="29"/>
        <v>2013</v>
      </c>
      <c r="AM63" s="2">
        <f t="shared" si="50"/>
        <v>151562.55942977624</v>
      </c>
      <c r="AN63" s="2"/>
      <c r="AO63" s="2">
        <f t="shared" si="40"/>
        <v>151562.55942977624</v>
      </c>
      <c r="AP63" s="2">
        <f t="shared" si="40"/>
        <v>75781.279714888122</v>
      </c>
      <c r="AQ63" s="2"/>
      <c r="AR63" s="2">
        <f t="shared" si="51"/>
        <v>151562.55942977624</v>
      </c>
      <c r="AS63" s="2">
        <f t="shared" si="51"/>
        <v>227343.83914466438</v>
      </c>
      <c r="AT63" s="2">
        <f t="shared" si="30"/>
        <v>757812.79714888125</v>
      </c>
      <c r="AU63" s="2">
        <f t="shared" si="31"/>
        <v>0</v>
      </c>
    </row>
    <row r="64" spans="1:47" x14ac:dyDescent="0.2">
      <c r="A64">
        <f t="shared" si="4"/>
        <v>2014</v>
      </c>
      <c r="B64" s="2">
        <f t="shared" si="45"/>
        <v>172038.66120873901</v>
      </c>
      <c r="C64" s="2"/>
      <c r="D64" s="2">
        <f t="shared" si="46"/>
        <v>172175.06751222583</v>
      </c>
      <c r="E64" s="2">
        <f t="shared" si="47"/>
        <v>81366.360029875388</v>
      </c>
      <c r="F64" s="2"/>
      <c r="G64" s="2">
        <f t="shared" si="35"/>
        <v>145136.30690995374</v>
      </c>
      <c r="H64" s="2">
        <f t="shared" si="15"/>
        <v>240438.84427939708</v>
      </c>
      <c r="I64" s="2">
        <f t="shared" si="16"/>
        <v>811155.23994019104</v>
      </c>
      <c r="J64" s="2">
        <f t="shared" si="17"/>
        <v>53342.44279130979</v>
      </c>
      <c r="K64" s="6">
        <f t="shared" si="18"/>
        <v>7.039000000000005E-2</v>
      </c>
      <c r="L64" s="7">
        <f t="shared" si="19"/>
        <v>1.07039</v>
      </c>
      <c r="O64">
        <f t="shared" si="20"/>
        <v>2014</v>
      </c>
      <c r="P64" s="6">
        <f t="shared" si="5"/>
        <v>0.21209092013191452</v>
      </c>
      <c r="Q64" s="7"/>
      <c r="R64" s="6">
        <f t="shared" si="5"/>
        <v>0.21225908313792169</v>
      </c>
      <c r="S64" s="6">
        <f t="shared" si="5"/>
        <v>0.10030923308326872</v>
      </c>
      <c r="T64" s="7"/>
      <c r="U64" s="6">
        <f t="shared" si="5"/>
        <v>0.17892543839161426</v>
      </c>
      <c r="V64" s="6">
        <f t="shared" si="7"/>
        <v>0.2964153252552808</v>
      </c>
      <c r="W64" s="6">
        <f t="shared" si="21"/>
        <v>0.99999999999999989</v>
      </c>
      <c r="X64" s="7">
        <f t="shared" si="22"/>
        <v>0.70358467474471909</v>
      </c>
      <c r="Y64" s="7">
        <f t="shared" si="23"/>
        <v>0</v>
      </c>
      <c r="Z64" s="6"/>
      <c r="AB64">
        <f t="shared" si="24"/>
        <v>2014</v>
      </c>
      <c r="AC64" s="1" t="b">
        <f t="shared" si="25"/>
        <v>1</v>
      </c>
      <c r="AE64" s="1" t="b">
        <f t="shared" si="48"/>
        <v>1</v>
      </c>
      <c r="AF64" s="1" t="b">
        <f t="shared" si="49"/>
        <v>1</v>
      </c>
      <c r="AH64" s="1" t="b">
        <f t="shared" si="34"/>
        <v>1</v>
      </c>
      <c r="AI64" s="1" t="b">
        <f t="shared" si="27"/>
        <v>1</v>
      </c>
      <c r="AJ64" s="1" t="b">
        <f t="shared" si="28"/>
        <v>1</v>
      </c>
      <c r="AL64">
        <f t="shared" si="29"/>
        <v>2014</v>
      </c>
      <c r="AM64" s="2">
        <f t="shared" si="50"/>
        <v>162231.04798803822</v>
      </c>
      <c r="AN64" s="2"/>
      <c r="AO64" s="2">
        <f t="shared" si="40"/>
        <v>162231.04798803822</v>
      </c>
      <c r="AP64" s="2">
        <f t="shared" si="40"/>
        <v>81115.52399401911</v>
      </c>
      <c r="AQ64" s="2"/>
      <c r="AR64" s="2">
        <f t="shared" si="51"/>
        <v>162231.04798803822</v>
      </c>
      <c r="AS64" s="2">
        <f t="shared" si="51"/>
        <v>243346.5719820573</v>
      </c>
      <c r="AT64" s="2">
        <f t="shared" si="30"/>
        <v>811155.23994019115</v>
      </c>
      <c r="AU64" s="2">
        <f t="shared" si="31"/>
        <v>0</v>
      </c>
    </row>
    <row r="65" spans="1:45" x14ac:dyDescent="0.2">
      <c r="A65" s="9" t="s">
        <v>78</v>
      </c>
      <c r="B65" s="10">
        <f>B64</f>
        <v>172038.66120873901</v>
      </c>
      <c r="C65" s="10"/>
      <c r="D65" s="10">
        <f>D64</f>
        <v>172175.06751222583</v>
      </c>
      <c r="E65" s="10">
        <f>E64</f>
        <v>81366.360029875388</v>
      </c>
      <c r="F65" s="10"/>
      <c r="G65" s="10">
        <f>G64</f>
        <v>145136.30690995374</v>
      </c>
      <c r="H65" s="10">
        <f>H64</f>
        <v>240438.84427939708</v>
      </c>
      <c r="I65" s="10">
        <f>SUM(B65:H65)</f>
        <v>811155.23994019104</v>
      </c>
      <c r="J65" s="10"/>
      <c r="K65" s="10"/>
      <c r="AM65" s="22"/>
      <c r="AO65" s="22"/>
      <c r="AP65" s="22"/>
      <c r="AR65" s="22"/>
      <c r="AS65" s="22"/>
    </row>
    <row r="66" spans="1:45" x14ac:dyDescent="0.2">
      <c r="A66" s="11" t="s">
        <v>79</v>
      </c>
      <c r="I66" s="6">
        <f>(I65-I39)/I39</f>
        <v>7.1115523994019103</v>
      </c>
      <c r="K66" s="6"/>
      <c r="R66" s="7"/>
      <c r="AO66" s="2"/>
    </row>
    <row r="67" spans="1:45" x14ac:dyDescent="0.2">
      <c r="A67" s="1" t="s">
        <v>80</v>
      </c>
      <c r="I67" s="29">
        <f>STDEV(L40:L64)</f>
        <v>0.1247223526380872</v>
      </c>
      <c r="K67" s="30"/>
    </row>
    <row r="68" spans="1:45" x14ac:dyDescent="0.2">
      <c r="A68" s="1" t="s">
        <v>81</v>
      </c>
      <c r="I68" s="13">
        <f>((1+I66)^(1/I73))-1</f>
        <v>8.7336981537208924E-2</v>
      </c>
      <c r="K68" s="30"/>
    </row>
    <row r="69" spans="1:45" x14ac:dyDescent="0.2">
      <c r="A69" s="1" t="s">
        <v>82</v>
      </c>
      <c r="I69" s="31">
        <f>J60</f>
        <v>73887.725205247873</v>
      </c>
    </row>
    <row r="70" spans="1:45" x14ac:dyDescent="0.2">
      <c r="A70" s="1" t="s">
        <v>83</v>
      </c>
      <c r="I70" s="32">
        <f>K60</f>
        <v>0.14995999999999998</v>
      </c>
    </row>
    <row r="71" spans="1:45" x14ac:dyDescent="0.2">
      <c r="A71" s="3" t="s">
        <v>84</v>
      </c>
      <c r="I71" s="33">
        <f>I64-I65</f>
        <v>0</v>
      </c>
    </row>
    <row r="72" spans="1:45" x14ac:dyDescent="0.2">
      <c r="A72" s="3" t="s">
        <v>148</v>
      </c>
      <c r="I72" s="33">
        <f>((SUM(J40:J64))-(I65-I39))</f>
        <v>0</v>
      </c>
    </row>
    <row r="73" spans="1:45" x14ac:dyDescent="0.2">
      <c r="A73" s="3" t="s">
        <v>159</v>
      </c>
      <c r="I73" s="3">
        <f>COUNTA(I40:I64)</f>
        <v>25</v>
      </c>
    </row>
    <row r="74" spans="1:45" x14ac:dyDescent="0.2">
      <c r="A74" s="1" t="s">
        <v>105</v>
      </c>
      <c r="B74" s="63"/>
      <c r="C74" s="63"/>
      <c r="D74" s="63"/>
      <c r="E74" s="63"/>
      <c r="G74" s="63"/>
      <c r="H74" s="63"/>
      <c r="I74" s="85">
        <f>(SUM(B62:G62)/I62)</f>
        <v>0.72369015056961528</v>
      </c>
    </row>
    <row r="75" spans="1:45" x14ac:dyDescent="0.2">
      <c r="A75" s="1" t="s">
        <v>106</v>
      </c>
      <c r="B75" s="63"/>
      <c r="C75" s="63"/>
      <c r="D75" s="63"/>
      <c r="E75" s="63"/>
      <c r="G75" s="63"/>
      <c r="H75" s="63"/>
      <c r="I75" s="85">
        <f>(H62/I62)</f>
        <v>0.27630984943038478</v>
      </c>
    </row>
    <row r="76" spans="1:45" x14ac:dyDescent="0.2">
      <c r="A76" s="3" t="s">
        <v>107</v>
      </c>
      <c r="I76" s="3">
        <f>100%-(I74+I75)</f>
        <v>0</v>
      </c>
    </row>
  </sheetData>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76"/>
  <sheetViews>
    <sheetView topLeftCell="A31" zoomScale="110" zoomScaleNormal="110" workbookViewId="0">
      <selection activeCell="A74" sqref="A74:I76"/>
    </sheetView>
  </sheetViews>
  <sheetFormatPr baseColWidth="10" defaultColWidth="8.83203125" defaultRowHeight="15" x14ac:dyDescent="0.2"/>
  <cols>
    <col min="1" max="1" width="25.5" customWidth="1"/>
    <col min="2" max="2" width="9.83203125" bestFit="1" customWidth="1"/>
    <col min="3" max="4" width="9.33203125" bestFit="1" customWidth="1"/>
    <col min="5" max="5" width="10.1640625" customWidth="1"/>
    <col min="7" max="7" width="9.83203125" bestFit="1" customWidth="1"/>
    <col min="8" max="8" width="9.33203125" bestFit="1" customWidth="1"/>
    <col min="9" max="9" width="11.6640625" customWidth="1"/>
    <col min="10" max="10" width="10" bestFit="1" customWidth="1"/>
    <col min="28" max="28" width="10.83203125" bestFit="1" customWidth="1"/>
    <col min="29" max="30" width="9.33203125" bestFit="1" customWidth="1"/>
    <col min="31" max="31" width="10.33203125" customWidth="1"/>
    <col min="33" max="33" width="9.83203125" bestFit="1" customWidth="1"/>
    <col min="34" max="35" width="9.33203125" bestFit="1" customWidth="1"/>
  </cols>
  <sheetData>
    <row r="1" spans="1:8" x14ac:dyDescent="0.2">
      <c r="A1" t="s">
        <v>49</v>
      </c>
    </row>
    <row r="2" spans="1:8"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2">
      <c r="A4" s="17">
        <f>'Non-Rebalanced Portfolio'!A4</f>
        <v>1990</v>
      </c>
      <c r="B4" s="17">
        <f>'Non-Rebalanced Portfolio'!B4</f>
        <v>-3.32</v>
      </c>
      <c r="C4" s="17">
        <f>'Non-Rebalanced Portfolio'!C4</f>
        <v>-14.045</v>
      </c>
      <c r="D4" s="17"/>
      <c r="E4" s="17"/>
      <c r="F4" s="17">
        <f>'Non-Rebalanced Portfolio'!F4</f>
        <v>-12.26</v>
      </c>
      <c r="G4" s="17"/>
      <c r="H4" s="17">
        <f>'Non-Rebalanced Portfolio'!H4</f>
        <v>8.65</v>
      </c>
    </row>
    <row r="5" spans="1:8" x14ac:dyDescent="0.2">
      <c r="A5" s="17">
        <f>'Non-Rebalanced Portfolio'!A5</f>
        <v>1991</v>
      </c>
      <c r="B5" s="17">
        <f>'Non-Rebalanced Portfolio'!B5</f>
        <v>30.22</v>
      </c>
      <c r="C5" s="17">
        <f>'Non-Rebalanced Portfolio'!C5</f>
        <v>41.85</v>
      </c>
      <c r="D5" s="17"/>
      <c r="E5" s="17"/>
      <c r="F5" s="17">
        <f>'Non-Rebalanced Portfolio'!F5</f>
        <v>9.9559999999999995</v>
      </c>
      <c r="G5" s="17"/>
      <c r="H5" s="17">
        <f>'Non-Rebalanced Portfolio'!H5</f>
        <v>15.25</v>
      </c>
    </row>
    <row r="6" spans="1:8" x14ac:dyDescent="0.2">
      <c r="A6" s="17">
        <f>'Non-Rebalanced Portfolio'!A6</f>
        <v>1992</v>
      </c>
      <c r="B6" s="17">
        <f>'Non-Rebalanced Portfolio'!B6</f>
        <v>7.42</v>
      </c>
      <c r="C6" s="17">
        <f>'Non-Rebalanced Portfolio'!C6</f>
        <v>12.465999999999999</v>
      </c>
      <c r="D6" s="17"/>
      <c r="E6" s="17"/>
      <c r="F6" s="17">
        <f>'Non-Rebalanced Portfolio'!F6</f>
        <v>-8.7210000000000001</v>
      </c>
      <c r="G6" s="17"/>
      <c r="H6" s="17">
        <f>'Non-Rebalanced Portfolio'!H6</f>
        <v>7.14</v>
      </c>
    </row>
    <row r="7" spans="1:8" x14ac:dyDescent="0.2">
      <c r="A7" s="17">
        <f>'Non-Rebalanced Portfolio'!A7</f>
        <v>1993</v>
      </c>
      <c r="B7" s="17">
        <f>'Non-Rebalanced Portfolio'!B7</f>
        <v>9.89</v>
      </c>
      <c r="C7" s="17">
        <f>'Non-Rebalanced Portfolio'!C7</f>
        <v>14.49</v>
      </c>
      <c r="D7" s="17"/>
      <c r="E7" s="17"/>
      <c r="F7" s="17">
        <f>'Non-Rebalanced Portfolio'!F7</f>
        <v>30.494</v>
      </c>
      <c r="G7" s="17"/>
      <c r="H7" s="17">
        <f>'Non-Rebalanced Portfolio'!H7</f>
        <v>9.68</v>
      </c>
    </row>
    <row r="8" spans="1:8" x14ac:dyDescent="0.2">
      <c r="A8" s="17">
        <f>'Non-Rebalanced Portfolio'!A8</f>
        <v>1994</v>
      </c>
      <c r="B8" s="17">
        <f>'Non-Rebalanced Portfolio'!B8</f>
        <v>1.18</v>
      </c>
      <c r="C8" s="17">
        <f>'Non-Rebalanced Portfolio'!C8</f>
        <v>-1.764</v>
      </c>
      <c r="D8" s="17"/>
      <c r="E8" s="17"/>
      <c r="F8" s="17">
        <f>'Non-Rebalanced Portfolio'!F8</f>
        <v>5.2549999999999999</v>
      </c>
      <c r="G8" s="17"/>
      <c r="H8" s="17">
        <f>'Non-Rebalanced Portfolio'!H8</f>
        <v>-2.66</v>
      </c>
    </row>
    <row r="9" spans="1:8" x14ac:dyDescent="0.2">
      <c r="A9" s="17">
        <f>'Non-Rebalanced Portfolio'!A9</f>
        <v>1995</v>
      </c>
      <c r="B9" s="17">
        <f>'Non-Rebalanced Portfolio'!B9</f>
        <v>37.450000000000003</v>
      </c>
      <c r="C9" s="17">
        <f>'Non-Rebalanced Portfolio'!C9</f>
        <v>33.796999999999997</v>
      </c>
      <c r="D9" s="17"/>
      <c r="E9" s="17"/>
      <c r="F9" s="17">
        <f>'Non-Rebalanced Portfolio'!F9</f>
        <v>9.6460000000000008</v>
      </c>
      <c r="G9" s="17">
        <f>'Non-Rebalanced Portfolio'!G9</f>
        <v>0</v>
      </c>
      <c r="H9" s="17">
        <f>'Non-Rebalanced Portfolio'!H9</f>
        <v>18.18</v>
      </c>
    </row>
    <row r="10" spans="1:8" x14ac:dyDescent="0.2">
      <c r="A10" s="17">
        <f>'Non-Rebalanced Portfolio'!A10</f>
        <v>1996</v>
      </c>
      <c r="B10" s="17">
        <f>'Non-Rebalanced Portfolio'!B10</f>
        <v>22.88</v>
      </c>
      <c r="C10" s="17">
        <f>'Non-Rebalanced Portfolio'!C10</f>
        <v>17.646999999999998</v>
      </c>
      <c r="D10" s="17"/>
      <c r="E10" s="17"/>
      <c r="F10" s="17">
        <f>'Non-Rebalanced Portfolio'!F10</f>
        <v>10.218999999999999</v>
      </c>
      <c r="G10" s="17">
        <f>'Non-Rebalanced Portfolio'!G10</f>
        <v>0</v>
      </c>
      <c r="H10" s="17">
        <f>'Non-Rebalanced Portfolio'!H10</f>
        <v>3.58</v>
      </c>
    </row>
    <row r="11" spans="1:8" x14ac:dyDescent="0.2">
      <c r="A11" s="17">
        <f>'Non-Rebalanced Portfolio'!A11</f>
        <v>1997</v>
      </c>
      <c r="B11" s="17">
        <f>'Non-Rebalanced Portfolio'!B11</f>
        <v>33.19</v>
      </c>
      <c r="C11" s="17">
        <f>'Non-Rebalanced Portfolio'!C11</f>
        <v>26.687000000000001</v>
      </c>
      <c r="D11" s="17">
        <f>'Non-Rebalanced Portfolio'!D11</f>
        <v>0</v>
      </c>
      <c r="E11" s="17">
        <f>'Non-Rebalanced Portfolio'!E11</f>
        <v>0</v>
      </c>
      <c r="F11" s="17">
        <f>'Non-Rebalanced Portfolio'!F11</f>
        <v>0</v>
      </c>
      <c r="G11" s="18">
        <f>'Non-Rebalanced Portfolio'!G11</f>
        <v>-0.77500000000000002</v>
      </c>
      <c r="H11" s="17">
        <f>'Non-Rebalanced Portfolio'!H11</f>
        <v>9.44</v>
      </c>
    </row>
    <row r="12" spans="1:8" x14ac:dyDescent="0.2">
      <c r="A12" s="17">
        <f>'Non-Rebalanced Portfolio'!A12</f>
        <v>1998</v>
      </c>
      <c r="B12" s="17">
        <f>'Non-Rebalanced Portfolio'!B12</f>
        <v>28.66</v>
      </c>
      <c r="C12" s="17">
        <f>'Non-Rebalanced Portfolio'!C12</f>
        <v>8.3529999999999998</v>
      </c>
      <c r="D12" s="17">
        <f>'Non-Rebalanced Portfolio'!D12</f>
        <v>0</v>
      </c>
      <c r="E12" s="17">
        <f>'Non-Rebalanced Portfolio'!E12</f>
        <v>0</v>
      </c>
      <c r="F12" s="17">
        <f>'Non-Rebalanced Portfolio'!F12</f>
        <v>0</v>
      </c>
      <c r="G12" s="17">
        <f>'Non-Rebalanced Portfolio'!G12</f>
        <v>15.603</v>
      </c>
      <c r="H12" s="17">
        <f>'Non-Rebalanced Portfolio'!H12</f>
        <v>8.58</v>
      </c>
    </row>
    <row r="13" spans="1:8" x14ac:dyDescent="0.2">
      <c r="A13" s="17">
        <f>'Non-Rebalanced Portfolio'!A13</f>
        <v>1999</v>
      </c>
      <c r="B13" s="17">
        <f>'Non-Rebalanced Portfolio'!B13</f>
        <v>21.07</v>
      </c>
      <c r="C13" s="17">
        <f>'Non-Rebalanced Portfolio'!C13</f>
        <v>0</v>
      </c>
      <c r="D13" s="18">
        <f>'Non-Rebalanced Portfolio'!D13</f>
        <v>15.319000000000001</v>
      </c>
      <c r="E13" s="18">
        <f>'Non-Rebalanced Portfolio'!E13</f>
        <v>23.132999999999999</v>
      </c>
      <c r="F13" s="17"/>
      <c r="G13" s="17">
        <f>'Non-Rebalanced Portfolio'!G13</f>
        <v>29.919</v>
      </c>
      <c r="H13" s="17">
        <f>'Non-Rebalanced Portfolio'!H13</f>
        <v>-0.76</v>
      </c>
    </row>
    <row r="14" spans="1:8" x14ac:dyDescent="0.2">
      <c r="A14" s="17">
        <f>'Non-Rebalanced Portfolio'!A14</f>
        <v>2000</v>
      </c>
      <c r="B14" s="17">
        <f>'Non-Rebalanced Portfolio'!B14</f>
        <v>-9.06</v>
      </c>
      <c r="C14" s="17">
        <f>'Non-Rebalanced Portfolio'!C14</f>
        <v>0</v>
      </c>
      <c r="D14" s="17">
        <f>'Non-Rebalanced Portfolio'!D14</f>
        <v>18.097999999999999</v>
      </c>
      <c r="E14" s="17">
        <f>'Non-Rebalanced Portfolio'!E14</f>
        <v>-2.665</v>
      </c>
      <c r="F14" s="17"/>
      <c r="G14" s="17">
        <f>'Non-Rebalanced Portfolio'!G14</f>
        <v>-15.614000000000001</v>
      </c>
      <c r="H14" s="17">
        <f>'Non-Rebalanced Portfolio'!H14</f>
        <v>11.39</v>
      </c>
    </row>
    <row r="15" spans="1:8" x14ac:dyDescent="0.2">
      <c r="A15" s="17">
        <f>'Non-Rebalanced Portfolio'!A15</f>
        <v>2001</v>
      </c>
      <c r="B15" s="17">
        <f>'Non-Rebalanced Portfolio'!B15</f>
        <v>-12.02</v>
      </c>
      <c r="C15" s="17"/>
      <c r="D15" s="17">
        <f>'Non-Rebalanced Portfolio'!D15</f>
        <v>-0.499</v>
      </c>
      <c r="E15" s="17">
        <f>'Non-Rebalanced Portfolio'!E15</f>
        <v>3.1</v>
      </c>
      <c r="F15" s="17"/>
      <c r="G15" s="17">
        <f>'Non-Rebalanced Portfolio'!G15</f>
        <v>-20.152999999999999</v>
      </c>
      <c r="H15" s="17">
        <f>'Non-Rebalanced Portfolio'!H15</f>
        <v>8.43</v>
      </c>
    </row>
    <row r="16" spans="1:8" x14ac:dyDescent="0.2">
      <c r="A16" s="17">
        <f>'Non-Rebalanced Portfolio'!A16</f>
        <v>2002</v>
      </c>
      <c r="B16" s="17">
        <f>'Non-Rebalanced Portfolio'!B16</f>
        <v>-22.15</v>
      </c>
      <c r="C16" s="17"/>
      <c r="D16" s="17">
        <f>'Non-Rebalanced Portfolio'!D16</f>
        <v>-14.608000000000001</v>
      </c>
      <c r="E16" s="17">
        <f>'Non-Rebalanced Portfolio'!E16</f>
        <v>-20.021999999999998</v>
      </c>
      <c r="F16" s="17"/>
      <c r="G16" s="17">
        <f>'Non-Rebalanced Portfolio'!G16</f>
        <v>-15.083</v>
      </c>
      <c r="H16" s="17">
        <f>'Non-Rebalanced Portfolio'!H16</f>
        <v>8.26</v>
      </c>
    </row>
    <row r="17" spans="1:8" x14ac:dyDescent="0.2">
      <c r="A17" s="17">
        <f>'Non-Rebalanced Portfolio'!A17</f>
        <v>2003</v>
      </c>
      <c r="B17" s="17">
        <f>'Non-Rebalanced Portfolio'!B17</f>
        <v>28.5</v>
      </c>
      <c r="C17" s="17"/>
      <c r="D17" s="17">
        <f>'Non-Rebalanced Portfolio'!D17</f>
        <v>34.142000000000003</v>
      </c>
      <c r="E17" s="17">
        <f>'Non-Rebalanced Portfolio'!E17</f>
        <v>45.628</v>
      </c>
      <c r="F17" s="17"/>
      <c r="G17" s="17">
        <f>'Non-Rebalanced Portfolio'!G17</f>
        <v>40.340000000000003</v>
      </c>
      <c r="H17" s="17">
        <f>'Non-Rebalanced Portfolio'!H17</f>
        <v>3.97</v>
      </c>
    </row>
    <row r="18" spans="1:8" x14ac:dyDescent="0.2">
      <c r="A18" s="17">
        <f>'Non-Rebalanced Portfolio'!A18</f>
        <v>2004</v>
      </c>
      <c r="B18" s="17">
        <f>'Non-Rebalanced Portfolio'!B18</f>
        <v>10.74</v>
      </c>
      <c r="C18" s="17"/>
      <c r="D18" s="17">
        <f>'Non-Rebalanced Portfolio'!D18</f>
        <v>20.353000000000002</v>
      </c>
      <c r="E18" s="17">
        <f>'Non-Rebalanced Portfolio'!E18</f>
        <v>19.896999999999998</v>
      </c>
      <c r="F18" s="17"/>
      <c r="G18" s="17">
        <f>'Non-Rebalanced Portfolio'!G18</f>
        <v>20.837</v>
      </c>
      <c r="H18" s="17">
        <f>'Non-Rebalanced Portfolio'!H18</f>
        <v>4.24</v>
      </c>
    </row>
    <row r="19" spans="1:8" x14ac:dyDescent="0.2">
      <c r="A19" s="17">
        <f>'Non-Rebalanced Portfolio'!A19</f>
        <v>2005</v>
      </c>
      <c r="B19" s="17">
        <f>'Non-Rebalanced Portfolio'!B19</f>
        <v>4.7699999999999996</v>
      </c>
      <c r="C19" s="17"/>
      <c r="D19" s="17">
        <f>'Non-Rebalanced Portfolio'!D19</f>
        <v>13.930999999999999</v>
      </c>
      <c r="E19" s="17">
        <f>'Non-Rebalanced Portfolio'!E19</f>
        <v>7.3630000000000004</v>
      </c>
      <c r="F19" s="17"/>
      <c r="G19" s="17">
        <f>'Non-Rebalanced Portfolio'!G19</f>
        <v>15.571</v>
      </c>
      <c r="H19" s="17">
        <f>'Non-Rebalanced Portfolio'!H19</f>
        <v>2.4</v>
      </c>
    </row>
    <row r="20" spans="1:8" x14ac:dyDescent="0.2">
      <c r="A20" s="17">
        <f>'Non-Rebalanced Portfolio'!A20</f>
        <v>2006</v>
      </c>
      <c r="B20" s="17">
        <f>'Non-Rebalanced Portfolio'!B20</f>
        <v>15.64</v>
      </c>
      <c r="C20" s="17"/>
      <c r="D20" s="17">
        <f>'Non-Rebalanced Portfolio'!D20</f>
        <v>13.597</v>
      </c>
      <c r="E20" s="17">
        <f>'Non-Rebalanced Portfolio'!E20</f>
        <v>15.656000000000001</v>
      </c>
      <c r="F20" s="17"/>
      <c r="G20" s="17">
        <f>'Non-Rebalanced Portfolio'!G20</f>
        <v>26.637</v>
      </c>
      <c r="H20" s="17">
        <f>'Non-Rebalanced Portfolio'!H20</f>
        <v>4.2699999999999996</v>
      </c>
    </row>
    <row r="21" spans="1:8" x14ac:dyDescent="0.2">
      <c r="A21" s="17">
        <f>'Non-Rebalanced Portfolio'!A21</f>
        <v>2007</v>
      </c>
      <c r="B21" s="17">
        <f>'Non-Rebalanced Portfolio'!B21</f>
        <v>5.39</v>
      </c>
      <c r="C21" s="17"/>
      <c r="D21" s="17">
        <f>'Non-Rebalanced Portfolio'!D21</f>
        <v>6.0209999999999999</v>
      </c>
      <c r="E21" s="17">
        <f>'Non-Rebalanced Portfolio'!E21</f>
        <v>1.1559999999999999</v>
      </c>
      <c r="F21" s="17"/>
      <c r="G21" s="17">
        <f>'Non-Rebalanced Portfolio'!G21</f>
        <v>15.522</v>
      </c>
      <c r="H21" s="17">
        <f>'Non-Rebalanced Portfolio'!H21</f>
        <v>6.92</v>
      </c>
    </row>
    <row r="22" spans="1:8" x14ac:dyDescent="0.2">
      <c r="A22" s="17">
        <f>'Non-Rebalanced Portfolio'!A22</f>
        <v>2008</v>
      </c>
      <c r="B22" s="17">
        <f>'Non-Rebalanced Portfolio'!B22</f>
        <v>-37.020000000000003</v>
      </c>
      <c r="C22" s="17"/>
      <c r="D22" s="17">
        <f>'Non-Rebalanced Portfolio'!D22</f>
        <v>-41.823999999999998</v>
      </c>
      <c r="E22" s="17">
        <f>'Non-Rebalanced Portfolio'!E22</f>
        <v>-36.07</v>
      </c>
      <c r="F22" s="17"/>
      <c r="G22" s="17">
        <f>'Non-Rebalanced Portfolio'!G22</f>
        <v>-44.100999999999999</v>
      </c>
      <c r="H22" s="17">
        <f>'Non-Rebalanced Portfolio'!H22</f>
        <v>5.05</v>
      </c>
    </row>
    <row r="23" spans="1:8" x14ac:dyDescent="0.2">
      <c r="A23" s="17">
        <f>'Non-Rebalanced Portfolio'!A23</f>
        <v>2009</v>
      </c>
      <c r="B23" s="17">
        <f>'Non-Rebalanced Portfolio'!B23</f>
        <v>26.49</v>
      </c>
      <c r="C23" s="17"/>
      <c r="D23" s="17">
        <f>'Non-Rebalanced Portfolio'!D23</f>
        <v>40.218000000000004</v>
      </c>
      <c r="E23" s="17">
        <f>'Non-Rebalanced Portfolio'!E23</f>
        <v>36.118000000000002</v>
      </c>
      <c r="F23" s="17"/>
      <c r="G23" s="17">
        <f>'Non-Rebalanced Portfolio'!G23</f>
        <v>36.726999999999997</v>
      </c>
      <c r="H23" s="17">
        <f>'Non-Rebalanced Portfolio'!H23</f>
        <v>5.93</v>
      </c>
    </row>
    <row r="24" spans="1:8" x14ac:dyDescent="0.2">
      <c r="A24" s="17">
        <f>'Non-Rebalanced Portfolio'!A24</f>
        <v>2010</v>
      </c>
      <c r="B24" s="17">
        <f>'Non-Rebalanced Portfolio'!B24</f>
        <v>14.91</v>
      </c>
      <c r="C24" s="17"/>
      <c r="D24" s="17">
        <f>'Non-Rebalanced Portfolio'!D24</f>
        <v>25.46</v>
      </c>
      <c r="E24" s="17">
        <f>'Non-Rebalanced Portfolio'!E24</f>
        <v>27.72</v>
      </c>
      <c r="F24" s="17"/>
      <c r="G24" s="17">
        <f>'Non-Rebalanced Portfolio'!G24</f>
        <v>11.12</v>
      </c>
      <c r="H24" s="17">
        <f>'Non-Rebalanced Portfolio'!H24</f>
        <v>6.42</v>
      </c>
    </row>
    <row r="25" spans="1:8" x14ac:dyDescent="0.2">
      <c r="A25" s="17">
        <f>'Non-Rebalanced Portfolio'!A25</f>
        <v>2011</v>
      </c>
      <c r="B25" s="17">
        <f>'Non-Rebalanced Portfolio'!B25</f>
        <v>1.97</v>
      </c>
      <c r="C25" s="17"/>
      <c r="D25" s="17">
        <f>'Non-Rebalanced Portfolio'!D25</f>
        <v>-2.11</v>
      </c>
      <c r="E25" s="17">
        <f>'Non-Rebalanced Portfolio'!E25</f>
        <v>-2.8</v>
      </c>
      <c r="F25" s="17"/>
      <c r="G25" s="17">
        <f>'Non-Rebalanced Portfolio'!G25</f>
        <v>-14.56</v>
      </c>
      <c r="H25" s="17">
        <f>'Non-Rebalanced Portfolio'!H25</f>
        <v>7.56</v>
      </c>
    </row>
    <row r="26" spans="1:8" x14ac:dyDescent="0.2">
      <c r="A26" s="17">
        <f>'Non-Rebalanced Portfolio'!A26</f>
        <v>2012</v>
      </c>
      <c r="B26" s="17">
        <f>'Non-Rebalanced Portfolio'!B26</f>
        <v>15.82</v>
      </c>
      <c r="C26" s="17"/>
      <c r="D26" s="17">
        <f>'Non-Rebalanced Portfolio'!D26</f>
        <v>15.8</v>
      </c>
      <c r="E26" s="17">
        <f>'Non-Rebalanced Portfolio'!E26</f>
        <v>18.04</v>
      </c>
      <c r="F26" s="17"/>
      <c r="G26" s="17">
        <f>'Non-Rebalanced Portfolio'!G26</f>
        <v>18.14</v>
      </c>
      <c r="H26" s="17">
        <f>'Non-Rebalanced Portfolio'!H26</f>
        <v>4.05</v>
      </c>
    </row>
    <row r="27" spans="1:8" x14ac:dyDescent="0.2">
      <c r="A27" s="17">
        <f>'Non-Rebalanced Portfolio'!A27</f>
        <v>2013</v>
      </c>
      <c r="B27" s="17">
        <f>'Non-Rebalanced Portfolio'!B27</f>
        <v>32.18</v>
      </c>
      <c r="C27" s="17"/>
      <c r="D27" s="17">
        <f>'Non-Rebalanced Portfolio'!D27</f>
        <v>35</v>
      </c>
      <c r="E27" s="17">
        <f>'Non-Rebalanced Portfolio'!E27</f>
        <v>37.619999999999997</v>
      </c>
      <c r="F27" s="17"/>
      <c r="G27" s="17">
        <f>'Non-Rebalanced Portfolio'!G27</f>
        <v>15.04</v>
      </c>
      <c r="H27" s="17">
        <f>'Non-Rebalanced Portfolio'!H27</f>
        <v>-2.2599999999999998</v>
      </c>
    </row>
    <row r="28" spans="1:8" x14ac:dyDescent="0.2">
      <c r="A28" s="17">
        <f>'Non-Rebalanced Portfolio'!A28</f>
        <v>2014</v>
      </c>
      <c r="B28" s="17">
        <f>'Non-Rebalanced Portfolio'!B28</f>
        <v>13.51</v>
      </c>
      <c r="C28" s="19"/>
      <c r="D28" s="17">
        <f>'Non-Rebalanced Portfolio'!D28</f>
        <v>13.6</v>
      </c>
      <c r="E28" s="17">
        <f>'Non-Rebalanced Portfolio'!E28</f>
        <v>7.37</v>
      </c>
      <c r="F28" s="19"/>
      <c r="G28" s="17">
        <f>'Non-Rebalanced Portfolio'!G28</f>
        <v>-4.24</v>
      </c>
      <c r="H28" s="17">
        <f>'Non-Rebalanced Portfolio'!H28</f>
        <v>5.76</v>
      </c>
    </row>
    <row r="29" spans="1:8" x14ac:dyDescent="0.2">
      <c r="A29" s="17">
        <f>'Non-Rebalanced Portfolio'!A29</f>
        <v>2015</v>
      </c>
      <c r="B29" s="17">
        <f>'Non-Rebalanced Portfolio'!B29</f>
        <v>1.25</v>
      </c>
      <c r="C29" s="19"/>
      <c r="D29" s="19">
        <f>'Non-Rebalanced Portfolio'!D29</f>
        <v>-1.46</v>
      </c>
      <c r="E29" s="17">
        <f>'Non-Rebalanced Portfolio'!E29</f>
        <v>-3.78</v>
      </c>
      <c r="F29" s="19"/>
      <c r="G29" s="17">
        <f>'Non-Rebalanced Portfolio'!G29</f>
        <v>-4.37</v>
      </c>
      <c r="H29" s="17">
        <f>'Non-Rebalanced Portfolio'!H29</f>
        <v>0.3</v>
      </c>
    </row>
    <row r="30" spans="1:8" x14ac:dyDescent="0.2">
      <c r="A30" s="17">
        <f>'Non-Rebalanced Portfolio'!A30</f>
        <v>2016</v>
      </c>
      <c r="B30" s="17">
        <f>'Non-Rebalanced Portfolio'!B30</f>
        <v>11.82</v>
      </c>
      <c r="C30" s="19"/>
      <c r="D30" s="19">
        <f>'Non-Rebalanced Portfolio'!D30</f>
        <v>11.07</v>
      </c>
      <c r="E30" s="17">
        <f>'Non-Rebalanced Portfolio'!E30</f>
        <v>18.170000000000002</v>
      </c>
      <c r="F30" s="19"/>
      <c r="G30" s="17">
        <f>'Non-Rebalanced Portfolio'!G30</f>
        <v>4.6500000000000004</v>
      </c>
      <c r="H30" s="17">
        <f>'Non-Rebalanced Portfolio'!H30</f>
        <v>2.5</v>
      </c>
    </row>
    <row r="31" spans="1:8" x14ac:dyDescent="0.2">
      <c r="A31" s="17">
        <f>'Non-Rebalanced Portfolio'!A31</f>
        <v>2017</v>
      </c>
      <c r="B31" s="17">
        <f>'Non-Rebalanced Portfolio'!B31</f>
        <v>21.67</v>
      </c>
      <c r="C31" s="19"/>
      <c r="D31" s="19">
        <f>'Non-Rebalanced Portfolio'!D31</f>
        <v>19.600000000000001</v>
      </c>
      <c r="E31" s="17">
        <f>'Non-Rebalanced Portfolio'!E31</f>
        <v>16.100000000000001</v>
      </c>
      <c r="F31" s="19"/>
      <c r="G31" s="17">
        <f>'Non-Rebalanced Portfolio'!G31</f>
        <v>27.4</v>
      </c>
      <c r="H31" s="17">
        <f>'Non-Rebalanced Portfolio'!H31</f>
        <v>3.46</v>
      </c>
    </row>
    <row r="32" spans="1:8" x14ac:dyDescent="0.2">
      <c r="A32" s="17">
        <f>'Non-Rebalanced Portfolio'!A32</f>
        <v>2017</v>
      </c>
      <c r="B32" s="17">
        <f>'Non-Rebalanced Portfolio'!B32</f>
        <v>21.67</v>
      </c>
      <c r="C32" s="19"/>
      <c r="D32" s="19">
        <f>'Non-Rebalanced Portfolio'!D32</f>
        <v>19.600000000000001</v>
      </c>
      <c r="E32" s="17">
        <f>'Non-Rebalanced Portfolio'!E32</f>
        <v>16.100000000000001</v>
      </c>
      <c r="F32" s="19"/>
      <c r="G32" s="17">
        <f>'Non-Rebalanced Portfolio'!G32</f>
        <v>27.4</v>
      </c>
      <c r="H32" s="17">
        <f>'Non-Rebalanced Portfolio'!H32</f>
        <v>3.46</v>
      </c>
    </row>
    <row r="33" spans="1:36" x14ac:dyDescent="0.2">
      <c r="A33" s="17">
        <f>'Non-Rebalanced Portfolio'!A33</f>
        <v>2017</v>
      </c>
      <c r="B33" s="17">
        <f>'Non-Rebalanced Portfolio'!B33</f>
        <v>21.67</v>
      </c>
      <c r="C33" s="19"/>
      <c r="D33" s="19">
        <f>'Non-Rebalanced Portfolio'!D33</f>
        <v>19.600000000000001</v>
      </c>
      <c r="E33" s="17">
        <f>'Non-Rebalanced Portfolio'!E33</f>
        <v>16.100000000000001</v>
      </c>
      <c r="F33" s="19"/>
      <c r="G33" s="17">
        <f>'Non-Rebalanced Portfolio'!G33</f>
        <v>27.4</v>
      </c>
      <c r="H33" s="17">
        <f>'Non-Rebalanced Portfolio'!H33</f>
        <v>3.46</v>
      </c>
    </row>
    <row r="35" spans="1:36" x14ac:dyDescent="0.2">
      <c r="A35" s="57"/>
    </row>
    <row r="36" spans="1:36" x14ac:dyDescent="0.2">
      <c r="A36" s="20" t="s">
        <v>120</v>
      </c>
      <c r="O36" s="20" t="s">
        <v>125</v>
      </c>
      <c r="AA36" s="20" t="s">
        <v>4</v>
      </c>
    </row>
    <row r="37" spans="1:36" x14ac:dyDescent="0.2">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76</v>
      </c>
      <c r="K37" s="5" t="s">
        <v>73</v>
      </c>
      <c r="L37" s="5" t="s">
        <v>74</v>
      </c>
      <c r="P37" s="4" t="str">
        <f>B37</f>
        <v>LC Stocks</v>
      </c>
      <c r="Q37" s="4" t="str">
        <f t="shared" ref="Q37:V38" si="1">C37</f>
        <v>Ext Mkt</v>
      </c>
      <c r="R37" s="4" t="str">
        <f t="shared" si="1"/>
        <v>Mcap Stk</v>
      </c>
      <c r="S37" s="4" t="str">
        <f t="shared" si="1"/>
        <v>Small Cap</v>
      </c>
      <c r="T37" s="4" t="str">
        <f t="shared" si="1"/>
        <v>Intl Val</v>
      </c>
      <c r="U37" s="4" t="str">
        <f t="shared" si="1"/>
        <v>Tot Int Stk</v>
      </c>
      <c r="V37" s="4" t="str">
        <f t="shared" si="1"/>
        <v>Bonds</v>
      </c>
      <c r="W37" s="5"/>
      <c r="X37" s="5" t="s">
        <v>111</v>
      </c>
      <c r="Y37" s="5" t="s">
        <v>112</v>
      </c>
      <c r="AB37" s="4" t="str">
        <f t="shared" ref="AB37:AH38" si="2">P37</f>
        <v>LC Stocks</v>
      </c>
      <c r="AC37" s="4" t="str">
        <f t="shared" si="2"/>
        <v>Ext Mkt</v>
      </c>
      <c r="AD37" s="4" t="str">
        <f t="shared" si="2"/>
        <v>Mcap Stk</v>
      </c>
      <c r="AE37" s="4" t="str">
        <f t="shared" si="2"/>
        <v>Small Cap</v>
      </c>
      <c r="AF37" s="4" t="str">
        <f t="shared" si="2"/>
        <v>Intl Val</v>
      </c>
      <c r="AG37" s="4" t="str">
        <f t="shared" si="2"/>
        <v>Tot Int Stk</v>
      </c>
      <c r="AH37" s="4" t="str">
        <f t="shared" si="2"/>
        <v>Bonds</v>
      </c>
      <c r="AI37" s="4"/>
      <c r="AJ37" t="s">
        <v>88</v>
      </c>
    </row>
    <row r="38" spans="1:36" x14ac:dyDescent="0.2">
      <c r="A38" t="s">
        <v>72</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70</v>
      </c>
      <c r="J38" s="5" t="s">
        <v>77</v>
      </c>
      <c r="K38" s="5" t="s">
        <v>75</v>
      </c>
      <c r="L38" s="5" t="s">
        <v>75</v>
      </c>
      <c r="O38" t="s">
        <v>72</v>
      </c>
      <c r="P38" s="4" t="str">
        <f>B38</f>
        <v>VFINX</v>
      </c>
      <c r="Q38" s="4" t="str">
        <f t="shared" si="1"/>
        <v>VEXMX</v>
      </c>
      <c r="R38" s="4" t="str">
        <f t="shared" si="1"/>
        <v>VIMSX</v>
      </c>
      <c r="S38" s="4" t="str">
        <f t="shared" si="1"/>
        <v>NAESX</v>
      </c>
      <c r="T38" s="4" t="str">
        <f t="shared" si="1"/>
        <v>VTRIX</v>
      </c>
      <c r="U38" s="4" t="str">
        <f t="shared" si="1"/>
        <v>VGTSX</v>
      </c>
      <c r="V38" s="4" t="str">
        <f t="shared" si="1"/>
        <v>VBMFX</v>
      </c>
      <c r="W38" s="5" t="s">
        <v>70</v>
      </c>
      <c r="X38" s="5" t="s">
        <v>112</v>
      </c>
      <c r="Y38" s="5" t="s">
        <v>87</v>
      </c>
      <c r="AA38" t="str">
        <f>A38</f>
        <v>Fund</v>
      </c>
      <c r="AB38" s="4" t="str">
        <f t="shared" si="2"/>
        <v>VFINX</v>
      </c>
      <c r="AC38" s="4" t="str">
        <f t="shared" si="2"/>
        <v>VEXMX</v>
      </c>
      <c r="AD38" s="4" t="str">
        <f t="shared" si="2"/>
        <v>VIMSX</v>
      </c>
      <c r="AE38" s="4" t="str">
        <f t="shared" si="2"/>
        <v>NAESX</v>
      </c>
      <c r="AF38" s="4" t="str">
        <f t="shared" si="2"/>
        <v>VTRIX</v>
      </c>
      <c r="AG38" s="4" t="str">
        <f t="shared" si="2"/>
        <v>VGTSX</v>
      </c>
      <c r="AH38" s="4" t="str">
        <f t="shared" si="2"/>
        <v>VBMFX</v>
      </c>
      <c r="AI38" s="4" t="str">
        <f>W38</f>
        <v>Total</v>
      </c>
      <c r="AJ38" t="s">
        <v>87</v>
      </c>
    </row>
    <row r="39" spans="1:36" x14ac:dyDescent="0.2">
      <c r="A39" t="s">
        <v>71</v>
      </c>
      <c r="B39" s="2">
        <f>'Non-Rebalanced Portfolio'!B39</f>
        <v>20000</v>
      </c>
      <c r="C39" s="2">
        <f>'Non-Rebalanced Portfolio'!C39</f>
        <v>30000</v>
      </c>
      <c r="F39" s="2">
        <f>'Non-Rebalanced Portfolio'!F39</f>
        <v>20000</v>
      </c>
      <c r="H39" s="2">
        <f>'Non-Rebalanced Portfolio'!H39</f>
        <v>30000</v>
      </c>
      <c r="I39" s="2">
        <f>SUM(B39:H39)</f>
        <v>100000</v>
      </c>
      <c r="O39" s="21" t="s">
        <v>86</v>
      </c>
      <c r="P39" s="22">
        <f>B39/$I39</f>
        <v>0.2</v>
      </c>
      <c r="Q39" s="22">
        <f>C39/$I39</f>
        <v>0.3</v>
      </c>
      <c r="R39" s="56">
        <f>'Non-Rebalanced Portfolio'!R39</f>
        <v>0.2</v>
      </c>
      <c r="S39" s="56">
        <f>'Non-Rebalanced Portfolio'!S39</f>
        <v>0.1</v>
      </c>
      <c r="T39" s="22">
        <f>F39/$I39</f>
        <v>0.2</v>
      </c>
      <c r="U39" s="56">
        <f>'Non-Rebalanced Portfolio'!U39</f>
        <v>0.2</v>
      </c>
      <c r="V39" s="22">
        <f>H39/$I39</f>
        <v>0.3</v>
      </c>
      <c r="W39" s="22">
        <f>I39/$I39</f>
        <v>1</v>
      </c>
      <c r="X39" s="24"/>
      <c r="Z39" s="24"/>
      <c r="AA39" t="str">
        <f>A39</f>
        <v>Stating Balance</v>
      </c>
      <c r="AB39" s="2">
        <f t="shared" ref="AB39:AB50" si="3">B39</f>
        <v>20000</v>
      </c>
      <c r="AC39" s="2">
        <f t="shared" ref="AC39:AC48" si="4">C39</f>
        <v>30000</v>
      </c>
      <c r="AD39" s="2"/>
      <c r="AE39" s="2"/>
      <c r="AF39" s="2">
        <f t="shared" ref="AF39:AF46" si="5">F39</f>
        <v>20000</v>
      </c>
      <c r="AG39" s="2"/>
      <c r="AH39" s="2">
        <f t="shared" ref="AH39:AH51" si="6">H39</f>
        <v>30000</v>
      </c>
      <c r="AI39" s="2">
        <f>SUM(AB39:AH39)</f>
        <v>100000</v>
      </c>
      <c r="AJ39" s="2">
        <f t="shared" ref="AJ39:AJ64" si="7">AI39-I39</f>
        <v>0</v>
      </c>
    </row>
    <row r="40" spans="1:36" x14ac:dyDescent="0.2">
      <c r="A40">
        <f t="shared" ref="A40:A64" si="8">A4</f>
        <v>1990</v>
      </c>
      <c r="B40" s="2">
        <f t="shared" ref="B40" si="9">B39*(1+(B4/100))</f>
        <v>19336</v>
      </c>
      <c r="C40" s="2">
        <f t="shared" ref="C40" si="10">C39*(1+(C4/100))</f>
        <v>25786.5</v>
      </c>
      <c r="D40" s="2"/>
      <c r="E40" s="2"/>
      <c r="F40" s="2">
        <f t="shared" ref="F40" si="11">F39*(1+(F4/100))</f>
        <v>17548</v>
      </c>
      <c r="G40" s="2"/>
      <c r="H40" s="2">
        <f t="shared" ref="H40" si="12">H39*(1+(H4/100))</f>
        <v>32595</v>
      </c>
      <c r="I40" s="2">
        <f>SUM(B40:H40)</f>
        <v>95265.5</v>
      </c>
      <c r="J40" s="2">
        <f>I40-I39</f>
        <v>-4734.5</v>
      </c>
      <c r="K40" s="6">
        <f>(J40/I39)</f>
        <v>-4.7344999999999998E-2</v>
      </c>
      <c r="L40" s="7">
        <f>K40+1</f>
        <v>0.95265500000000003</v>
      </c>
      <c r="O40">
        <f>A40</f>
        <v>1990</v>
      </c>
      <c r="P40" s="6">
        <f t="shared" ref="P40:U64" si="13">B40/$I40</f>
        <v>0.20296959549889521</v>
      </c>
      <c r="Q40" s="6">
        <f t="shared" si="13"/>
        <v>0.27068036172591337</v>
      </c>
      <c r="R40" s="7"/>
      <c r="S40" s="7"/>
      <c r="T40" s="6">
        <f t="shared" ref="T40:T46" si="14">F40/$I40</f>
        <v>0.184200996163354</v>
      </c>
      <c r="U40" s="7"/>
      <c r="V40" s="6">
        <f t="shared" ref="V40:V64" si="15">H40/$I40</f>
        <v>0.34214904661183743</v>
      </c>
      <c r="W40" s="6">
        <f>SUM(P40:V40)</f>
        <v>1</v>
      </c>
      <c r="X40" s="7">
        <f>SUM(P40:U40)</f>
        <v>0.65785095338816257</v>
      </c>
      <c r="Y40" s="7">
        <f>W40-(X40+V40)</f>
        <v>0</v>
      </c>
      <c r="Z40" s="24"/>
      <c r="AA40">
        <f t="shared" ref="AA40:AA64" si="16">O40</f>
        <v>1990</v>
      </c>
      <c r="AB40" s="2">
        <f t="shared" si="3"/>
        <v>19336</v>
      </c>
      <c r="AC40" s="2">
        <f t="shared" si="4"/>
        <v>25786.5</v>
      </c>
      <c r="AD40" s="2"/>
      <c r="AE40" s="2"/>
      <c r="AF40" s="2">
        <f t="shared" si="5"/>
        <v>17548</v>
      </c>
      <c r="AG40" s="2"/>
      <c r="AH40" s="2">
        <f t="shared" si="6"/>
        <v>32595</v>
      </c>
      <c r="AI40" s="2">
        <f t="shared" ref="AI40:AI64" si="17">SUM(AB40:AH40)</f>
        <v>95265.5</v>
      </c>
      <c r="AJ40" s="2">
        <f t="shared" si="7"/>
        <v>0</v>
      </c>
    </row>
    <row r="41" spans="1:36" x14ac:dyDescent="0.2">
      <c r="A41">
        <f t="shared" si="8"/>
        <v>1991</v>
      </c>
      <c r="B41" s="2">
        <f t="shared" ref="B41:B50" si="18">AB40*(1+(B5/100))</f>
        <v>25179.339200000002</v>
      </c>
      <c r="C41" s="2">
        <f t="shared" ref="C41:C48" si="19">AC40*(1+(C5/100))</f>
        <v>36578.150250000006</v>
      </c>
      <c r="D41" s="2"/>
      <c r="E41" s="2"/>
      <c r="F41" s="2">
        <f t="shared" ref="F41:F46" si="20">AF40*(1+(F5/100))</f>
        <v>19295.078880000001</v>
      </c>
      <c r="G41" s="2"/>
      <c r="H41" s="2">
        <f t="shared" ref="H41:H64" si="21">AH40*(1+(H5/100))</f>
        <v>37565.737500000003</v>
      </c>
      <c r="I41" s="2">
        <f t="shared" ref="I41:I64" si="22">SUM(B41:H41)</f>
        <v>118618.30583000001</v>
      </c>
      <c r="J41" s="2">
        <f t="shared" ref="J41:J64" si="23">I41-I40</f>
        <v>23352.805830000012</v>
      </c>
      <c r="K41" s="6">
        <f t="shared" ref="K41:K64" si="24">(J41/I40)</f>
        <v>0.24513392392838973</v>
      </c>
      <c r="L41" s="7">
        <f t="shared" ref="L41:L64" si="25">K41+1</f>
        <v>1.2451339239283898</v>
      </c>
      <c r="O41">
        <f t="shared" ref="O41:O64" si="26">A41</f>
        <v>1991</v>
      </c>
      <c r="P41" s="6">
        <f t="shared" si="13"/>
        <v>0.2122719509759837</v>
      </c>
      <c r="Q41" s="6">
        <f t="shared" si="13"/>
        <v>0.30836851018950356</v>
      </c>
      <c r="R41" s="7"/>
      <c r="S41" s="7"/>
      <c r="T41" s="6">
        <f t="shared" si="14"/>
        <v>0.16266527113996296</v>
      </c>
      <c r="U41" s="7"/>
      <c r="V41" s="6">
        <f t="shared" si="15"/>
        <v>0.31669426769454984</v>
      </c>
      <c r="W41" s="6">
        <f t="shared" ref="W41:W64" si="27">SUM(P41:V41)</f>
        <v>1</v>
      </c>
      <c r="X41" s="7">
        <f t="shared" ref="X41:X64" si="28">SUM(P41:U41)</f>
        <v>0.68330573230545022</v>
      </c>
      <c r="Y41" s="7">
        <f t="shared" ref="Y41:Y64" si="29">W41-(X41+V41)</f>
        <v>0</v>
      </c>
      <c r="Z41" s="24"/>
      <c r="AA41">
        <f t="shared" si="16"/>
        <v>1991</v>
      </c>
      <c r="AB41" s="2">
        <f t="shared" si="3"/>
        <v>25179.339200000002</v>
      </c>
      <c r="AC41" s="2">
        <f t="shared" si="4"/>
        <v>36578.150250000006</v>
      </c>
      <c r="AD41" s="2"/>
      <c r="AE41" s="2"/>
      <c r="AF41" s="2">
        <f t="shared" si="5"/>
        <v>19295.078880000001</v>
      </c>
      <c r="AG41" s="2"/>
      <c r="AH41" s="2">
        <f t="shared" si="6"/>
        <v>37565.737500000003</v>
      </c>
      <c r="AI41" s="2">
        <f t="shared" si="17"/>
        <v>118618.30583000001</v>
      </c>
      <c r="AJ41" s="2">
        <f t="shared" si="7"/>
        <v>0</v>
      </c>
    </row>
    <row r="42" spans="1:36" x14ac:dyDescent="0.2">
      <c r="A42">
        <f t="shared" si="8"/>
        <v>1992</v>
      </c>
      <c r="B42" s="2">
        <f t="shared" si="18"/>
        <v>27047.646168640003</v>
      </c>
      <c r="C42" s="2">
        <f t="shared" si="19"/>
        <v>41137.982460165003</v>
      </c>
      <c r="D42" s="2"/>
      <c r="E42" s="2"/>
      <c r="F42" s="2">
        <f t="shared" si="20"/>
        <v>17612.355050875201</v>
      </c>
      <c r="G42" s="2"/>
      <c r="H42" s="2">
        <f t="shared" si="21"/>
        <v>40247.931157500003</v>
      </c>
      <c r="I42" s="2">
        <f t="shared" si="22"/>
        <v>126045.91483718021</v>
      </c>
      <c r="J42" s="2">
        <f t="shared" si="23"/>
        <v>7427.6090071802028</v>
      </c>
      <c r="K42" s="6">
        <f t="shared" si="24"/>
        <v>6.2617729659916202E-2</v>
      </c>
      <c r="L42" s="7">
        <f t="shared" si="25"/>
        <v>1.0626177296599162</v>
      </c>
      <c r="O42">
        <f t="shared" si="26"/>
        <v>1992</v>
      </c>
      <c r="P42" s="6">
        <f t="shared" si="13"/>
        <v>0.21458566272122975</v>
      </c>
      <c r="Q42" s="6">
        <f t="shared" si="13"/>
        <v>0.32637299283602317</v>
      </c>
      <c r="R42" s="7"/>
      <c r="S42" s="7"/>
      <c r="T42" s="6">
        <f t="shared" si="14"/>
        <v>0.1397296776625086</v>
      </c>
      <c r="U42" s="7"/>
      <c r="V42" s="6">
        <f t="shared" si="15"/>
        <v>0.31931166678023848</v>
      </c>
      <c r="W42" s="6">
        <f t="shared" si="27"/>
        <v>1</v>
      </c>
      <c r="X42" s="7">
        <f t="shared" si="28"/>
        <v>0.68068833321976152</v>
      </c>
      <c r="Y42" s="7">
        <f t="shared" si="29"/>
        <v>0</v>
      </c>
      <c r="Z42" s="24"/>
      <c r="AA42">
        <f t="shared" si="16"/>
        <v>1992</v>
      </c>
      <c r="AB42" s="2">
        <f t="shared" si="3"/>
        <v>27047.646168640003</v>
      </c>
      <c r="AC42" s="2">
        <f t="shared" si="4"/>
        <v>41137.982460165003</v>
      </c>
      <c r="AD42" s="2"/>
      <c r="AE42" s="2"/>
      <c r="AF42" s="2">
        <f t="shared" si="5"/>
        <v>17612.355050875201</v>
      </c>
      <c r="AG42" s="2"/>
      <c r="AH42" s="2">
        <f t="shared" si="6"/>
        <v>40247.931157500003</v>
      </c>
      <c r="AI42" s="2">
        <f t="shared" si="17"/>
        <v>126045.91483718021</v>
      </c>
      <c r="AJ42" s="2">
        <f t="shared" si="7"/>
        <v>0</v>
      </c>
    </row>
    <row r="43" spans="1:36" x14ac:dyDescent="0.2">
      <c r="A43">
        <f t="shared" si="8"/>
        <v>1993</v>
      </c>
      <c r="B43" s="2">
        <f t="shared" si="18"/>
        <v>29722.6583747185</v>
      </c>
      <c r="C43" s="2">
        <f t="shared" si="19"/>
        <v>47098.876118642911</v>
      </c>
      <c r="D43" s="2"/>
      <c r="E43" s="2"/>
      <c r="F43" s="2">
        <f t="shared" si="20"/>
        <v>22983.066600089085</v>
      </c>
      <c r="G43" s="2"/>
      <c r="H43" s="2">
        <f t="shared" si="21"/>
        <v>44143.930893545999</v>
      </c>
      <c r="I43" s="2">
        <f t="shared" si="22"/>
        <v>143948.5319869965</v>
      </c>
      <c r="J43" s="2">
        <f t="shared" si="23"/>
        <v>17902.617149816288</v>
      </c>
      <c r="K43" s="6">
        <f t="shared" si="24"/>
        <v>0.14203250595580183</v>
      </c>
      <c r="L43" s="7">
        <f t="shared" si="25"/>
        <v>1.1420325059558019</v>
      </c>
      <c r="O43">
        <f t="shared" si="26"/>
        <v>1993</v>
      </c>
      <c r="P43" s="6">
        <f t="shared" si="13"/>
        <v>0.20648114964731615</v>
      </c>
      <c r="Q43" s="6">
        <f t="shared" si="13"/>
        <v>0.32719247267417467</v>
      </c>
      <c r="R43" s="7"/>
      <c r="S43" s="7"/>
      <c r="T43" s="6">
        <f t="shared" si="14"/>
        <v>0.15966169493250021</v>
      </c>
      <c r="U43" s="7"/>
      <c r="V43" s="6">
        <f t="shared" si="15"/>
        <v>0.30666468274600894</v>
      </c>
      <c r="W43" s="6">
        <f t="shared" si="27"/>
        <v>1</v>
      </c>
      <c r="X43" s="7">
        <f t="shared" si="28"/>
        <v>0.69333531725399111</v>
      </c>
      <c r="Y43" s="7">
        <f t="shared" si="29"/>
        <v>0</v>
      </c>
      <c r="Z43" s="24"/>
      <c r="AA43">
        <f t="shared" si="16"/>
        <v>1993</v>
      </c>
      <c r="AB43" s="2">
        <f t="shared" si="3"/>
        <v>29722.6583747185</v>
      </c>
      <c r="AC43" s="2">
        <f t="shared" si="4"/>
        <v>47098.876118642911</v>
      </c>
      <c r="AD43" s="2"/>
      <c r="AE43" s="2"/>
      <c r="AF43" s="2">
        <f t="shared" si="5"/>
        <v>22983.066600089085</v>
      </c>
      <c r="AG43" s="2"/>
      <c r="AH43" s="2">
        <f t="shared" si="6"/>
        <v>44143.930893545999</v>
      </c>
      <c r="AI43" s="2">
        <f t="shared" si="17"/>
        <v>143948.5319869965</v>
      </c>
      <c r="AJ43" s="2">
        <f t="shared" si="7"/>
        <v>0</v>
      </c>
    </row>
    <row r="44" spans="1:36" x14ac:dyDescent="0.2">
      <c r="A44">
        <f t="shared" si="8"/>
        <v>1994</v>
      </c>
      <c r="B44" s="2">
        <f t="shared" si="18"/>
        <v>30073.385743540181</v>
      </c>
      <c r="C44" s="2">
        <f t="shared" si="19"/>
        <v>46268.051943910054</v>
      </c>
      <c r="D44" s="2"/>
      <c r="E44" s="2"/>
      <c r="F44" s="2">
        <f t="shared" si="20"/>
        <v>24190.82674992377</v>
      </c>
      <c r="G44" s="2"/>
      <c r="H44" s="2">
        <f t="shared" si="21"/>
        <v>42969.702331777677</v>
      </c>
      <c r="I44" s="2">
        <f t="shared" si="22"/>
        <v>143501.96676915168</v>
      </c>
      <c r="J44" s="2">
        <f t="shared" si="23"/>
        <v>-446.56521784482175</v>
      </c>
      <c r="K44" s="6">
        <f t="shared" si="24"/>
        <v>-3.1022561444750399E-3</v>
      </c>
      <c r="L44" s="7">
        <f t="shared" si="25"/>
        <v>0.99689774385552499</v>
      </c>
      <c r="O44">
        <f t="shared" si="26"/>
        <v>1994</v>
      </c>
      <c r="P44" s="6">
        <f t="shared" si="13"/>
        <v>0.20956776008456068</v>
      </c>
      <c r="Q44" s="6">
        <f t="shared" si="13"/>
        <v>0.32242103007786926</v>
      </c>
      <c r="R44" s="7"/>
      <c r="S44" s="7"/>
      <c r="T44" s="6">
        <f t="shared" si="14"/>
        <v>0.16857487945680213</v>
      </c>
      <c r="U44" s="7"/>
      <c r="V44" s="6">
        <f t="shared" si="15"/>
        <v>0.29943633038076789</v>
      </c>
      <c r="W44" s="6">
        <f t="shared" si="27"/>
        <v>1</v>
      </c>
      <c r="X44" s="7">
        <f t="shared" si="28"/>
        <v>0.70056366961923211</v>
      </c>
      <c r="Y44" s="7">
        <f t="shared" si="29"/>
        <v>0</v>
      </c>
      <c r="Z44" s="24"/>
      <c r="AA44">
        <f t="shared" si="16"/>
        <v>1994</v>
      </c>
      <c r="AB44" s="2">
        <f t="shared" si="3"/>
        <v>30073.385743540181</v>
      </c>
      <c r="AC44" s="2">
        <f t="shared" si="4"/>
        <v>46268.051943910054</v>
      </c>
      <c r="AD44" s="2"/>
      <c r="AE44" s="2"/>
      <c r="AF44" s="2">
        <f t="shared" si="5"/>
        <v>24190.82674992377</v>
      </c>
      <c r="AG44" s="2"/>
      <c r="AH44" s="2">
        <f t="shared" si="6"/>
        <v>42969.702331777677</v>
      </c>
      <c r="AI44" s="2">
        <f t="shared" si="17"/>
        <v>143501.96676915168</v>
      </c>
      <c r="AJ44" s="2">
        <f t="shared" si="7"/>
        <v>0</v>
      </c>
    </row>
    <row r="45" spans="1:36" x14ac:dyDescent="0.2">
      <c r="A45">
        <f t="shared" si="8"/>
        <v>1995</v>
      </c>
      <c r="B45" s="2">
        <f t="shared" si="18"/>
        <v>41335.868704495981</v>
      </c>
      <c r="C45" s="2">
        <f t="shared" si="19"/>
        <v>61905.265459393326</v>
      </c>
      <c r="D45" s="2"/>
      <c r="E45" s="2"/>
      <c r="F45" s="2">
        <f t="shared" si="20"/>
        <v>26524.273898221418</v>
      </c>
      <c r="G45" s="2"/>
      <c r="H45" s="2">
        <f t="shared" si="21"/>
        <v>50781.594215694859</v>
      </c>
      <c r="I45" s="2">
        <f t="shared" si="22"/>
        <v>180547.00227780559</v>
      </c>
      <c r="J45" s="2">
        <f t="shared" si="23"/>
        <v>37045.035508653906</v>
      </c>
      <c r="K45" s="6">
        <f t="shared" si="24"/>
        <v>0.25815001942271221</v>
      </c>
      <c r="L45" s="7">
        <f t="shared" si="25"/>
        <v>1.2581500194227122</v>
      </c>
      <c r="O45">
        <f t="shared" si="26"/>
        <v>1995</v>
      </c>
      <c r="P45" s="6">
        <f t="shared" si="13"/>
        <v>0.22894796470169557</v>
      </c>
      <c r="Q45" s="6">
        <f t="shared" si="13"/>
        <v>0.34287617450518737</v>
      </c>
      <c r="R45" s="7"/>
      <c r="S45" s="7"/>
      <c r="T45" s="6">
        <f t="shared" si="14"/>
        <v>0.14691063027127321</v>
      </c>
      <c r="U45" s="7"/>
      <c r="V45" s="6">
        <f t="shared" si="15"/>
        <v>0.28126523052184388</v>
      </c>
      <c r="W45" s="6">
        <f t="shared" si="27"/>
        <v>1</v>
      </c>
      <c r="X45" s="7">
        <f t="shared" si="28"/>
        <v>0.71873476947815607</v>
      </c>
      <c r="Y45" s="7">
        <f t="shared" si="29"/>
        <v>0</v>
      </c>
      <c r="Z45" s="24"/>
      <c r="AA45">
        <f t="shared" si="16"/>
        <v>1995</v>
      </c>
      <c r="AB45" s="2">
        <f t="shared" si="3"/>
        <v>41335.868704495981</v>
      </c>
      <c r="AC45" s="2">
        <f t="shared" si="4"/>
        <v>61905.265459393326</v>
      </c>
      <c r="AD45" s="2"/>
      <c r="AE45" s="2"/>
      <c r="AF45" s="2">
        <f t="shared" si="5"/>
        <v>26524.273898221418</v>
      </c>
      <c r="AG45" s="2"/>
      <c r="AH45" s="2">
        <f t="shared" si="6"/>
        <v>50781.594215694859</v>
      </c>
      <c r="AI45" s="2">
        <f t="shared" si="17"/>
        <v>180547.00227780559</v>
      </c>
      <c r="AJ45" s="2">
        <f t="shared" si="7"/>
        <v>0</v>
      </c>
    </row>
    <row r="46" spans="1:36" x14ac:dyDescent="0.2">
      <c r="A46">
        <f t="shared" si="8"/>
        <v>1996</v>
      </c>
      <c r="B46" s="2">
        <f t="shared" si="18"/>
        <v>50793.515464084667</v>
      </c>
      <c r="C46" s="2">
        <f t="shared" si="19"/>
        <v>72829.687655012458</v>
      </c>
      <c r="D46" s="2"/>
      <c r="E46" s="2"/>
      <c r="F46" s="2">
        <f t="shared" si="20"/>
        <v>29234.789447880663</v>
      </c>
      <c r="G46" s="2"/>
      <c r="H46" s="2">
        <f t="shared" si="21"/>
        <v>52599.575288616739</v>
      </c>
      <c r="I46" s="2">
        <f t="shared" si="22"/>
        <v>205457.56785559453</v>
      </c>
      <c r="J46" s="2">
        <f t="shared" si="23"/>
        <v>24910.565577788948</v>
      </c>
      <c r="K46" s="6">
        <f t="shared" si="24"/>
        <v>0.13797274539878179</v>
      </c>
      <c r="L46" s="7">
        <f t="shared" si="25"/>
        <v>1.1379727453987818</v>
      </c>
      <c r="O46">
        <f t="shared" si="26"/>
        <v>1996</v>
      </c>
      <c r="P46" s="6">
        <f t="shared" si="13"/>
        <v>0.24722143844214486</v>
      </c>
      <c r="Q46" s="6">
        <f t="shared" si="13"/>
        <v>0.35447556600203051</v>
      </c>
      <c r="R46" s="7"/>
      <c r="S46" s="7"/>
      <c r="T46" s="6">
        <f t="shared" si="14"/>
        <v>0.14229112975983577</v>
      </c>
      <c r="U46" s="7"/>
      <c r="V46" s="6">
        <f t="shared" si="15"/>
        <v>0.25601186579598884</v>
      </c>
      <c r="W46" s="6">
        <f t="shared" si="27"/>
        <v>1</v>
      </c>
      <c r="X46" s="7">
        <f t="shared" si="28"/>
        <v>0.74398813420401111</v>
      </c>
      <c r="Y46" s="7">
        <f t="shared" si="29"/>
        <v>0</v>
      </c>
      <c r="Z46" s="24"/>
      <c r="AA46">
        <f t="shared" si="16"/>
        <v>1996</v>
      </c>
      <c r="AB46" s="2">
        <f t="shared" si="3"/>
        <v>50793.515464084667</v>
      </c>
      <c r="AC46" s="2">
        <f t="shared" si="4"/>
        <v>72829.687655012458</v>
      </c>
      <c r="AD46" s="2"/>
      <c r="AE46" s="2"/>
      <c r="AF46" s="2">
        <f t="shared" si="5"/>
        <v>29234.789447880663</v>
      </c>
      <c r="AG46" s="2"/>
      <c r="AH46" s="2">
        <f t="shared" si="6"/>
        <v>52599.575288616739</v>
      </c>
      <c r="AI46" s="2">
        <f t="shared" si="17"/>
        <v>205457.56785559453</v>
      </c>
      <c r="AJ46" s="2">
        <f t="shared" si="7"/>
        <v>0</v>
      </c>
    </row>
    <row r="47" spans="1:36" x14ac:dyDescent="0.2">
      <c r="A47">
        <f t="shared" si="8"/>
        <v>1997</v>
      </c>
      <c r="B47" s="2">
        <f t="shared" si="18"/>
        <v>67651.883246614365</v>
      </c>
      <c r="C47" s="2">
        <f t="shared" si="19"/>
        <v>92265.746399505631</v>
      </c>
      <c r="D47" s="2"/>
      <c r="E47" s="2"/>
      <c r="F47" s="2"/>
      <c r="G47" s="2">
        <f>AF46*(1+(G11/100))</f>
        <v>29008.219829659585</v>
      </c>
      <c r="H47" s="2">
        <f t="shared" si="21"/>
        <v>57564.975195862164</v>
      </c>
      <c r="I47" s="2">
        <f t="shared" si="22"/>
        <v>246490.82467164175</v>
      </c>
      <c r="J47" s="2">
        <f t="shared" si="23"/>
        <v>41033.256816047215</v>
      </c>
      <c r="K47" s="6">
        <f t="shared" si="24"/>
        <v>0.19971645359341236</v>
      </c>
      <c r="L47" s="7">
        <f t="shared" si="25"/>
        <v>1.1997164535934124</v>
      </c>
      <c r="O47">
        <f t="shared" si="26"/>
        <v>1997</v>
      </c>
      <c r="P47" s="6">
        <f t="shared" si="13"/>
        <v>0.27446004668423496</v>
      </c>
      <c r="Q47" s="6">
        <f t="shared" si="13"/>
        <v>0.37431716382309871</v>
      </c>
      <c r="R47" s="7"/>
      <c r="S47" s="7"/>
      <c r="T47" s="6"/>
      <c r="U47" s="6">
        <f t="shared" si="13"/>
        <v>0.11768478550186343</v>
      </c>
      <c r="V47" s="6">
        <f t="shared" si="15"/>
        <v>0.23353800399080288</v>
      </c>
      <c r="W47" s="6">
        <f t="shared" si="27"/>
        <v>1</v>
      </c>
      <c r="X47" s="7">
        <f t="shared" si="28"/>
        <v>0.76646199600919718</v>
      </c>
      <c r="Y47" s="7">
        <f t="shared" si="29"/>
        <v>0</v>
      </c>
      <c r="Z47" s="24"/>
      <c r="AA47">
        <f t="shared" si="16"/>
        <v>1997</v>
      </c>
      <c r="AB47" s="2">
        <f t="shared" si="3"/>
        <v>67651.883246614365</v>
      </c>
      <c r="AC47" s="2">
        <f t="shared" si="4"/>
        <v>92265.746399505631</v>
      </c>
      <c r="AD47" s="2"/>
      <c r="AE47" s="2"/>
      <c r="AF47" s="2"/>
      <c r="AG47" s="2">
        <f>G47</f>
        <v>29008.219829659585</v>
      </c>
      <c r="AH47" s="2">
        <f t="shared" si="6"/>
        <v>57564.975195862164</v>
      </c>
      <c r="AI47" s="2">
        <f t="shared" si="17"/>
        <v>246490.82467164175</v>
      </c>
      <c r="AJ47" s="2">
        <f t="shared" si="7"/>
        <v>0</v>
      </c>
    </row>
    <row r="48" spans="1:36" x14ac:dyDescent="0.2">
      <c r="A48">
        <f t="shared" si="8"/>
        <v>1998</v>
      </c>
      <c r="B48" s="2">
        <f t="shared" si="18"/>
        <v>87040.912985094037</v>
      </c>
      <c r="C48" s="2">
        <f t="shared" si="19"/>
        <v>99972.704196256353</v>
      </c>
      <c r="D48" s="2"/>
      <c r="E48" s="2"/>
      <c r="F48" s="2"/>
      <c r="G48" s="2">
        <f t="shared" ref="G48:G64" si="30">AG47*(1+(G12/100))</f>
        <v>33534.372369681369</v>
      </c>
      <c r="H48" s="2">
        <f t="shared" si="21"/>
        <v>62504.050067667144</v>
      </c>
      <c r="I48" s="2">
        <f t="shared" si="22"/>
        <v>283052.03961869888</v>
      </c>
      <c r="J48" s="2">
        <f t="shared" si="23"/>
        <v>36561.214947057131</v>
      </c>
      <c r="K48" s="6">
        <f t="shared" si="24"/>
        <v>0.14832687989811177</v>
      </c>
      <c r="L48" s="7">
        <f t="shared" si="25"/>
        <v>1.1483268798981117</v>
      </c>
      <c r="O48">
        <f t="shared" si="26"/>
        <v>1998</v>
      </c>
      <c r="P48" s="6">
        <f t="shared" si="13"/>
        <v>0.3075085171700136</v>
      </c>
      <c r="Q48" s="6">
        <f t="shared" si="13"/>
        <v>0.35319549129880917</v>
      </c>
      <c r="R48" s="7"/>
      <c r="S48" s="7"/>
      <c r="T48" s="6"/>
      <c r="U48" s="6">
        <f t="shared" si="13"/>
        <v>0.11847422973830439</v>
      </c>
      <c r="V48" s="6">
        <f t="shared" si="15"/>
        <v>0.22082176179287288</v>
      </c>
      <c r="W48" s="6">
        <f t="shared" si="27"/>
        <v>1</v>
      </c>
      <c r="X48" s="7">
        <f t="shared" si="28"/>
        <v>0.77917823820712706</v>
      </c>
      <c r="Y48" s="7">
        <f t="shared" si="29"/>
        <v>0</v>
      </c>
      <c r="Z48" s="24"/>
      <c r="AA48">
        <f t="shared" si="16"/>
        <v>1998</v>
      </c>
      <c r="AB48" s="2">
        <f t="shared" si="3"/>
        <v>87040.912985094037</v>
      </c>
      <c r="AC48" s="2">
        <f t="shared" si="4"/>
        <v>99972.704196256353</v>
      </c>
      <c r="AD48" s="2"/>
      <c r="AE48" s="2"/>
      <c r="AF48" s="2"/>
      <c r="AG48" s="2">
        <f>G48</f>
        <v>33534.372369681369</v>
      </c>
      <c r="AH48" s="2">
        <f t="shared" si="6"/>
        <v>62504.050067667144</v>
      </c>
      <c r="AI48" s="2">
        <f t="shared" si="17"/>
        <v>283052.03961869888</v>
      </c>
      <c r="AJ48" s="2">
        <f t="shared" si="7"/>
        <v>0</v>
      </c>
    </row>
    <row r="49" spans="1:36" x14ac:dyDescent="0.2">
      <c r="A49">
        <f t="shared" si="8"/>
        <v>1999</v>
      </c>
      <c r="B49" s="2">
        <f t="shared" si="18"/>
        <v>105380.43335105336</v>
      </c>
      <c r="C49" s="2"/>
      <c r="D49" s="2">
        <f>($AC48*0.67)*(1+(D13/100))</f>
        <v>77242.640243894173</v>
      </c>
      <c r="E49" s="2">
        <f>($AC48*0.33)*(1+(E13/100))</f>
        <v>40622.798653132195</v>
      </c>
      <c r="F49" s="2"/>
      <c r="G49" s="2">
        <f t="shared" si="30"/>
        <v>43567.521238966343</v>
      </c>
      <c r="H49" s="2">
        <f t="shared" si="21"/>
        <v>62029.019287152871</v>
      </c>
      <c r="I49" s="2">
        <f t="shared" si="22"/>
        <v>328842.41277419892</v>
      </c>
      <c r="J49" s="2">
        <f t="shared" si="23"/>
        <v>45790.373155500041</v>
      </c>
      <c r="K49" s="6">
        <f t="shared" si="24"/>
        <v>0.1617736908632933</v>
      </c>
      <c r="L49" s="7">
        <f t="shared" si="25"/>
        <v>1.1617736908632934</v>
      </c>
      <c r="O49">
        <f t="shared" si="26"/>
        <v>1999</v>
      </c>
      <c r="P49" s="6">
        <f t="shared" si="13"/>
        <v>0.32045876461627015</v>
      </c>
      <c r="Q49" s="6"/>
      <c r="R49" s="6">
        <f t="shared" ref="R49:R52" si="31">D49/$I49</f>
        <v>0.23489257237913885</v>
      </c>
      <c r="S49" s="6">
        <f t="shared" ref="S49:S52" si="32">E49/$I49</f>
        <v>0.12353272289431234</v>
      </c>
      <c r="T49" s="6"/>
      <c r="U49" s="6">
        <f t="shared" si="13"/>
        <v>0.13248753672441327</v>
      </c>
      <c r="V49" s="6">
        <f t="shared" si="15"/>
        <v>0.18862840338586545</v>
      </c>
      <c r="W49" s="6">
        <f t="shared" si="27"/>
        <v>1.0000000000000002</v>
      </c>
      <c r="X49" s="7">
        <f t="shared" si="28"/>
        <v>0.81137159661413472</v>
      </c>
      <c r="Y49" s="7">
        <f t="shared" si="29"/>
        <v>0</v>
      </c>
      <c r="Z49" s="24"/>
      <c r="AA49">
        <f t="shared" si="16"/>
        <v>1999</v>
      </c>
      <c r="AB49" s="2">
        <f t="shared" si="3"/>
        <v>105380.43335105336</v>
      </c>
      <c r="AC49" s="2"/>
      <c r="AD49" s="2">
        <f t="shared" ref="AD49:AD50" si="33">D49</f>
        <v>77242.640243894173</v>
      </c>
      <c r="AE49" s="2">
        <f t="shared" ref="AE49:AE50" si="34">E49</f>
        <v>40622.798653132195</v>
      </c>
      <c r="AF49" s="2"/>
      <c r="AG49" s="2">
        <f>G49</f>
        <v>43567.521238966343</v>
      </c>
      <c r="AH49" s="2">
        <f t="shared" si="6"/>
        <v>62029.019287152871</v>
      </c>
      <c r="AI49" s="2">
        <f t="shared" si="17"/>
        <v>328842.41277419892</v>
      </c>
      <c r="AJ49" s="2">
        <f t="shared" si="7"/>
        <v>0</v>
      </c>
    </row>
    <row r="50" spans="1:36" x14ac:dyDescent="0.2">
      <c r="A50">
        <f t="shared" si="8"/>
        <v>2000</v>
      </c>
      <c r="B50" s="2">
        <f t="shared" si="18"/>
        <v>95832.966089447931</v>
      </c>
      <c r="C50" s="2"/>
      <c r="D50" s="2">
        <f t="shared" ref="D50:D51" si="35">AD49*(1+(D14/100))</f>
        <v>91222.013275234131</v>
      </c>
      <c r="E50" s="2">
        <f t="shared" ref="E50:E51" si="36">AE49*(1+(E14/100))</f>
        <v>39540.201069026225</v>
      </c>
      <c r="F50" s="2"/>
      <c r="G50" s="2">
        <f t="shared" si="30"/>
        <v>36764.888472714141</v>
      </c>
      <c r="H50" s="2">
        <f t="shared" si="21"/>
        <v>69094.124583959594</v>
      </c>
      <c r="I50" s="2">
        <f t="shared" si="22"/>
        <v>332454.19349038199</v>
      </c>
      <c r="J50" s="2">
        <f t="shared" si="23"/>
        <v>3611.7807161830715</v>
      </c>
      <c r="K50" s="6">
        <f t="shared" si="24"/>
        <v>1.0983317771309252E-2</v>
      </c>
      <c r="L50" s="7">
        <f t="shared" si="25"/>
        <v>1.0109833177713092</v>
      </c>
      <c r="O50">
        <f t="shared" si="26"/>
        <v>2000</v>
      </c>
      <c r="P50" s="6">
        <f t="shared" si="13"/>
        <v>0.28825915860261336</v>
      </c>
      <c r="Q50" s="6"/>
      <c r="R50" s="6">
        <f t="shared" si="31"/>
        <v>0.27438972063341777</v>
      </c>
      <c r="S50" s="6">
        <f t="shared" si="32"/>
        <v>0.11893428280720464</v>
      </c>
      <c r="T50" s="7"/>
      <c r="U50" s="6">
        <f t="shared" si="13"/>
        <v>0.11058632795912608</v>
      </c>
      <c r="V50" s="6">
        <f t="shared" si="15"/>
        <v>0.20783050999763825</v>
      </c>
      <c r="W50" s="6">
        <f t="shared" si="27"/>
        <v>1</v>
      </c>
      <c r="X50" s="7">
        <f t="shared" si="28"/>
        <v>0.79216949000236181</v>
      </c>
      <c r="Y50" s="7">
        <f t="shared" si="29"/>
        <v>0</v>
      </c>
      <c r="Z50" s="24"/>
      <c r="AA50">
        <f t="shared" si="16"/>
        <v>2000</v>
      </c>
      <c r="AB50" s="2">
        <f t="shared" si="3"/>
        <v>95832.966089447931</v>
      </c>
      <c r="AC50" s="2"/>
      <c r="AD50" s="2">
        <f t="shared" si="33"/>
        <v>91222.013275234131</v>
      </c>
      <c r="AE50" s="2">
        <f t="shared" si="34"/>
        <v>39540.201069026225</v>
      </c>
      <c r="AF50" s="2"/>
      <c r="AG50" s="2">
        <f>G50</f>
        <v>36764.888472714141</v>
      </c>
      <c r="AH50" s="2">
        <f t="shared" si="6"/>
        <v>69094.124583959594</v>
      </c>
      <c r="AI50" s="2">
        <f t="shared" si="17"/>
        <v>332454.19349038199</v>
      </c>
      <c r="AJ50" s="2">
        <f t="shared" si="7"/>
        <v>0</v>
      </c>
    </row>
    <row r="51" spans="1:36" x14ac:dyDescent="0.2">
      <c r="A51">
        <f t="shared" si="8"/>
        <v>2001</v>
      </c>
      <c r="B51" s="2">
        <f t="shared" ref="B51:B64" si="37">AB50*(1+(B15/100))</f>
        <v>84313.843565496296</v>
      </c>
      <c r="C51" s="2"/>
      <c r="D51" s="2">
        <f t="shared" si="35"/>
        <v>90766.815428990711</v>
      </c>
      <c r="E51" s="2">
        <f t="shared" si="36"/>
        <v>40765.947302166038</v>
      </c>
      <c r="F51" s="2"/>
      <c r="G51" s="2">
        <f t="shared" si="30"/>
        <v>29355.660498808062</v>
      </c>
      <c r="H51" s="2">
        <f t="shared" si="21"/>
        <v>74918.759286387387</v>
      </c>
      <c r="I51" s="2">
        <f t="shared" si="22"/>
        <v>320121.02608184848</v>
      </c>
      <c r="J51" s="2">
        <f t="shared" si="23"/>
        <v>-12333.167408533511</v>
      </c>
      <c r="K51" s="6">
        <f t="shared" si="24"/>
        <v>-3.7097343483773242E-2</v>
      </c>
      <c r="L51" s="7">
        <f t="shared" si="25"/>
        <v>0.96290265651622675</v>
      </c>
      <c r="O51">
        <f t="shared" si="26"/>
        <v>2001</v>
      </c>
      <c r="P51" s="6">
        <f t="shared" si="13"/>
        <v>0.26338114867824691</v>
      </c>
      <c r="Q51" s="7"/>
      <c r="R51" s="6">
        <f t="shared" si="31"/>
        <v>0.28353906189774447</v>
      </c>
      <c r="S51" s="6">
        <f t="shared" si="32"/>
        <v>0.12734542245201666</v>
      </c>
      <c r="T51" s="7"/>
      <c r="U51" s="6">
        <f t="shared" si="13"/>
        <v>9.1701756857740457E-2</v>
      </c>
      <c r="V51" s="6">
        <f t="shared" si="15"/>
        <v>0.23403261011425153</v>
      </c>
      <c r="W51" s="6">
        <f t="shared" si="27"/>
        <v>1</v>
      </c>
      <c r="X51" s="7">
        <f t="shared" si="28"/>
        <v>0.76596738988574842</v>
      </c>
      <c r="Y51" s="7">
        <f t="shared" si="29"/>
        <v>0</v>
      </c>
      <c r="Z51" s="24"/>
      <c r="AA51">
        <f t="shared" si="16"/>
        <v>2001</v>
      </c>
      <c r="AB51" s="2">
        <f>B51</f>
        <v>84313.843565496296</v>
      </c>
      <c r="AC51" s="2"/>
      <c r="AD51" s="2">
        <f t="shared" ref="AD51:AE51" si="38">D51</f>
        <v>90766.815428990711</v>
      </c>
      <c r="AE51" s="2">
        <f t="shared" si="38"/>
        <v>40765.947302166038</v>
      </c>
      <c r="AF51" s="2"/>
      <c r="AG51" s="2">
        <f>G51</f>
        <v>29355.660498808062</v>
      </c>
      <c r="AH51" s="2">
        <f t="shared" si="6"/>
        <v>74918.759286387387</v>
      </c>
      <c r="AI51" s="2">
        <f t="shared" si="17"/>
        <v>320121.02608184848</v>
      </c>
      <c r="AJ51" s="2">
        <f t="shared" si="7"/>
        <v>0</v>
      </c>
    </row>
    <row r="52" spans="1:36" x14ac:dyDescent="0.2">
      <c r="A52">
        <f t="shared" si="8"/>
        <v>2002</v>
      </c>
      <c r="B52" s="2">
        <f t="shared" si="37"/>
        <v>65638.327215738871</v>
      </c>
      <c r="C52" s="2"/>
      <c r="D52" s="2">
        <f t="shared" ref="D52:D64" si="39">AD51*(1+(D16/100))</f>
        <v>77507.599031123755</v>
      </c>
      <c r="E52" s="2">
        <f t="shared" ref="E52:E64" si="40">AE51*(1+(E16/100))</f>
        <v>32603.789333326356</v>
      </c>
      <c r="F52" s="2"/>
      <c r="G52" s="2">
        <f t="shared" si="30"/>
        <v>24927.946225772841</v>
      </c>
      <c r="H52" s="2">
        <f t="shared" si="21"/>
        <v>81107.048803442987</v>
      </c>
      <c r="I52" s="2">
        <f t="shared" si="22"/>
        <v>281784.71060940484</v>
      </c>
      <c r="J52" s="2">
        <f t="shared" si="23"/>
        <v>-38336.315472443646</v>
      </c>
      <c r="K52" s="6">
        <f t="shared" si="24"/>
        <v>-0.11975569346901263</v>
      </c>
      <c r="L52" s="7">
        <f t="shared" si="25"/>
        <v>0.8802443065309874</v>
      </c>
      <c r="O52">
        <f t="shared" si="26"/>
        <v>2002</v>
      </c>
      <c r="P52" s="6">
        <f t="shared" si="13"/>
        <v>0.2329378590974131</v>
      </c>
      <c r="Q52" s="7"/>
      <c r="R52" s="6">
        <f t="shared" si="31"/>
        <v>0.27505963280797274</v>
      </c>
      <c r="S52" s="6">
        <f t="shared" si="32"/>
        <v>0.11570460747432113</v>
      </c>
      <c r="T52" s="7"/>
      <c r="U52" s="6">
        <f t="shared" si="13"/>
        <v>8.8464509560728613E-2</v>
      </c>
      <c r="V52" s="6">
        <f t="shared" si="15"/>
        <v>0.28783339105956435</v>
      </c>
      <c r="W52" s="6">
        <f t="shared" si="27"/>
        <v>0.99999999999999978</v>
      </c>
      <c r="X52" s="7">
        <f t="shared" si="28"/>
        <v>0.71216660894043549</v>
      </c>
      <c r="Y52" s="7">
        <f t="shared" si="29"/>
        <v>0</v>
      </c>
      <c r="Z52" s="24"/>
      <c r="AA52">
        <f t="shared" si="16"/>
        <v>2002</v>
      </c>
      <c r="AB52" s="40">
        <v>0</v>
      </c>
      <c r="AC52" s="40"/>
      <c r="AD52" s="40">
        <v>0</v>
      </c>
      <c r="AE52" s="40">
        <v>0</v>
      </c>
      <c r="AF52" s="40"/>
      <c r="AG52" s="40">
        <v>0</v>
      </c>
      <c r="AH52" s="40">
        <f>I52</f>
        <v>281784.71060940484</v>
      </c>
      <c r="AI52" s="2">
        <f t="shared" si="17"/>
        <v>281784.71060940484</v>
      </c>
      <c r="AJ52" s="2">
        <f t="shared" si="7"/>
        <v>0</v>
      </c>
    </row>
    <row r="53" spans="1:36" x14ac:dyDescent="0.2">
      <c r="A53">
        <f t="shared" si="8"/>
        <v>2003</v>
      </c>
      <c r="B53" s="2">
        <f t="shared" si="37"/>
        <v>0</v>
      </c>
      <c r="C53" s="2"/>
      <c r="D53" s="2">
        <f t="shared" si="39"/>
        <v>0</v>
      </c>
      <c r="E53" s="2">
        <f t="shared" si="40"/>
        <v>0</v>
      </c>
      <c r="F53" s="2"/>
      <c r="G53" s="2">
        <f t="shared" si="30"/>
        <v>0</v>
      </c>
      <c r="H53" s="2">
        <f t="shared" si="21"/>
        <v>292971.56362059823</v>
      </c>
      <c r="I53" s="2">
        <f t="shared" si="22"/>
        <v>292971.56362059823</v>
      </c>
      <c r="J53" s="2">
        <f t="shared" si="23"/>
        <v>11186.853011193394</v>
      </c>
      <c r="K53" s="6">
        <f t="shared" si="24"/>
        <v>3.9700000000000076E-2</v>
      </c>
      <c r="L53" s="7">
        <f t="shared" si="25"/>
        <v>1.0397000000000001</v>
      </c>
      <c r="O53">
        <f t="shared" si="26"/>
        <v>2003</v>
      </c>
      <c r="P53" s="6">
        <f t="shared" si="13"/>
        <v>0</v>
      </c>
      <c r="Q53" s="7"/>
      <c r="R53" s="6">
        <f t="shared" si="13"/>
        <v>0</v>
      </c>
      <c r="S53" s="6">
        <f t="shared" si="13"/>
        <v>0</v>
      </c>
      <c r="T53" s="7"/>
      <c r="U53" s="6">
        <f t="shared" si="13"/>
        <v>0</v>
      </c>
      <c r="V53" s="6">
        <f t="shared" si="15"/>
        <v>1</v>
      </c>
      <c r="W53" s="6">
        <f t="shared" si="27"/>
        <v>1</v>
      </c>
      <c r="X53" s="7">
        <f t="shared" si="28"/>
        <v>0</v>
      </c>
      <c r="Y53" s="7">
        <f t="shared" si="29"/>
        <v>0</v>
      </c>
      <c r="Z53" s="24"/>
      <c r="AA53">
        <f t="shared" si="16"/>
        <v>2003</v>
      </c>
      <c r="AB53" s="40">
        <f>$I53*P$39</f>
        <v>58594.312724119649</v>
      </c>
      <c r="AC53" s="40"/>
      <c r="AD53" s="40">
        <f>$I53*R$39</f>
        <v>58594.312724119649</v>
      </c>
      <c r="AE53" s="40">
        <f>$I53*S$39</f>
        <v>29297.156362059824</v>
      </c>
      <c r="AF53" s="40"/>
      <c r="AG53" s="40">
        <f>$I53*U$39</f>
        <v>58594.312724119649</v>
      </c>
      <c r="AH53" s="40">
        <f>$I53*V$39</f>
        <v>87891.469086179466</v>
      </c>
      <c r="AI53" s="2">
        <f t="shared" si="17"/>
        <v>292971.56362059823</v>
      </c>
      <c r="AJ53" s="2">
        <f t="shared" si="7"/>
        <v>0</v>
      </c>
    </row>
    <row r="54" spans="1:36" x14ac:dyDescent="0.2">
      <c r="A54">
        <f t="shared" si="8"/>
        <v>2004</v>
      </c>
      <c r="B54" s="2">
        <f t="shared" si="37"/>
        <v>64887.341910690098</v>
      </c>
      <c r="C54" s="2"/>
      <c r="D54" s="2">
        <f t="shared" si="39"/>
        <v>70520.013192859726</v>
      </c>
      <c r="E54" s="2">
        <f t="shared" si="40"/>
        <v>35126.411563418871</v>
      </c>
      <c r="F54" s="2"/>
      <c r="G54" s="2">
        <f t="shared" si="30"/>
        <v>70803.609666444463</v>
      </c>
      <c r="H54" s="2">
        <f t="shared" si="21"/>
        <v>91618.067375433471</v>
      </c>
      <c r="I54" s="2">
        <f t="shared" si="22"/>
        <v>332955.44370884664</v>
      </c>
      <c r="J54" s="2">
        <f t="shared" si="23"/>
        <v>39983.880088248407</v>
      </c>
      <c r="K54" s="6">
        <f t="shared" si="24"/>
        <v>0.13647700000000007</v>
      </c>
      <c r="L54" s="7">
        <f t="shared" si="25"/>
        <v>1.1364770000000002</v>
      </c>
      <c r="O54">
        <f t="shared" si="26"/>
        <v>2004</v>
      </c>
      <c r="P54" s="6">
        <f t="shared" si="13"/>
        <v>0.19488295847606243</v>
      </c>
      <c r="Q54" s="7"/>
      <c r="R54" s="6">
        <f t="shared" si="13"/>
        <v>0.21180015081695452</v>
      </c>
      <c r="S54" s="6">
        <f t="shared" si="13"/>
        <v>0.1054988354361769</v>
      </c>
      <c r="T54" s="7"/>
      <c r="U54" s="6">
        <f t="shared" si="13"/>
        <v>0.21265190584587282</v>
      </c>
      <c r="V54" s="6">
        <f t="shared" si="15"/>
        <v>0.27516614942493334</v>
      </c>
      <c r="W54" s="6">
        <f t="shared" si="27"/>
        <v>1</v>
      </c>
      <c r="X54" s="7">
        <f t="shared" si="28"/>
        <v>0.72483385057506666</v>
      </c>
      <c r="Y54" s="7">
        <f t="shared" si="29"/>
        <v>0</v>
      </c>
      <c r="Z54" s="24"/>
      <c r="AA54">
        <f t="shared" si="16"/>
        <v>2004</v>
      </c>
      <c r="AB54" s="2">
        <f>B54</f>
        <v>64887.341910690098</v>
      </c>
      <c r="AC54" s="2"/>
      <c r="AD54" s="2">
        <f t="shared" ref="AD54" si="41">D54</f>
        <v>70520.013192859726</v>
      </c>
      <c r="AE54" s="2">
        <f t="shared" ref="AE54" si="42">E54</f>
        <v>35126.411563418871</v>
      </c>
      <c r="AF54" s="2"/>
      <c r="AG54" s="2">
        <f t="shared" ref="AG54" si="43">G54</f>
        <v>70803.609666444463</v>
      </c>
      <c r="AH54" s="2">
        <f t="shared" ref="AH54" si="44">H54</f>
        <v>91618.067375433471</v>
      </c>
      <c r="AI54" s="2">
        <f t="shared" si="17"/>
        <v>332955.44370884664</v>
      </c>
      <c r="AJ54" s="2">
        <f t="shared" si="7"/>
        <v>0</v>
      </c>
    </row>
    <row r="55" spans="1:36" x14ac:dyDescent="0.2">
      <c r="A55">
        <f t="shared" si="8"/>
        <v>2005</v>
      </c>
      <c r="B55" s="2">
        <f t="shared" si="37"/>
        <v>67982.468119830024</v>
      </c>
      <c r="C55" s="2"/>
      <c r="D55" s="2">
        <f t="shared" si="39"/>
        <v>80344.156230757013</v>
      </c>
      <c r="E55" s="2">
        <f t="shared" si="40"/>
        <v>37712.769246833406</v>
      </c>
      <c r="F55" s="2"/>
      <c r="G55" s="2">
        <f t="shared" si="30"/>
        <v>81828.439727606528</v>
      </c>
      <c r="H55" s="2">
        <f t="shared" si="21"/>
        <v>93816.900992443872</v>
      </c>
      <c r="I55" s="2">
        <f t="shared" si="22"/>
        <v>361684.73431747081</v>
      </c>
      <c r="J55" s="2">
        <f t="shared" si="23"/>
        <v>28729.290608624171</v>
      </c>
      <c r="K55" s="6">
        <f t="shared" si="24"/>
        <v>8.6285691228242964E-2</v>
      </c>
      <c r="L55" s="7">
        <f t="shared" si="25"/>
        <v>1.086285691228243</v>
      </c>
      <c r="O55">
        <f t="shared" si="26"/>
        <v>2005</v>
      </c>
      <c r="P55" s="6">
        <f t="shared" si="13"/>
        <v>0.1879605680569256</v>
      </c>
      <c r="Q55" s="7"/>
      <c r="R55" s="6">
        <f t="shared" si="13"/>
        <v>0.22213864343037071</v>
      </c>
      <c r="S55" s="6">
        <f t="shared" si="13"/>
        <v>0.10426972904455185</v>
      </c>
      <c r="T55" s="7"/>
      <c r="U55" s="6">
        <f t="shared" si="13"/>
        <v>0.22624244808679472</v>
      </c>
      <c r="V55" s="6">
        <f t="shared" si="15"/>
        <v>0.25938861138135721</v>
      </c>
      <c r="W55" s="6">
        <f t="shared" si="27"/>
        <v>1.0000000000000002</v>
      </c>
      <c r="X55" s="7">
        <f t="shared" si="28"/>
        <v>0.74061138861864295</v>
      </c>
      <c r="Y55" s="7">
        <f t="shared" si="29"/>
        <v>0</v>
      </c>
      <c r="Z55" s="24"/>
      <c r="AA55">
        <f t="shared" si="16"/>
        <v>2005</v>
      </c>
      <c r="AB55" s="2">
        <f>B55</f>
        <v>67982.468119830024</v>
      </c>
      <c r="AC55" s="2"/>
      <c r="AD55" s="2">
        <f t="shared" ref="AD55" si="45">D55</f>
        <v>80344.156230757013</v>
      </c>
      <c r="AE55" s="2">
        <f t="shared" ref="AE55" si="46">E55</f>
        <v>37712.769246833406</v>
      </c>
      <c r="AF55" s="2"/>
      <c r="AG55" s="2">
        <f t="shared" ref="AG55" si="47">G55</f>
        <v>81828.439727606528</v>
      </c>
      <c r="AH55" s="2">
        <f t="shared" ref="AH55" si="48">H55</f>
        <v>93816.900992443872</v>
      </c>
      <c r="AI55" s="2">
        <f t="shared" si="17"/>
        <v>361684.73431747081</v>
      </c>
      <c r="AJ55" s="2">
        <f t="shared" si="7"/>
        <v>0</v>
      </c>
    </row>
    <row r="56" spans="1:36" x14ac:dyDescent="0.2">
      <c r="A56">
        <f t="shared" si="8"/>
        <v>2006</v>
      </c>
      <c r="B56" s="2">
        <f t="shared" si="37"/>
        <v>78614.926133771442</v>
      </c>
      <c r="C56" s="2"/>
      <c r="D56" s="2">
        <f t="shared" si="39"/>
        <v>91268.551153453038</v>
      </c>
      <c r="E56" s="2">
        <f t="shared" si="40"/>
        <v>43617.080400117644</v>
      </c>
      <c r="F56" s="2"/>
      <c r="G56" s="2">
        <f t="shared" si="30"/>
        <v>103625.08121784907</v>
      </c>
      <c r="H56" s="2">
        <f t="shared" si="21"/>
        <v>97822.882664821227</v>
      </c>
      <c r="I56" s="2">
        <f t="shared" si="22"/>
        <v>414948.52157001244</v>
      </c>
      <c r="J56" s="2">
        <f>I56-I55</f>
        <v>53263.787252541631</v>
      </c>
      <c r="K56" s="6">
        <f>(J56/I55)</f>
        <v>0.14726578757340927</v>
      </c>
      <c r="L56" s="7">
        <f t="shared" si="25"/>
        <v>1.1472657875734094</v>
      </c>
      <c r="O56">
        <f t="shared" si="26"/>
        <v>2006</v>
      </c>
      <c r="P56" s="6">
        <f t="shared" si="13"/>
        <v>0.18945705803775731</v>
      </c>
      <c r="Q56" s="7"/>
      <c r="R56" s="6">
        <f t="shared" si="13"/>
        <v>0.21995150340125671</v>
      </c>
      <c r="S56" s="6">
        <f t="shared" si="13"/>
        <v>0.10511443741283055</v>
      </c>
      <c r="T56" s="7"/>
      <c r="U56" s="6">
        <f t="shared" si="13"/>
        <v>0.24972996849288659</v>
      </c>
      <c r="V56" s="6">
        <f t="shared" si="15"/>
        <v>0.23574703265526878</v>
      </c>
      <c r="W56" s="6">
        <f t="shared" si="27"/>
        <v>0.99999999999999989</v>
      </c>
      <c r="X56" s="7">
        <f t="shared" si="28"/>
        <v>0.76425296734473114</v>
      </c>
      <c r="Y56" s="7">
        <f t="shared" si="29"/>
        <v>0</v>
      </c>
      <c r="Z56" s="24"/>
      <c r="AA56">
        <f t="shared" si="16"/>
        <v>2006</v>
      </c>
      <c r="AB56" s="2">
        <f>B56</f>
        <v>78614.926133771442</v>
      </c>
      <c r="AC56" s="2"/>
      <c r="AD56" s="2">
        <f t="shared" ref="AD56:AE57" si="49">D56</f>
        <v>91268.551153453038</v>
      </c>
      <c r="AE56" s="2">
        <f t="shared" si="49"/>
        <v>43617.080400117644</v>
      </c>
      <c r="AF56" s="2"/>
      <c r="AG56" s="2">
        <f t="shared" ref="AG56:AH57" si="50">G56</f>
        <v>103625.08121784907</v>
      </c>
      <c r="AH56" s="2">
        <f t="shared" si="50"/>
        <v>97822.882664821227</v>
      </c>
      <c r="AI56" s="2">
        <f t="shared" si="17"/>
        <v>414948.52157001244</v>
      </c>
      <c r="AJ56" s="2">
        <f t="shared" si="7"/>
        <v>0</v>
      </c>
    </row>
    <row r="57" spans="1:36" x14ac:dyDescent="0.2">
      <c r="A57">
        <f t="shared" si="8"/>
        <v>2007</v>
      </c>
      <c r="B57" s="2">
        <f t="shared" si="37"/>
        <v>82852.270652381732</v>
      </c>
      <c r="C57" s="2"/>
      <c r="D57" s="2">
        <f t="shared" si="39"/>
        <v>96763.830618402455</v>
      </c>
      <c r="E57" s="2">
        <f t="shared" si="40"/>
        <v>44121.293849543006</v>
      </c>
      <c r="F57" s="2"/>
      <c r="G57" s="2">
        <f t="shared" si="30"/>
        <v>119709.7663244836</v>
      </c>
      <c r="H57" s="2">
        <f t="shared" si="21"/>
        <v>104592.22614522684</v>
      </c>
      <c r="I57" s="2">
        <f t="shared" si="22"/>
        <v>448039.38759003766</v>
      </c>
      <c r="J57" s="2">
        <f t="shared" si="23"/>
        <v>33090.86602002522</v>
      </c>
      <c r="K57" s="6">
        <f t="shared" si="24"/>
        <v>7.9746918713727591E-2</v>
      </c>
      <c r="L57" s="7">
        <f t="shared" si="25"/>
        <v>1.0797469187137276</v>
      </c>
      <c r="O57">
        <f t="shared" si="26"/>
        <v>2007</v>
      </c>
      <c r="P57" s="6">
        <f t="shared" si="13"/>
        <v>0.18492184604134118</v>
      </c>
      <c r="Q57" s="7"/>
      <c r="R57" s="6">
        <f t="shared" si="13"/>
        <v>0.21597170538707797</v>
      </c>
      <c r="S57" s="6">
        <f t="shared" si="13"/>
        <v>9.8476372996729941E-2</v>
      </c>
      <c r="T57" s="7"/>
      <c r="U57" s="6">
        <f t="shared" si="13"/>
        <v>0.26718580919501594</v>
      </c>
      <c r="V57" s="6">
        <f t="shared" si="15"/>
        <v>0.2334442663798349</v>
      </c>
      <c r="W57" s="6">
        <f t="shared" si="27"/>
        <v>1</v>
      </c>
      <c r="X57" s="7">
        <f t="shared" si="28"/>
        <v>0.76655573362016505</v>
      </c>
      <c r="Y57" s="7">
        <f t="shared" si="29"/>
        <v>0</v>
      </c>
      <c r="Z57" s="24"/>
      <c r="AA57">
        <f t="shared" si="16"/>
        <v>2007</v>
      </c>
      <c r="AB57" s="2">
        <f>B57</f>
        <v>82852.270652381732</v>
      </c>
      <c r="AC57" s="2"/>
      <c r="AD57" s="2">
        <f t="shared" si="49"/>
        <v>96763.830618402455</v>
      </c>
      <c r="AE57" s="2">
        <f t="shared" si="49"/>
        <v>44121.293849543006</v>
      </c>
      <c r="AF57" s="2"/>
      <c r="AG57" s="2">
        <f t="shared" si="50"/>
        <v>119709.7663244836</v>
      </c>
      <c r="AH57" s="2">
        <f t="shared" si="50"/>
        <v>104592.22614522684</v>
      </c>
      <c r="AI57" s="2">
        <f t="shared" si="17"/>
        <v>448039.38759003766</v>
      </c>
      <c r="AJ57" s="2">
        <f t="shared" si="7"/>
        <v>0</v>
      </c>
    </row>
    <row r="58" spans="1:36" x14ac:dyDescent="0.2">
      <c r="A58">
        <f t="shared" si="8"/>
        <v>2008</v>
      </c>
      <c r="B58" s="2">
        <f t="shared" si="37"/>
        <v>52180.360056870006</v>
      </c>
      <c r="C58" s="2"/>
      <c r="D58" s="2">
        <f t="shared" si="39"/>
        <v>56293.326100561819</v>
      </c>
      <c r="E58" s="2">
        <f t="shared" si="40"/>
        <v>28206.743158012843</v>
      </c>
      <c r="F58" s="2"/>
      <c r="G58" s="2">
        <f t="shared" si="30"/>
        <v>66916.562277723089</v>
      </c>
      <c r="H58" s="2">
        <f t="shared" si="21"/>
        <v>109874.1335655608</v>
      </c>
      <c r="I58" s="2">
        <f t="shared" si="22"/>
        <v>313471.12515872857</v>
      </c>
      <c r="J58" s="2">
        <f t="shared" si="23"/>
        <v>-134568.26243130909</v>
      </c>
      <c r="K58" s="6">
        <f t="shared" si="24"/>
        <v>-0.30034917946642886</v>
      </c>
      <c r="L58" s="7">
        <f t="shared" si="25"/>
        <v>0.69965082053357119</v>
      </c>
      <c r="O58">
        <f t="shared" si="26"/>
        <v>2008</v>
      </c>
      <c r="P58" s="6">
        <f t="shared" si="13"/>
        <v>0.16645986143204761</v>
      </c>
      <c r="Q58" s="7"/>
      <c r="R58" s="6">
        <f t="shared" si="13"/>
        <v>0.17958057882383027</v>
      </c>
      <c r="S58" s="6">
        <f t="shared" si="13"/>
        <v>8.9981950151645188E-2</v>
      </c>
      <c r="T58" s="7"/>
      <c r="U58" s="6">
        <f t="shared" si="13"/>
        <v>0.21346962098610953</v>
      </c>
      <c r="V58" s="6">
        <f t="shared" si="15"/>
        <v>0.35050798860636739</v>
      </c>
      <c r="W58" s="6">
        <f t="shared" si="27"/>
        <v>1</v>
      </c>
      <c r="X58" s="7">
        <f t="shared" si="28"/>
        <v>0.64949201139363255</v>
      </c>
      <c r="Y58" s="7">
        <f t="shared" si="29"/>
        <v>0</v>
      </c>
      <c r="Z58" s="24"/>
      <c r="AA58">
        <f t="shared" si="16"/>
        <v>2008</v>
      </c>
      <c r="AB58" s="40">
        <v>0</v>
      </c>
      <c r="AC58" s="40"/>
      <c r="AD58" s="40">
        <v>0</v>
      </c>
      <c r="AE58" s="40">
        <v>0</v>
      </c>
      <c r="AF58" s="40"/>
      <c r="AG58" s="40">
        <v>0</v>
      </c>
      <c r="AH58" s="40">
        <f>I58</f>
        <v>313471.12515872857</v>
      </c>
      <c r="AI58" s="2">
        <f t="shared" si="17"/>
        <v>313471.12515872857</v>
      </c>
      <c r="AJ58" s="2">
        <f t="shared" si="7"/>
        <v>0</v>
      </c>
    </row>
    <row r="59" spans="1:36" x14ac:dyDescent="0.2">
      <c r="A59">
        <f t="shared" si="8"/>
        <v>2009</v>
      </c>
      <c r="B59" s="2">
        <f t="shared" si="37"/>
        <v>0</v>
      </c>
      <c r="C59" s="2"/>
      <c r="D59" s="2">
        <f t="shared" si="39"/>
        <v>0</v>
      </c>
      <c r="E59" s="2">
        <f t="shared" si="40"/>
        <v>0</v>
      </c>
      <c r="F59" s="2"/>
      <c r="G59" s="2">
        <f t="shared" si="30"/>
        <v>0</v>
      </c>
      <c r="H59" s="2">
        <f t="shared" si="21"/>
        <v>332059.96288064116</v>
      </c>
      <c r="I59" s="2">
        <f t="shared" si="22"/>
        <v>332059.96288064116</v>
      </c>
      <c r="J59" s="2">
        <f t="shared" si="23"/>
        <v>18588.837721912598</v>
      </c>
      <c r="K59" s="6">
        <f t="shared" si="24"/>
        <v>5.9299999999999978E-2</v>
      </c>
      <c r="L59" s="7">
        <f t="shared" si="25"/>
        <v>1.0592999999999999</v>
      </c>
      <c r="O59">
        <f t="shared" si="26"/>
        <v>2009</v>
      </c>
      <c r="P59" s="6">
        <f t="shared" si="13"/>
        <v>0</v>
      </c>
      <c r="Q59" s="7"/>
      <c r="R59" s="6">
        <f t="shared" si="13"/>
        <v>0</v>
      </c>
      <c r="S59" s="6">
        <f t="shared" si="13"/>
        <v>0</v>
      </c>
      <c r="T59" s="7"/>
      <c r="U59" s="6">
        <f t="shared" si="13"/>
        <v>0</v>
      </c>
      <c r="V59" s="6">
        <f t="shared" si="15"/>
        <v>1</v>
      </c>
      <c r="W59" s="6">
        <f t="shared" si="27"/>
        <v>1</v>
      </c>
      <c r="X59" s="7">
        <f t="shared" si="28"/>
        <v>0</v>
      </c>
      <c r="Y59" s="7">
        <f t="shared" si="29"/>
        <v>0</v>
      </c>
      <c r="Z59" s="24"/>
      <c r="AA59">
        <f t="shared" si="16"/>
        <v>2009</v>
      </c>
      <c r="AB59" s="40">
        <f>$I59*P$39</f>
        <v>66411.992576128236</v>
      </c>
      <c r="AC59" s="40"/>
      <c r="AD59" s="40">
        <f>$I59*R$39</f>
        <v>66411.992576128236</v>
      </c>
      <c r="AE59" s="40">
        <f>$I59*S$39</f>
        <v>33205.996288064118</v>
      </c>
      <c r="AF59" s="40"/>
      <c r="AG59" s="40">
        <f>$I59*U$39</f>
        <v>66411.992576128236</v>
      </c>
      <c r="AH59" s="40">
        <f>$I59*V$39</f>
        <v>99617.988864192346</v>
      </c>
      <c r="AI59" s="2">
        <f t="shared" si="17"/>
        <v>332059.96288064116</v>
      </c>
      <c r="AJ59" s="2">
        <f t="shared" si="7"/>
        <v>0</v>
      </c>
    </row>
    <row r="60" spans="1:36" x14ac:dyDescent="0.2">
      <c r="A60">
        <f t="shared" si="8"/>
        <v>2010</v>
      </c>
      <c r="B60" s="2">
        <f t="shared" si="37"/>
        <v>76314.02066922895</v>
      </c>
      <c r="C60" s="2"/>
      <c r="D60" s="2">
        <f t="shared" si="39"/>
        <v>83320.485886010487</v>
      </c>
      <c r="E60" s="2">
        <f t="shared" si="40"/>
        <v>42410.698459115498</v>
      </c>
      <c r="F60" s="2"/>
      <c r="G60" s="2">
        <f t="shared" si="30"/>
        <v>73797.00615059369</v>
      </c>
      <c r="H60" s="2">
        <f t="shared" si="21"/>
        <v>106013.46374927351</v>
      </c>
      <c r="I60" s="2">
        <f t="shared" si="22"/>
        <v>381855.67491422215</v>
      </c>
      <c r="J60" s="2">
        <f t="shared" si="23"/>
        <v>49795.712033580989</v>
      </c>
      <c r="K60" s="6">
        <f t="shared" si="24"/>
        <v>0.14996000000000012</v>
      </c>
      <c r="L60" s="7">
        <f t="shared" si="25"/>
        <v>1.1499600000000001</v>
      </c>
      <c r="O60">
        <f t="shared" si="26"/>
        <v>2010</v>
      </c>
      <c r="P60" s="6">
        <f t="shared" si="13"/>
        <v>0.19985042958015928</v>
      </c>
      <c r="Q60" s="7"/>
      <c r="R60" s="6">
        <f t="shared" si="13"/>
        <v>0.21819889387456953</v>
      </c>
      <c r="S60" s="6">
        <f t="shared" si="13"/>
        <v>0.11106473268635432</v>
      </c>
      <c r="T60" s="7"/>
      <c r="U60" s="6">
        <f t="shared" si="13"/>
        <v>0.19325889596159865</v>
      </c>
      <c r="V60" s="6">
        <f t="shared" si="15"/>
        <v>0.27762704789731818</v>
      </c>
      <c r="W60" s="6">
        <f t="shared" si="27"/>
        <v>0.99999999999999989</v>
      </c>
      <c r="X60" s="7">
        <f t="shared" si="28"/>
        <v>0.72237295210268171</v>
      </c>
      <c r="Y60" s="7">
        <f t="shared" si="29"/>
        <v>0</v>
      </c>
      <c r="Z60" s="24"/>
      <c r="AA60">
        <f t="shared" si="16"/>
        <v>2010</v>
      </c>
      <c r="AB60" s="2">
        <f>B60</f>
        <v>76314.02066922895</v>
      </c>
      <c r="AC60" s="2"/>
      <c r="AD60" s="2">
        <f t="shared" ref="AD60" si="51">D60</f>
        <v>83320.485886010487</v>
      </c>
      <c r="AE60" s="2">
        <f t="shared" ref="AE60" si="52">E60</f>
        <v>42410.698459115498</v>
      </c>
      <c r="AF60" s="2"/>
      <c r="AG60" s="2">
        <f t="shared" ref="AG60" si="53">G60</f>
        <v>73797.00615059369</v>
      </c>
      <c r="AH60" s="2">
        <f t="shared" ref="AH60" si="54">H60</f>
        <v>106013.46374927351</v>
      </c>
      <c r="AI60" s="2">
        <f t="shared" si="17"/>
        <v>381855.67491422215</v>
      </c>
      <c r="AJ60" s="2">
        <f t="shared" si="7"/>
        <v>0</v>
      </c>
    </row>
    <row r="61" spans="1:36" x14ac:dyDescent="0.2">
      <c r="A61">
        <f t="shared" si="8"/>
        <v>2011</v>
      </c>
      <c r="B61" s="2">
        <f t="shared" si="37"/>
        <v>77817.406876412759</v>
      </c>
      <c r="C61" s="2"/>
      <c r="D61" s="2">
        <f t="shared" si="39"/>
        <v>81562.423633815662</v>
      </c>
      <c r="E61" s="2">
        <f t="shared" si="40"/>
        <v>41223.198902260265</v>
      </c>
      <c r="F61" s="2"/>
      <c r="G61" s="2">
        <f t="shared" si="30"/>
        <v>63052.162055067252</v>
      </c>
      <c r="H61" s="2">
        <f t="shared" si="21"/>
        <v>114028.0816087186</v>
      </c>
      <c r="I61" s="2">
        <f t="shared" si="22"/>
        <v>377683.27307627455</v>
      </c>
      <c r="J61" s="2">
        <f t="shared" si="23"/>
        <v>-4172.4018379476038</v>
      </c>
      <c r="K61" s="6">
        <f t="shared" si="24"/>
        <v>-1.0926646144213695E-2</v>
      </c>
      <c r="L61" s="7">
        <f t="shared" si="25"/>
        <v>0.98907335385578632</v>
      </c>
      <c r="O61">
        <f t="shared" si="26"/>
        <v>2011</v>
      </c>
      <c r="P61" s="6">
        <f t="shared" si="13"/>
        <v>0.20603879605940939</v>
      </c>
      <c r="Q61" s="7"/>
      <c r="R61" s="6">
        <f t="shared" si="13"/>
        <v>0.21595455623300486</v>
      </c>
      <c r="S61" s="6">
        <f t="shared" si="13"/>
        <v>0.1091475366819729</v>
      </c>
      <c r="T61" s="7"/>
      <c r="U61" s="6">
        <f t="shared" si="13"/>
        <v>0.16694454467496006</v>
      </c>
      <c r="V61" s="6">
        <f t="shared" si="15"/>
        <v>0.30191456635065278</v>
      </c>
      <c r="W61" s="6">
        <f t="shared" si="27"/>
        <v>1</v>
      </c>
      <c r="X61" s="7">
        <f t="shared" si="28"/>
        <v>0.69808543364934716</v>
      </c>
      <c r="Y61" s="7">
        <f t="shared" si="29"/>
        <v>0</v>
      </c>
      <c r="Z61" s="24"/>
      <c r="AA61">
        <f t="shared" si="16"/>
        <v>2011</v>
      </c>
      <c r="AB61" s="2">
        <f>B61</f>
        <v>77817.406876412759</v>
      </c>
      <c r="AC61" s="2"/>
      <c r="AD61" s="2">
        <f t="shared" ref="AD61" si="55">D61</f>
        <v>81562.423633815662</v>
      </c>
      <c r="AE61" s="2">
        <f t="shared" ref="AE61" si="56">E61</f>
        <v>41223.198902260265</v>
      </c>
      <c r="AF61" s="2"/>
      <c r="AG61" s="2">
        <f t="shared" ref="AG61" si="57">G61</f>
        <v>63052.162055067252</v>
      </c>
      <c r="AH61" s="2">
        <f t="shared" ref="AH61" si="58">H61</f>
        <v>114028.0816087186</v>
      </c>
      <c r="AI61" s="2">
        <f t="shared" si="17"/>
        <v>377683.27307627455</v>
      </c>
      <c r="AJ61" s="2">
        <f t="shared" si="7"/>
        <v>0</v>
      </c>
    </row>
    <row r="62" spans="1:36" x14ac:dyDescent="0.2">
      <c r="A62">
        <f t="shared" si="8"/>
        <v>2012</v>
      </c>
      <c r="B62" s="2">
        <f t="shared" si="37"/>
        <v>90128.120644261246</v>
      </c>
      <c r="C62" s="2"/>
      <c r="D62" s="2">
        <f t="shared" si="39"/>
        <v>94449.286567958537</v>
      </c>
      <c r="E62" s="2">
        <f t="shared" si="40"/>
        <v>48659.863984228024</v>
      </c>
      <c r="F62" s="2"/>
      <c r="G62" s="2">
        <f t="shared" si="30"/>
        <v>74489.824251856451</v>
      </c>
      <c r="H62" s="2">
        <f t="shared" si="21"/>
        <v>118646.21891387169</v>
      </c>
      <c r="I62" s="2">
        <f t="shared" si="22"/>
        <v>426373.31436217594</v>
      </c>
      <c r="J62" s="2">
        <f t="shared" si="23"/>
        <v>48690.041285901389</v>
      </c>
      <c r="K62" s="6">
        <f t="shared" si="24"/>
        <v>0.12891765338008032</v>
      </c>
      <c r="L62" s="7">
        <f t="shared" si="25"/>
        <v>1.1289176533800802</v>
      </c>
      <c r="O62">
        <f t="shared" si="26"/>
        <v>2012</v>
      </c>
      <c r="P62" s="6">
        <f t="shared" si="13"/>
        <v>0.21138311805251342</v>
      </c>
      <c r="Q62" s="7"/>
      <c r="R62" s="6">
        <f t="shared" si="13"/>
        <v>0.2215178187435298</v>
      </c>
      <c r="S62" s="6">
        <f t="shared" si="13"/>
        <v>0.11412502224023965</v>
      </c>
      <c r="T62" s="7"/>
      <c r="U62" s="6">
        <f t="shared" si="13"/>
        <v>0.17470564348823733</v>
      </c>
      <c r="V62" s="6">
        <f t="shared" si="15"/>
        <v>0.27826839747547982</v>
      </c>
      <c r="W62" s="6">
        <f t="shared" si="27"/>
        <v>1</v>
      </c>
      <c r="X62" s="7">
        <f t="shared" si="28"/>
        <v>0.72173160252452029</v>
      </c>
      <c r="Y62" s="7">
        <f t="shared" si="29"/>
        <v>0</v>
      </c>
      <c r="Z62" s="24"/>
      <c r="AA62">
        <f t="shared" si="16"/>
        <v>2012</v>
      </c>
      <c r="AB62" s="2">
        <f>B62</f>
        <v>90128.120644261246</v>
      </c>
      <c r="AC62" s="2"/>
      <c r="AD62" s="2">
        <f t="shared" ref="AD62:AE64" si="59">D62</f>
        <v>94449.286567958537</v>
      </c>
      <c r="AE62" s="2">
        <f t="shared" si="59"/>
        <v>48659.863984228024</v>
      </c>
      <c r="AF62" s="2"/>
      <c r="AG62" s="2">
        <f t="shared" ref="AG62:AH64" si="60">G62</f>
        <v>74489.824251856451</v>
      </c>
      <c r="AH62" s="2">
        <f t="shared" si="60"/>
        <v>118646.21891387169</v>
      </c>
      <c r="AI62" s="2">
        <f t="shared" si="17"/>
        <v>426373.31436217594</v>
      </c>
      <c r="AJ62" s="2">
        <f t="shared" si="7"/>
        <v>0</v>
      </c>
    </row>
    <row r="63" spans="1:36" x14ac:dyDescent="0.2">
      <c r="A63">
        <f t="shared" si="8"/>
        <v>2013</v>
      </c>
      <c r="B63" s="2">
        <f t="shared" si="37"/>
        <v>119131.34986758452</v>
      </c>
      <c r="C63" s="2"/>
      <c r="D63" s="2">
        <f t="shared" si="39"/>
        <v>127506.53686674403</v>
      </c>
      <c r="E63" s="2">
        <f t="shared" si="40"/>
        <v>66965.704815094607</v>
      </c>
      <c r="F63" s="2"/>
      <c r="G63" s="2">
        <f t="shared" si="30"/>
        <v>85693.093819335656</v>
      </c>
      <c r="H63" s="2">
        <f t="shared" si="21"/>
        <v>115964.8143664182</v>
      </c>
      <c r="I63" s="2">
        <f t="shared" si="22"/>
        <v>515261.49973517703</v>
      </c>
      <c r="J63" s="2">
        <f t="shared" si="23"/>
        <v>88888.185373001092</v>
      </c>
      <c r="K63" s="6">
        <f t="shared" si="24"/>
        <v>0.20847502031399756</v>
      </c>
      <c r="L63" s="7">
        <f t="shared" si="25"/>
        <v>1.2084750203139976</v>
      </c>
      <c r="O63">
        <f t="shared" si="26"/>
        <v>2013</v>
      </c>
      <c r="P63" s="6">
        <f t="shared" si="13"/>
        <v>0.23120561099327833</v>
      </c>
      <c r="Q63" s="7"/>
      <c r="R63" s="6">
        <f t="shared" si="13"/>
        <v>0.24745985665972925</v>
      </c>
      <c r="S63" s="6">
        <f t="shared" si="13"/>
        <v>0.12996450316880301</v>
      </c>
      <c r="T63" s="7"/>
      <c r="U63" s="6">
        <f t="shared" si="13"/>
        <v>0.1663099103336429</v>
      </c>
      <c r="V63" s="6">
        <f t="shared" si="15"/>
        <v>0.22506011884454649</v>
      </c>
      <c r="W63" s="6">
        <f t="shared" si="27"/>
        <v>1</v>
      </c>
      <c r="X63" s="7">
        <f t="shared" si="28"/>
        <v>0.77493988115545354</v>
      </c>
      <c r="Y63" s="7">
        <f t="shared" si="29"/>
        <v>0</v>
      </c>
      <c r="Z63" s="24"/>
      <c r="AA63">
        <f t="shared" si="16"/>
        <v>2013</v>
      </c>
      <c r="AB63" s="2">
        <f>B63</f>
        <v>119131.34986758452</v>
      </c>
      <c r="AC63" s="2"/>
      <c r="AD63" s="2">
        <f t="shared" si="59"/>
        <v>127506.53686674403</v>
      </c>
      <c r="AE63" s="2">
        <f t="shared" si="59"/>
        <v>66965.704815094607</v>
      </c>
      <c r="AF63" s="2"/>
      <c r="AG63" s="2">
        <f t="shared" si="60"/>
        <v>85693.093819335656</v>
      </c>
      <c r="AH63" s="2">
        <f t="shared" si="60"/>
        <v>115964.8143664182</v>
      </c>
      <c r="AI63" s="2">
        <f t="shared" si="17"/>
        <v>515261.49973517703</v>
      </c>
      <c r="AJ63" s="2">
        <f t="shared" si="7"/>
        <v>0</v>
      </c>
    </row>
    <row r="64" spans="1:36" x14ac:dyDescent="0.2">
      <c r="A64">
        <f t="shared" si="8"/>
        <v>2014</v>
      </c>
      <c r="B64" s="2">
        <f t="shared" si="37"/>
        <v>135225.99523469518</v>
      </c>
      <c r="C64" s="2"/>
      <c r="D64" s="2">
        <f t="shared" si="39"/>
        <v>144847.42588062125</v>
      </c>
      <c r="E64" s="2">
        <f t="shared" si="40"/>
        <v>71901.077259967089</v>
      </c>
      <c r="F64" s="2"/>
      <c r="G64" s="2">
        <f t="shared" si="30"/>
        <v>82059.706641395824</v>
      </c>
      <c r="H64" s="2">
        <f t="shared" si="21"/>
        <v>122644.38767392389</v>
      </c>
      <c r="I64" s="2">
        <f t="shared" si="22"/>
        <v>556678.59269060323</v>
      </c>
      <c r="J64" s="2">
        <f t="shared" si="23"/>
        <v>41417.092955426197</v>
      </c>
      <c r="K64" s="6">
        <f t="shared" si="24"/>
        <v>8.0380725081755297E-2</v>
      </c>
      <c r="L64" s="7">
        <f t="shared" si="25"/>
        <v>1.0803807250817552</v>
      </c>
      <c r="O64">
        <f t="shared" si="26"/>
        <v>2014</v>
      </c>
      <c r="P64" s="6">
        <f t="shared" si="13"/>
        <v>0.2429157452976686</v>
      </c>
      <c r="Q64" s="7"/>
      <c r="R64" s="6">
        <f t="shared" si="13"/>
        <v>0.26019938216148736</v>
      </c>
      <c r="S64" s="6">
        <f t="shared" si="13"/>
        <v>0.12916084470294881</v>
      </c>
      <c r="T64" s="7"/>
      <c r="U64" s="6">
        <f t="shared" si="13"/>
        <v>0.14740948856103012</v>
      </c>
      <c r="V64" s="6">
        <f t="shared" si="15"/>
        <v>0.22031453927686509</v>
      </c>
      <c r="W64" s="6">
        <f t="shared" si="27"/>
        <v>0.99999999999999989</v>
      </c>
      <c r="X64" s="7">
        <f t="shared" si="28"/>
        <v>0.77968546072313483</v>
      </c>
      <c r="Y64" s="7">
        <f t="shared" si="29"/>
        <v>0</v>
      </c>
      <c r="Z64" s="24"/>
      <c r="AA64">
        <f t="shared" si="16"/>
        <v>2014</v>
      </c>
      <c r="AB64" s="2">
        <f>B64</f>
        <v>135225.99523469518</v>
      </c>
      <c r="AC64" s="2"/>
      <c r="AD64" s="2">
        <f t="shared" si="59"/>
        <v>144847.42588062125</v>
      </c>
      <c r="AE64" s="2">
        <f t="shared" si="59"/>
        <v>71901.077259967089</v>
      </c>
      <c r="AF64" s="2"/>
      <c r="AG64" s="2">
        <f t="shared" si="60"/>
        <v>82059.706641395824</v>
      </c>
      <c r="AH64" s="2">
        <f t="shared" si="60"/>
        <v>122644.38767392389</v>
      </c>
      <c r="AI64" s="2">
        <f t="shared" si="17"/>
        <v>556678.59269060323</v>
      </c>
      <c r="AJ64" s="2">
        <f t="shared" si="7"/>
        <v>0</v>
      </c>
    </row>
    <row r="65" spans="1:19" x14ac:dyDescent="0.2">
      <c r="A65" s="9" t="s">
        <v>78</v>
      </c>
      <c r="B65" s="10">
        <f>B64</f>
        <v>135225.99523469518</v>
      </c>
      <c r="C65" s="10"/>
      <c r="D65" s="10">
        <f>D64</f>
        <v>144847.42588062125</v>
      </c>
      <c r="E65" s="10">
        <f>E64</f>
        <v>71901.077259967089</v>
      </c>
      <c r="F65" s="10"/>
      <c r="G65" s="10">
        <f>G64</f>
        <v>82059.706641395824</v>
      </c>
      <c r="H65" s="10">
        <f>H64</f>
        <v>122644.38767392389</v>
      </c>
      <c r="I65" s="10">
        <f>SUM(B65:H65)</f>
        <v>556678.59269060323</v>
      </c>
      <c r="J65" s="10"/>
      <c r="K65" s="10"/>
      <c r="S65" s="7"/>
    </row>
    <row r="66" spans="1:19" x14ac:dyDescent="0.2">
      <c r="A66" s="11" t="s">
        <v>79</v>
      </c>
      <c r="I66" s="6">
        <f>(I65-I39)/I39</f>
        <v>4.5667859269060322</v>
      </c>
      <c r="K66" s="6"/>
    </row>
    <row r="67" spans="1:19" x14ac:dyDescent="0.2">
      <c r="A67" s="1" t="s">
        <v>80</v>
      </c>
      <c r="I67" s="12">
        <f>STDEV(L40:L64)</f>
        <v>0.12250651208242375</v>
      </c>
    </row>
    <row r="68" spans="1:19" x14ac:dyDescent="0.2">
      <c r="A68" s="1" t="s">
        <v>81</v>
      </c>
      <c r="I68" s="13">
        <f>((1+I66)^(1/I73))-1</f>
        <v>7.1085600648647995E-2</v>
      </c>
    </row>
    <row r="69" spans="1:19" x14ac:dyDescent="0.2">
      <c r="A69" s="1" t="s">
        <v>82</v>
      </c>
      <c r="I69" s="31">
        <f>J60</f>
        <v>49795.712033580989</v>
      </c>
    </row>
    <row r="70" spans="1:19" x14ac:dyDescent="0.2">
      <c r="A70" s="1" t="s">
        <v>83</v>
      </c>
      <c r="I70" s="32">
        <f>K60</f>
        <v>0.14996000000000012</v>
      </c>
    </row>
    <row r="71" spans="1:19" x14ac:dyDescent="0.2">
      <c r="A71" s="3" t="s">
        <v>84</v>
      </c>
      <c r="I71" s="33">
        <f>I64-I65</f>
        <v>0</v>
      </c>
    </row>
    <row r="72" spans="1:19" x14ac:dyDescent="0.2">
      <c r="A72" s="3" t="s">
        <v>148</v>
      </c>
      <c r="I72" s="33">
        <f>((SUM(J40:J64))-(I65-I39))</f>
        <v>0</v>
      </c>
    </row>
    <row r="73" spans="1:19" x14ac:dyDescent="0.2">
      <c r="A73" s="3" t="s">
        <v>159</v>
      </c>
      <c r="I73" s="3">
        <f>COUNTA(I40:I64)</f>
        <v>25</v>
      </c>
    </row>
    <row r="74" spans="1:19" x14ac:dyDescent="0.2">
      <c r="A74" s="1" t="s">
        <v>105</v>
      </c>
      <c r="B74" s="63"/>
      <c r="C74" s="63"/>
      <c r="D74" s="63"/>
      <c r="E74" s="63"/>
      <c r="G74" s="63"/>
      <c r="H74" s="63"/>
      <c r="I74" s="85">
        <f>(SUM(B62:G62)/I62)</f>
        <v>0.72173160252452018</v>
      </c>
    </row>
    <row r="75" spans="1:19" x14ac:dyDescent="0.2">
      <c r="A75" s="1" t="s">
        <v>106</v>
      </c>
      <c r="B75" s="63"/>
      <c r="C75" s="63"/>
      <c r="D75" s="63"/>
      <c r="E75" s="63"/>
      <c r="G75" s="63"/>
      <c r="H75" s="63"/>
      <c r="I75" s="85">
        <f>(H62/I62)</f>
        <v>0.27826839747547982</v>
      </c>
    </row>
    <row r="76" spans="1:19" x14ac:dyDescent="0.2">
      <c r="A76" s="3" t="s">
        <v>107</v>
      </c>
      <c r="I76" s="3">
        <f>100%-(I74+I75)</f>
        <v>0</v>
      </c>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675F6-73E5-4728-ACAC-970906A88720}">
  <dimension ref="A1:AU76"/>
  <sheetViews>
    <sheetView topLeftCell="A39" zoomScaleNormal="100" workbookViewId="0">
      <selection activeCell="A74" sqref="A74:I76"/>
    </sheetView>
  </sheetViews>
  <sheetFormatPr baseColWidth="10" defaultColWidth="8.83203125" defaultRowHeight="15" x14ac:dyDescent="0.2"/>
  <cols>
    <col min="1" max="1" width="25.5" customWidth="1"/>
    <col min="2" max="4" width="9.33203125" bestFit="1" customWidth="1"/>
    <col min="5" max="5" width="9.5" bestFit="1" customWidth="1"/>
    <col min="7" max="7" width="9.83203125" bestFit="1" customWidth="1"/>
    <col min="8" max="8" width="9.33203125" bestFit="1" customWidth="1"/>
    <col min="9" max="9" width="10.6640625" customWidth="1"/>
    <col min="10" max="10" width="10" bestFit="1" customWidth="1"/>
    <col min="39" max="40" width="10.83203125" bestFit="1" customWidth="1"/>
    <col min="41" max="41" width="9.33203125" bestFit="1" customWidth="1"/>
    <col min="42" max="42" width="9.5" bestFit="1" customWidth="1"/>
    <col min="43" max="43" width="10.83203125" bestFit="1" customWidth="1"/>
    <col min="44" max="44" width="9.83203125" bestFit="1" customWidth="1"/>
    <col min="45" max="45" width="10.83203125" bestFit="1" customWidth="1"/>
    <col min="46" max="46" width="11.5" customWidth="1"/>
  </cols>
  <sheetData>
    <row r="1" spans="1:8" x14ac:dyDescent="0.2">
      <c r="A1" s="20" t="s">
        <v>49</v>
      </c>
    </row>
    <row r="2" spans="1:8"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2">
      <c r="A4" s="17">
        <f>'Non-Rebalanced Portfolio'!A4</f>
        <v>1990</v>
      </c>
      <c r="B4" s="17">
        <f>'Non-Rebalanced Portfolio'!B4</f>
        <v>-3.32</v>
      </c>
      <c r="C4" s="17">
        <f>'Non-Rebalanced Portfolio'!C4</f>
        <v>-14.045</v>
      </c>
      <c r="D4" s="17"/>
      <c r="E4" s="17"/>
      <c r="F4" s="17">
        <f>'Non-Rebalanced Portfolio'!F4</f>
        <v>-12.26</v>
      </c>
      <c r="G4" s="17"/>
      <c r="H4" s="17">
        <f>'Non-Rebalanced Portfolio'!H4</f>
        <v>8.65</v>
      </c>
    </row>
    <row r="5" spans="1:8" x14ac:dyDescent="0.2">
      <c r="A5" s="17">
        <f>'Non-Rebalanced Portfolio'!A5</f>
        <v>1991</v>
      </c>
      <c r="B5" s="17">
        <f>'Non-Rebalanced Portfolio'!B5</f>
        <v>30.22</v>
      </c>
      <c r="C5" s="17">
        <f>'Non-Rebalanced Portfolio'!C5</f>
        <v>41.85</v>
      </c>
      <c r="D5" s="17"/>
      <c r="E5" s="17"/>
      <c r="F5" s="17">
        <f>'Non-Rebalanced Portfolio'!F5</f>
        <v>9.9559999999999995</v>
      </c>
      <c r="G5" s="17"/>
      <c r="H5" s="17">
        <f>'Non-Rebalanced Portfolio'!H5</f>
        <v>15.25</v>
      </c>
    </row>
    <row r="6" spans="1:8" x14ac:dyDescent="0.2">
      <c r="A6" s="17">
        <f>'Non-Rebalanced Portfolio'!A6</f>
        <v>1992</v>
      </c>
      <c r="B6" s="17">
        <f>'Non-Rebalanced Portfolio'!B6</f>
        <v>7.42</v>
      </c>
      <c r="C6" s="17">
        <f>'Non-Rebalanced Portfolio'!C6</f>
        <v>12.465999999999999</v>
      </c>
      <c r="D6" s="17"/>
      <c r="E6" s="17"/>
      <c r="F6" s="17">
        <f>'Non-Rebalanced Portfolio'!F6</f>
        <v>-8.7210000000000001</v>
      </c>
      <c r="G6" s="17"/>
      <c r="H6" s="17">
        <f>'Non-Rebalanced Portfolio'!H6</f>
        <v>7.14</v>
      </c>
    </row>
    <row r="7" spans="1:8" x14ac:dyDescent="0.2">
      <c r="A7" s="17">
        <f>'Non-Rebalanced Portfolio'!A7</f>
        <v>1993</v>
      </c>
      <c r="B7" s="17">
        <f>'Non-Rebalanced Portfolio'!B7</f>
        <v>9.89</v>
      </c>
      <c r="C7" s="17">
        <f>'Non-Rebalanced Portfolio'!C7</f>
        <v>14.49</v>
      </c>
      <c r="D7" s="17"/>
      <c r="E7" s="17"/>
      <c r="F7" s="17">
        <f>'Non-Rebalanced Portfolio'!F7</f>
        <v>30.494</v>
      </c>
      <c r="G7" s="17"/>
      <c r="H7" s="17">
        <f>'Non-Rebalanced Portfolio'!H7</f>
        <v>9.68</v>
      </c>
    </row>
    <row r="8" spans="1:8" x14ac:dyDescent="0.2">
      <c r="A8" s="17">
        <f>'Non-Rebalanced Portfolio'!A8</f>
        <v>1994</v>
      </c>
      <c r="B8" s="17">
        <f>'Non-Rebalanced Portfolio'!B8</f>
        <v>1.18</v>
      </c>
      <c r="C8" s="17">
        <f>'Non-Rebalanced Portfolio'!C8</f>
        <v>-1.764</v>
      </c>
      <c r="D8" s="17"/>
      <c r="E8" s="17"/>
      <c r="F8" s="17">
        <f>'Non-Rebalanced Portfolio'!F8</f>
        <v>5.2549999999999999</v>
      </c>
      <c r="G8" s="17"/>
      <c r="H8" s="17">
        <f>'Non-Rebalanced Portfolio'!H8</f>
        <v>-2.66</v>
      </c>
    </row>
    <row r="9" spans="1:8" x14ac:dyDescent="0.2">
      <c r="A9" s="17">
        <f>'Non-Rebalanced Portfolio'!A9</f>
        <v>1995</v>
      </c>
      <c r="B9" s="17">
        <f>'Non-Rebalanced Portfolio'!B9</f>
        <v>37.450000000000003</v>
      </c>
      <c r="C9" s="17">
        <f>'Non-Rebalanced Portfolio'!C9</f>
        <v>33.796999999999997</v>
      </c>
      <c r="D9" s="17"/>
      <c r="E9" s="17"/>
      <c r="F9" s="17">
        <f>'Non-Rebalanced Portfolio'!F9</f>
        <v>9.6460000000000008</v>
      </c>
      <c r="G9" s="17">
        <f>'Non-Rebalanced Portfolio'!G9</f>
        <v>0</v>
      </c>
      <c r="H9" s="17">
        <f>'Non-Rebalanced Portfolio'!H9</f>
        <v>18.18</v>
      </c>
    </row>
    <row r="10" spans="1:8" x14ac:dyDescent="0.2">
      <c r="A10" s="17">
        <f>'Non-Rebalanced Portfolio'!A10</f>
        <v>1996</v>
      </c>
      <c r="B10" s="17">
        <f>'Non-Rebalanced Portfolio'!B10</f>
        <v>22.88</v>
      </c>
      <c r="C10" s="17">
        <f>'Non-Rebalanced Portfolio'!C10</f>
        <v>17.646999999999998</v>
      </c>
      <c r="D10" s="17"/>
      <c r="E10" s="17"/>
      <c r="F10" s="17">
        <f>'Non-Rebalanced Portfolio'!F10</f>
        <v>10.218999999999999</v>
      </c>
      <c r="G10" s="17">
        <f>'Non-Rebalanced Portfolio'!G10</f>
        <v>0</v>
      </c>
      <c r="H10" s="17">
        <f>'Non-Rebalanced Portfolio'!H10</f>
        <v>3.58</v>
      </c>
    </row>
    <row r="11" spans="1:8" x14ac:dyDescent="0.2">
      <c r="A11" s="17">
        <f>'Non-Rebalanced Portfolio'!A11</f>
        <v>1997</v>
      </c>
      <c r="B11" s="17">
        <f>'Non-Rebalanced Portfolio'!B11</f>
        <v>33.19</v>
      </c>
      <c r="C11" s="17">
        <f>'Non-Rebalanced Portfolio'!C11</f>
        <v>26.687000000000001</v>
      </c>
      <c r="D11" s="17">
        <f>'Non-Rebalanced Portfolio'!D11</f>
        <v>0</v>
      </c>
      <c r="E11" s="17">
        <f>'Non-Rebalanced Portfolio'!E11</f>
        <v>0</v>
      </c>
      <c r="F11" s="17">
        <f>'Non-Rebalanced Portfolio'!F11</f>
        <v>0</v>
      </c>
      <c r="G11" s="18">
        <f>'Non-Rebalanced Portfolio'!G11</f>
        <v>-0.77500000000000002</v>
      </c>
      <c r="H11" s="17">
        <f>'Non-Rebalanced Portfolio'!H11</f>
        <v>9.44</v>
      </c>
    </row>
    <row r="12" spans="1:8" x14ac:dyDescent="0.2">
      <c r="A12" s="17">
        <f>'Non-Rebalanced Portfolio'!A12</f>
        <v>1998</v>
      </c>
      <c r="B12" s="17">
        <f>'Non-Rebalanced Portfolio'!B12</f>
        <v>28.66</v>
      </c>
      <c r="C12" s="17">
        <f>'Non-Rebalanced Portfolio'!C12</f>
        <v>8.3529999999999998</v>
      </c>
      <c r="D12" s="17">
        <f>'Non-Rebalanced Portfolio'!D12</f>
        <v>0</v>
      </c>
      <c r="E12" s="17">
        <f>'Non-Rebalanced Portfolio'!E12</f>
        <v>0</v>
      </c>
      <c r="F12" s="17">
        <f>'Non-Rebalanced Portfolio'!F12</f>
        <v>0</v>
      </c>
      <c r="G12" s="17">
        <f>'Non-Rebalanced Portfolio'!G12</f>
        <v>15.603</v>
      </c>
      <c r="H12" s="17">
        <f>'Non-Rebalanced Portfolio'!H12</f>
        <v>8.58</v>
      </c>
    </row>
    <row r="13" spans="1:8" x14ac:dyDescent="0.2">
      <c r="A13" s="17">
        <f>'Non-Rebalanced Portfolio'!A13</f>
        <v>1999</v>
      </c>
      <c r="B13" s="17">
        <f>'Non-Rebalanced Portfolio'!B13</f>
        <v>21.07</v>
      </c>
      <c r="C13" s="17">
        <f>'Non-Rebalanced Portfolio'!C13</f>
        <v>0</v>
      </c>
      <c r="D13" s="18">
        <f>'Non-Rebalanced Portfolio'!D13</f>
        <v>15.319000000000001</v>
      </c>
      <c r="E13" s="18">
        <f>'Non-Rebalanced Portfolio'!E13</f>
        <v>23.132999999999999</v>
      </c>
      <c r="F13" s="17"/>
      <c r="G13" s="17">
        <f>'Non-Rebalanced Portfolio'!G13</f>
        <v>29.919</v>
      </c>
      <c r="H13" s="17">
        <f>'Non-Rebalanced Portfolio'!H13</f>
        <v>-0.76</v>
      </c>
    </row>
    <row r="14" spans="1:8" x14ac:dyDescent="0.2">
      <c r="A14" s="17">
        <f>'Non-Rebalanced Portfolio'!A14</f>
        <v>2000</v>
      </c>
      <c r="B14" s="17">
        <f>'Non-Rebalanced Portfolio'!B14</f>
        <v>-9.06</v>
      </c>
      <c r="C14" s="17">
        <f>'Non-Rebalanced Portfolio'!C14</f>
        <v>0</v>
      </c>
      <c r="D14" s="17">
        <f>'Non-Rebalanced Portfolio'!D14</f>
        <v>18.097999999999999</v>
      </c>
      <c r="E14" s="17">
        <f>'Non-Rebalanced Portfolio'!E14</f>
        <v>-2.665</v>
      </c>
      <c r="F14" s="17"/>
      <c r="G14" s="17">
        <f>'Non-Rebalanced Portfolio'!G14</f>
        <v>-15.614000000000001</v>
      </c>
      <c r="H14" s="17">
        <f>'Non-Rebalanced Portfolio'!H14</f>
        <v>11.39</v>
      </c>
    </row>
    <row r="15" spans="1:8" x14ac:dyDescent="0.2">
      <c r="A15" s="17">
        <f>'Non-Rebalanced Portfolio'!A15</f>
        <v>2001</v>
      </c>
      <c r="B15" s="17">
        <f>'Non-Rebalanced Portfolio'!B15</f>
        <v>-12.02</v>
      </c>
      <c r="C15" s="17"/>
      <c r="D15" s="17">
        <f>'Non-Rebalanced Portfolio'!D15</f>
        <v>-0.499</v>
      </c>
      <c r="E15" s="17">
        <f>'Non-Rebalanced Portfolio'!E15</f>
        <v>3.1</v>
      </c>
      <c r="F15" s="17"/>
      <c r="G15" s="17">
        <f>'Non-Rebalanced Portfolio'!G15</f>
        <v>-20.152999999999999</v>
      </c>
      <c r="H15" s="17">
        <f>'Non-Rebalanced Portfolio'!H15</f>
        <v>8.43</v>
      </c>
    </row>
    <row r="16" spans="1:8" x14ac:dyDescent="0.2">
      <c r="A16" s="17">
        <f>'Non-Rebalanced Portfolio'!A16</f>
        <v>2002</v>
      </c>
      <c r="B16" s="17">
        <f>'Non-Rebalanced Portfolio'!B16</f>
        <v>-22.15</v>
      </c>
      <c r="C16" s="17"/>
      <c r="D16" s="17">
        <f>'Non-Rebalanced Portfolio'!D16</f>
        <v>-14.608000000000001</v>
      </c>
      <c r="E16" s="17">
        <f>'Non-Rebalanced Portfolio'!E16</f>
        <v>-20.021999999999998</v>
      </c>
      <c r="F16" s="17"/>
      <c r="G16" s="17">
        <f>'Non-Rebalanced Portfolio'!G16</f>
        <v>-15.083</v>
      </c>
      <c r="H16" s="17">
        <f>'Non-Rebalanced Portfolio'!H16</f>
        <v>8.26</v>
      </c>
    </row>
    <row r="17" spans="1:8" x14ac:dyDescent="0.2">
      <c r="A17" s="17">
        <f>'Non-Rebalanced Portfolio'!A17</f>
        <v>2003</v>
      </c>
      <c r="B17" s="17">
        <f>'Non-Rebalanced Portfolio'!B17</f>
        <v>28.5</v>
      </c>
      <c r="C17" s="17"/>
      <c r="D17" s="17">
        <f>'Non-Rebalanced Portfolio'!D17</f>
        <v>34.142000000000003</v>
      </c>
      <c r="E17" s="17">
        <f>'Non-Rebalanced Portfolio'!E17</f>
        <v>45.628</v>
      </c>
      <c r="F17" s="17"/>
      <c r="G17" s="17">
        <f>'Non-Rebalanced Portfolio'!G17</f>
        <v>40.340000000000003</v>
      </c>
      <c r="H17" s="17">
        <f>'Non-Rebalanced Portfolio'!H17</f>
        <v>3.97</v>
      </c>
    </row>
    <row r="18" spans="1:8" x14ac:dyDescent="0.2">
      <c r="A18" s="17">
        <f>'Non-Rebalanced Portfolio'!A18</f>
        <v>2004</v>
      </c>
      <c r="B18" s="17">
        <f>'Non-Rebalanced Portfolio'!B18</f>
        <v>10.74</v>
      </c>
      <c r="C18" s="17"/>
      <c r="D18" s="17">
        <f>'Non-Rebalanced Portfolio'!D18</f>
        <v>20.353000000000002</v>
      </c>
      <c r="E18" s="17">
        <f>'Non-Rebalanced Portfolio'!E18</f>
        <v>19.896999999999998</v>
      </c>
      <c r="F18" s="17"/>
      <c r="G18" s="17">
        <f>'Non-Rebalanced Portfolio'!G18</f>
        <v>20.837</v>
      </c>
      <c r="H18" s="17">
        <f>'Non-Rebalanced Portfolio'!H18</f>
        <v>4.24</v>
      </c>
    </row>
    <row r="19" spans="1:8" x14ac:dyDescent="0.2">
      <c r="A19" s="17">
        <f>'Non-Rebalanced Portfolio'!A19</f>
        <v>2005</v>
      </c>
      <c r="B19" s="17">
        <f>'Non-Rebalanced Portfolio'!B19</f>
        <v>4.7699999999999996</v>
      </c>
      <c r="C19" s="17"/>
      <c r="D19" s="17">
        <f>'Non-Rebalanced Portfolio'!D19</f>
        <v>13.930999999999999</v>
      </c>
      <c r="E19" s="17">
        <f>'Non-Rebalanced Portfolio'!E19</f>
        <v>7.3630000000000004</v>
      </c>
      <c r="F19" s="17"/>
      <c r="G19" s="17">
        <f>'Non-Rebalanced Portfolio'!G19</f>
        <v>15.571</v>
      </c>
      <c r="H19" s="17">
        <f>'Non-Rebalanced Portfolio'!H19</f>
        <v>2.4</v>
      </c>
    </row>
    <row r="20" spans="1:8" x14ac:dyDescent="0.2">
      <c r="A20" s="17">
        <f>'Non-Rebalanced Portfolio'!A20</f>
        <v>2006</v>
      </c>
      <c r="B20" s="17">
        <f>'Non-Rebalanced Portfolio'!B20</f>
        <v>15.64</v>
      </c>
      <c r="C20" s="17"/>
      <c r="D20" s="17">
        <f>'Non-Rebalanced Portfolio'!D20</f>
        <v>13.597</v>
      </c>
      <c r="E20" s="17">
        <f>'Non-Rebalanced Portfolio'!E20</f>
        <v>15.656000000000001</v>
      </c>
      <c r="F20" s="17"/>
      <c r="G20" s="17">
        <f>'Non-Rebalanced Portfolio'!G20</f>
        <v>26.637</v>
      </c>
      <c r="H20" s="17">
        <f>'Non-Rebalanced Portfolio'!H20</f>
        <v>4.2699999999999996</v>
      </c>
    </row>
    <row r="21" spans="1:8" x14ac:dyDescent="0.2">
      <c r="A21" s="17">
        <f>'Non-Rebalanced Portfolio'!A21</f>
        <v>2007</v>
      </c>
      <c r="B21" s="17">
        <f>'Non-Rebalanced Portfolio'!B21</f>
        <v>5.39</v>
      </c>
      <c r="C21" s="17"/>
      <c r="D21" s="17">
        <f>'Non-Rebalanced Portfolio'!D21</f>
        <v>6.0209999999999999</v>
      </c>
      <c r="E21" s="17">
        <f>'Non-Rebalanced Portfolio'!E21</f>
        <v>1.1559999999999999</v>
      </c>
      <c r="F21" s="17"/>
      <c r="G21" s="17">
        <f>'Non-Rebalanced Portfolio'!G21</f>
        <v>15.522</v>
      </c>
      <c r="H21" s="17">
        <f>'Non-Rebalanced Portfolio'!H21</f>
        <v>6.92</v>
      </c>
    </row>
    <row r="22" spans="1:8" x14ac:dyDescent="0.2">
      <c r="A22" s="17">
        <f>'Non-Rebalanced Portfolio'!A22</f>
        <v>2008</v>
      </c>
      <c r="B22" s="17">
        <f>'Non-Rebalanced Portfolio'!B22</f>
        <v>-37.020000000000003</v>
      </c>
      <c r="C22" s="17"/>
      <c r="D22" s="17">
        <f>'Non-Rebalanced Portfolio'!D22</f>
        <v>-41.823999999999998</v>
      </c>
      <c r="E22" s="17">
        <f>'Non-Rebalanced Portfolio'!E22</f>
        <v>-36.07</v>
      </c>
      <c r="F22" s="17"/>
      <c r="G22" s="17">
        <f>'Non-Rebalanced Portfolio'!G22</f>
        <v>-44.100999999999999</v>
      </c>
      <c r="H22" s="17">
        <f>'Non-Rebalanced Portfolio'!H22</f>
        <v>5.05</v>
      </c>
    </row>
    <row r="23" spans="1:8" x14ac:dyDescent="0.2">
      <c r="A23" s="17">
        <f>'Non-Rebalanced Portfolio'!A23</f>
        <v>2009</v>
      </c>
      <c r="B23" s="17">
        <f>'Non-Rebalanced Portfolio'!B23</f>
        <v>26.49</v>
      </c>
      <c r="C23" s="17"/>
      <c r="D23" s="17">
        <f>'Non-Rebalanced Portfolio'!D23</f>
        <v>40.218000000000004</v>
      </c>
      <c r="E23" s="17">
        <f>'Non-Rebalanced Portfolio'!E23</f>
        <v>36.118000000000002</v>
      </c>
      <c r="F23" s="17"/>
      <c r="G23" s="17">
        <f>'Non-Rebalanced Portfolio'!G23</f>
        <v>36.726999999999997</v>
      </c>
      <c r="H23" s="17">
        <f>'Non-Rebalanced Portfolio'!H23</f>
        <v>5.93</v>
      </c>
    </row>
    <row r="24" spans="1:8" x14ac:dyDescent="0.2">
      <c r="A24" s="17">
        <f>'Non-Rebalanced Portfolio'!A24</f>
        <v>2010</v>
      </c>
      <c r="B24" s="17">
        <f>'Non-Rebalanced Portfolio'!B24</f>
        <v>14.91</v>
      </c>
      <c r="C24" s="17"/>
      <c r="D24" s="17">
        <f>'Non-Rebalanced Portfolio'!D24</f>
        <v>25.46</v>
      </c>
      <c r="E24" s="17">
        <f>'Non-Rebalanced Portfolio'!E24</f>
        <v>27.72</v>
      </c>
      <c r="F24" s="17"/>
      <c r="G24" s="17">
        <f>'Non-Rebalanced Portfolio'!G24</f>
        <v>11.12</v>
      </c>
      <c r="H24" s="17">
        <f>'Non-Rebalanced Portfolio'!H24</f>
        <v>6.42</v>
      </c>
    </row>
    <row r="25" spans="1:8" x14ac:dyDescent="0.2">
      <c r="A25" s="17">
        <f>'Non-Rebalanced Portfolio'!A25</f>
        <v>2011</v>
      </c>
      <c r="B25" s="17">
        <f>'Non-Rebalanced Portfolio'!B25</f>
        <v>1.97</v>
      </c>
      <c r="C25" s="17"/>
      <c r="D25" s="17">
        <f>'Non-Rebalanced Portfolio'!D25</f>
        <v>-2.11</v>
      </c>
      <c r="E25" s="17">
        <f>'Non-Rebalanced Portfolio'!E25</f>
        <v>-2.8</v>
      </c>
      <c r="F25" s="17"/>
      <c r="G25" s="17">
        <f>'Non-Rebalanced Portfolio'!G25</f>
        <v>-14.56</v>
      </c>
      <c r="H25" s="17">
        <f>'Non-Rebalanced Portfolio'!H25</f>
        <v>7.56</v>
      </c>
    </row>
    <row r="26" spans="1:8" x14ac:dyDescent="0.2">
      <c r="A26" s="17">
        <f>'Non-Rebalanced Portfolio'!A26</f>
        <v>2012</v>
      </c>
      <c r="B26" s="17">
        <f>'Non-Rebalanced Portfolio'!B26</f>
        <v>15.82</v>
      </c>
      <c r="C26" s="17"/>
      <c r="D26" s="17">
        <f>'Non-Rebalanced Portfolio'!D26</f>
        <v>15.8</v>
      </c>
      <c r="E26" s="17">
        <f>'Non-Rebalanced Portfolio'!E26</f>
        <v>18.04</v>
      </c>
      <c r="F26" s="17"/>
      <c r="G26" s="17">
        <f>'Non-Rebalanced Portfolio'!G26</f>
        <v>18.14</v>
      </c>
      <c r="H26" s="17">
        <f>'Non-Rebalanced Portfolio'!H26</f>
        <v>4.05</v>
      </c>
    </row>
    <row r="27" spans="1:8" x14ac:dyDescent="0.2">
      <c r="A27" s="17">
        <f>'Non-Rebalanced Portfolio'!A27</f>
        <v>2013</v>
      </c>
      <c r="B27" s="17">
        <f>'Non-Rebalanced Portfolio'!B27</f>
        <v>32.18</v>
      </c>
      <c r="C27" s="17"/>
      <c r="D27" s="17">
        <f>'Non-Rebalanced Portfolio'!D27</f>
        <v>35</v>
      </c>
      <c r="E27" s="17">
        <f>'Non-Rebalanced Portfolio'!E27</f>
        <v>37.619999999999997</v>
      </c>
      <c r="F27" s="17"/>
      <c r="G27" s="17">
        <f>'Non-Rebalanced Portfolio'!G27</f>
        <v>15.04</v>
      </c>
      <c r="H27" s="17">
        <f>'Non-Rebalanced Portfolio'!H27</f>
        <v>-2.2599999999999998</v>
      </c>
    </row>
    <row r="28" spans="1:8" x14ac:dyDescent="0.2">
      <c r="A28" s="17">
        <f>'Non-Rebalanced Portfolio'!A28</f>
        <v>2014</v>
      </c>
      <c r="B28" s="17">
        <f>'Non-Rebalanced Portfolio'!B28</f>
        <v>13.51</v>
      </c>
      <c r="C28" s="19"/>
      <c r="D28" s="17">
        <f>'Non-Rebalanced Portfolio'!D28</f>
        <v>13.6</v>
      </c>
      <c r="E28" s="17">
        <f>'Non-Rebalanced Portfolio'!E28</f>
        <v>7.37</v>
      </c>
      <c r="F28" s="19"/>
      <c r="G28" s="17">
        <f>'Non-Rebalanced Portfolio'!G28</f>
        <v>-4.24</v>
      </c>
      <c r="H28" s="17">
        <f>'Non-Rebalanced Portfolio'!H28</f>
        <v>5.76</v>
      </c>
    </row>
    <row r="29" spans="1:8" x14ac:dyDescent="0.2">
      <c r="A29" s="17">
        <f>'Non-Rebalanced Portfolio'!A29</f>
        <v>2015</v>
      </c>
      <c r="B29" s="17">
        <f>'Non-Rebalanced Portfolio'!B29</f>
        <v>1.25</v>
      </c>
      <c r="C29" s="19"/>
      <c r="D29" s="17">
        <f>'Non-Rebalanced Portfolio'!D29</f>
        <v>-1.46</v>
      </c>
      <c r="E29" s="17">
        <f>'Non-Rebalanced Portfolio'!E29</f>
        <v>-3.78</v>
      </c>
      <c r="F29" s="19"/>
      <c r="G29" s="17">
        <f>'Non-Rebalanced Portfolio'!G29</f>
        <v>-4.37</v>
      </c>
      <c r="H29" s="17">
        <f>'Non-Rebalanced Portfolio'!H29</f>
        <v>0.3</v>
      </c>
    </row>
    <row r="30" spans="1:8" x14ac:dyDescent="0.2">
      <c r="A30" s="17">
        <f>'Non-Rebalanced Portfolio'!A30</f>
        <v>2016</v>
      </c>
      <c r="B30" s="17">
        <f>'Non-Rebalanced Portfolio'!B30</f>
        <v>11.82</v>
      </c>
      <c r="C30" s="19"/>
      <c r="D30" s="17">
        <f>'Non-Rebalanced Portfolio'!D30</f>
        <v>11.07</v>
      </c>
      <c r="E30" s="17">
        <f>'Non-Rebalanced Portfolio'!E30</f>
        <v>18.170000000000002</v>
      </c>
      <c r="F30" s="19"/>
      <c r="G30" s="17">
        <f>'Non-Rebalanced Portfolio'!G30</f>
        <v>4.6500000000000004</v>
      </c>
      <c r="H30" s="17">
        <f>'Non-Rebalanced Portfolio'!H30</f>
        <v>2.5</v>
      </c>
    </row>
    <row r="31" spans="1:8" x14ac:dyDescent="0.2">
      <c r="A31" s="17">
        <f>'Non-Rebalanced Portfolio'!A31</f>
        <v>2017</v>
      </c>
      <c r="B31" s="17">
        <f>'Non-Rebalanced Portfolio'!B31</f>
        <v>21.67</v>
      </c>
      <c r="C31" s="19"/>
      <c r="D31" s="17">
        <f>'Non-Rebalanced Portfolio'!D31</f>
        <v>19.600000000000001</v>
      </c>
      <c r="E31" s="17">
        <f>'Non-Rebalanced Portfolio'!E31</f>
        <v>16.100000000000001</v>
      </c>
      <c r="F31" s="19"/>
      <c r="G31" s="17">
        <f>'Non-Rebalanced Portfolio'!G31</f>
        <v>27.4</v>
      </c>
      <c r="H31" s="17">
        <f>'Non-Rebalanced Portfolio'!H31</f>
        <v>3.46</v>
      </c>
    </row>
    <row r="32" spans="1:8" x14ac:dyDescent="0.2">
      <c r="A32" s="17">
        <f>'Non-Rebalanced Portfolio'!A32</f>
        <v>2017</v>
      </c>
      <c r="B32" s="17">
        <f>'Non-Rebalanced Portfolio'!B32</f>
        <v>21.67</v>
      </c>
      <c r="C32" s="19"/>
      <c r="D32" s="17">
        <f>'Non-Rebalanced Portfolio'!D32</f>
        <v>19.600000000000001</v>
      </c>
      <c r="E32" s="17">
        <f>'Non-Rebalanced Portfolio'!E32</f>
        <v>16.100000000000001</v>
      </c>
      <c r="F32" s="19"/>
      <c r="G32" s="17">
        <f>'Non-Rebalanced Portfolio'!G32</f>
        <v>27.4</v>
      </c>
      <c r="H32" s="17">
        <f>'Non-Rebalanced Portfolio'!H32</f>
        <v>3.46</v>
      </c>
    </row>
    <row r="33" spans="1:47" x14ac:dyDescent="0.2">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row>
    <row r="36" spans="1:47" x14ac:dyDescent="0.2">
      <c r="A36" s="20" t="s">
        <v>116</v>
      </c>
      <c r="O36" s="20" t="s">
        <v>126</v>
      </c>
      <c r="AB36" s="20" t="s">
        <v>18</v>
      </c>
      <c r="AL36" s="20" t="s">
        <v>21</v>
      </c>
    </row>
    <row r="37" spans="1:47" x14ac:dyDescent="0.2">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76</v>
      </c>
      <c r="K37" s="5" t="s">
        <v>73</v>
      </c>
      <c r="L37" s="5" t="s">
        <v>74</v>
      </c>
      <c r="P37" s="4" t="str">
        <f>B37</f>
        <v>LC Stocks</v>
      </c>
      <c r="Q37" s="4" t="str">
        <f t="shared" ref="Q37:V38" si="1">C37</f>
        <v>Ext Mkt</v>
      </c>
      <c r="R37" s="4" t="str">
        <f t="shared" si="1"/>
        <v>Mcap Stk</v>
      </c>
      <c r="S37" s="4" t="str">
        <f t="shared" si="1"/>
        <v>Small Cap</v>
      </c>
      <c r="T37" s="4" t="str">
        <f t="shared" si="1"/>
        <v>Intl Val</v>
      </c>
      <c r="U37" s="4" t="str">
        <f t="shared" si="1"/>
        <v>Tot Int Stk</v>
      </c>
      <c r="V37" s="4" t="str">
        <f t="shared" si="1"/>
        <v>Bonds</v>
      </c>
      <c r="W37" s="5"/>
      <c r="X37" s="5" t="s">
        <v>111</v>
      </c>
      <c r="Y37" s="3" t="s">
        <v>112</v>
      </c>
      <c r="Z37" s="62"/>
      <c r="AC37" s="4" t="str">
        <f t="shared" ref="AC37:AI39" si="2">P37</f>
        <v>LC Stocks</v>
      </c>
      <c r="AD37" s="4" t="str">
        <f t="shared" si="2"/>
        <v>Ext Mkt</v>
      </c>
      <c r="AE37" s="4" t="str">
        <f t="shared" si="2"/>
        <v>Mcap Stk</v>
      </c>
      <c r="AF37" s="4" t="str">
        <f t="shared" si="2"/>
        <v>Small Cap</v>
      </c>
      <c r="AG37" s="4" t="str">
        <f t="shared" si="2"/>
        <v>Intl Val</v>
      </c>
      <c r="AH37" s="4" t="str">
        <f t="shared" si="2"/>
        <v>Tot Int Stk</v>
      </c>
      <c r="AI37" s="4" t="str">
        <f t="shared" si="2"/>
        <v>Bonds</v>
      </c>
      <c r="AJ37" s="5"/>
      <c r="AM37" s="4" t="str">
        <f>AC37</f>
        <v>LC Stocks</v>
      </c>
      <c r="AN37" s="4" t="str">
        <f t="shared" ref="AN37:AT39" si="3">AD37</f>
        <v>Ext Mkt</v>
      </c>
      <c r="AO37" s="4" t="str">
        <f t="shared" si="3"/>
        <v>Mcap Stk</v>
      </c>
      <c r="AP37" s="4" t="str">
        <f t="shared" si="3"/>
        <v>Small Cap</v>
      </c>
      <c r="AQ37" s="4" t="str">
        <f t="shared" si="3"/>
        <v>Intl Val</v>
      </c>
      <c r="AR37" s="4" t="str">
        <f t="shared" si="3"/>
        <v>Tot Int Stk</v>
      </c>
      <c r="AS37" s="4" t="str">
        <f t="shared" si="3"/>
        <v>Bonds</v>
      </c>
      <c r="AT37" s="4"/>
      <c r="AU37" t="s">
        <v>88</v>
      </c>
    </row>
    <row r="38" spans="1:47" x14ac:dyDescent="0.2">
      <c r="A38" t="s">
        <v>72</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70</v>
      </c>
      <c r="J38" s="5" t="s">
        <v>77</v>
      </c>
      <c r="K38" s="5" t="s">
        <v>75</v>
      </c>
      <c r="L38" s="5" t="s">
        <v>75</v>
      </c>
      <c r="O38" t="s">
        <v>72</v>
      </c>
      <c r="P38" s="4" t="str">
        <f>B38</f>
        <v>VFINX</v>
      </c>
      <c r="Q38" s="4" t="str">
        <f t="shared" si="1"/>
        <v>VEXMX</v>
      </c>
      <c r="R38" s="4" t="str">
        <f t="shared" si="1"/>
        <v>VIMSX</v>
      </c>
      <c r="S38" s="4" t="str">
        <f t="shared" si="1"/>
        <v>NAESX</v>
      </c>
      <c r="T38" s="4" t="str">
        <f t="shared" si="1"/>
        <v>VTRIX</v>
      </c>
      <c r="U38" s="4" t="str">
        <f t="shared" si="1"/>
        <v>VGTSX</v>
      </c>
      <c r="V38" s="4" t="str">
        <f t="shared" si="1"/>
        <v>VBMFX</v>
      </c>
      <c r="W38" s="5" t="s">
        <v>70</v>
      </c>
      <c r="X38" s="5" t="s">
        <v>112</v>
      </c>
      <c r="Y38" s="3" t="s">
        <v>87</v>
      </c>
      <c r="Z38" s="62"/>
      <c r="AB38" t="str">
        <f>O38</f>
        <v>Fund</v>
      </c>
      <c r="AC38" s="4" t="str">
        <f t="shared" si="2"/>
        <v>VFINX</v>
      </c>
      <c r="AD38" s="4" t="str">
        <f t="shared" si="2"/>
        <v>VEXMX</v>
      </c>
      <c r="AE38" s="4" t="str">
        <f t="shared" si="2"/>
        <v>VIMSX</v>
      </c>
      <c r="AF38" s="4" t="str">
        <f t="shared" si="2"/>
        <v>NAESX</v>
      </c>
      <c r="AG38" s="4" t="str">
        <f t="shared" si="2"/>
        <v>VTRIX</v>
      </c>
      <c r="AH38" s="4" t="str">
        <f t="shared" si="2"/>
        <v>VGTSX</v>
      </c>
      <c r="AI38" s="4" t="str">
        <f t="shared" si="2"/>
        <v>VBMFX</v>
      </c>
      <c r="AJ38" s="4" t="str">
        <f>W38</f>
        <v>Total</v>
      </c>
      <c r="AL38" t="s">
        <v>72</v>
      </c>
      <c r="AM38" s="4" t="str">
        <f>AC38</f>
        <v>VFINX</v>
      </c>
      <c r="AN38" s="4" t="str">
        <f t="shared" si="3"/>
        <v>VEXMX</v>
      </c>
      <c r="AO38" s="4" t="str">
        <f t="shared" si="3"/>
        <v>VIMSX</v>
      </c>
      <c r="AP38" s="4" t="str">
        <f t="shared" si="3"/>
        <v>NAESX</v>
      </c>
      <c r="AQ38" s="4" t="str">
        <f t="shared" si="3"/>
        <v>VTRIX</v>
      </c>
      <c r="AR38" s="4" t="str">
        <f t="shared" si="3"/>
        <v>VGTSX</v>
      </c>
      <c r="AS38" s="4" t="str">
        <f t="shared" si="3"/>
        <v>VBMFX</v>
      </c>
      <c r="AT38" s="4" t="str">
        <f t="shared" si="3"/>
        <v>Total</v>
      </c>
      <c r="AU38" t="s">
        <v>87</v>
      </c>
    </row>
    <row r="39" spans="1:47" x14ac:dyDescent="0.2">
      <c r="A39" t="s">
        <v>71</v>
      </c>
      <c r="B39" s="2">
        <v>60000</v>
      </c>
      <c r="C39" s="2">
        <v>0</v>
      </c>
      <c r="F39" s="2">
        <v>0</v>
      </c>
      <c r="H39" s="2">
        <v>40000</v>
      </c>
      <c r="I39" s="2">
        <f>SUM(B39:H39)</f>
        <v>100000</v>
      </c>
      <c r="O39" s="21" t="s">
        <v>86</v>
      </c>
      <c r="P39" s="22">
        <f>B39/$I39</f>
        <v>0.6</v>
      </c>
      <c r="Q39" s="22">
        <f>C39/$I39</f>
        <v>0</v>
      </c>
      <c r="R39" s="56">
        <v>0</v>
      </c>
      <c r="S39" s="56">
        <v>0</v>
      </c>
      <c r="T39" s="22">
        <f>F39/$I39</f>
        <v>0</v>
      </c>
      <c r="U39" s="56">
        <v>0</v>
      </c>
      <c r="V39" s="22">
        <f>H39/$I39</f>
        <v>0.4</v>
      </c>
      <c r="W39" s="22">
        <f>I39/$I39</f>
        <v>1</v>
      </c>
      <c r="X39" s="24"/>
      <c r="Z39" s="22"/>
      <c r="AB39" s="21" t="str">
        <f>O39</f>
        <v>Target Allocation</v>
      </c>
      <c r="AC39" s="24">
        <f t="shared" si="2"/>
        <v>0.6</v>
      </c>
      <c r="AD39" s="24">
        <f t="shared" si="2"/>
        <v>0</v>
      </c>
      <c r="AE39" s="25">
        <f t="shared" si="2"/>
        <v>0</v>
      </c>
      <c r="AF39" s="25">
        <f t="shared" si="2"/>
        <v>0</v>
      </c>
      <c r="AG39" s="24">
        <f t="shared" si="2"/>
        <v>0</v>
      </c>
      <c r="AH39" s="25">
        <f t="shared" si="2"/>
        <v>0</v>
      </c>
      <c r="AI39" s="24">
        <f t="shared" si="2"/>
        <v>0.4</v>
      </c>
      <c r="AJ39" s="24">
        <f>W39</f>
        <v>1</v>
      </c>
      <c r="AL39" s="21" t="str">
        <f>AB39</f>
        <v>Target Allocation</v>
      </c>
      <c r="AM39" s="24">
        <f>AC39</f>
        <v>0.6</v>
      </c>
      <c r="AN39" s="24">
        <f t="shared" si="3"/>
        <v>0</v>
      </c>
      <c r="AO39" s="25">
        <f t="shared" si="3"/>
        <v>0</v>
      </c>
      <c r="AP39" s="25">
        <f t="shared" si="3"/>
        <v>0</v>
      </c>
      <c r="AQ39" s="24">
        <f t="shared" si="3"/>
        <v>0</v>
      </c>
      <c r="AR39" s="25">
        <f t="shared" si="3"/>
        <v>0</v>
      </c>
      <c r="AS39" s="24">
        <f t="shared" si="3"/>
        <v>0.4</v>
      </c>
      <c r="AT39" s="24">
        <f t="shared" si="3"/>
        <v>1</v>
      </c>
      <c r="AU39" s="2"/>
    </row>
    <row r="40" spans="1:47" x14ac:dyDescent="0.2">
      <c r="A40">
        <f t="shared" ref="A40:A64" si="4">A4</f>
        <v>1990</v>
      </c>
      <c r="B40" s="2">
        <f>B39*(1+(B4/100))</f>
        <v>58008</v>
      </c>
      <c r="C40" s="2">
        <f>C39*(1+(C4/100))</f>
        <v>0</v>
      </c>
      <c r="D40" s="2"/>
      <c r="E40" s="2"/>
      <c r="F40" s="2">
        <f>F39*(1+(F4/100))</f>
        <v>0</v>
      </c>
      <c r="G40" s="2"/>
      <c r="H40" s="2">
        <f>H39*(1+(H4/100))</f>
        <v>43460</v>
      </c>
      <c r="I40" s="2">
        <f>SUM(B40:H40)</f>
        <v>101468</v>
      </c>
      <c r="J40" s="2">
        <f>I40-I39</f>
        <v>1468</v>
      </c>
      <c r="K40" s="6">
        <f>(J40/I39)</f>
        <v>1.468E-2</v>
      </c>
      <c r="L40" s="7">
        <f>K40+1</f>
        <v>1.01468</v>
      </c>
      <c r="O40">
        <f>A40</f>
        <v>1990</v>
      </c>
      <c r="P40" s="6">
        <f t="shared" ref="P40:U64" si="5">B40/$I40</f>
        <v>0.57168762565537901</v>
      </c>
      <c r="Q40" s="6">
        <f t="shared" si="5"/>
        <v>0</v>
      </c>
      <c r="R40" s="7"/>
      <c r="S40" s="7"/>
      <c r="T40" s="6">
        <f t="shared" ref="T40:T48" si="6">F40/$I40</f>
        <v>0</v>
      </c>
      <c r="U40" s="7"/>
      <c r="V40" s="6">
        <f t="shared" ref="V40:V64" si="7">H40/$I40</f>
        <v>0.42831237434462094</v>
      </c>
      <c r="W40" s="6">
        <f>SUM(P40:V40)</f>
        <v>1</v>
      </c>
      <c r="X40" s="7">
        <f>SUM(P40:U40)</f>
        <v>0.57168762565537901</v>
      </c>
      <c r="Y40" s="7">
        <f>W40-(X40+V40)</f>
        <v>0</v>
      </c>
      <c r="Z40" s="6"/>
      <c r="AB40">
        <f>O40</f>
        <v>1990</v>
      </c>
      <c r="AC40" s="1" t="b">
        <f>AND((B40/$I40)&gt;0.15,(B40/$I40)&lt;0.25)</f>
        <v>0</v>
      </c>
      <c r="AD40" s="1" t="b">
        <f>AND((C40/$I40)&gt;0.25,(C40/$I40)&lt;0.35)</f>
        <v>0</v>
      </c>
      <c r="AG40" s="1" t="b">
        <f t="shared" ref="AG40:AG48" si="8">AND((F40/$I40)&gt;0.15,(F40/$I40)&lt;0.25)</f>
        <v>0</v>
      </c>
      <c r="AI40" s="1" t="b">
        <f>AND((H40/$I40)&gt;0.25,(H40/$I40)&lt;0.35)</f>
        <v>0</v>
      </c>
      <c r="AJ40" s="1" t="b">
        <f>AND((I40/$I40)&gt;0.999,(I40/$I40)&lt;1.01)</f>
        <v>1</v>
      </c>
      <c r="AL40">
        <f>A40</f>
        <v>1990</v>
      </c>
      <c r="AM40" s="2">
        <f t="shared" ref="AM40:AN50" si="9">$I40*AM$39</f>
        <v>60880.799999999996</v>
      </c>
      <c r="AN40" s="2">
        <f t="shared" si="9"/>
        <v>0</v>
      </c>
      <c r="AO40" s="2"/>
      <c r="AP40" s="2"/>
      <c r="AQ40" s="2">
        <f t="shared" ref="AQ40:AQ49" si="10">$I40*AQ$39</f>
        <v>0</v>
      </c>
      <c r="AR40" s="2"/>
      <c r="AS40" s="2">
        <f t="shared" ref="AS40:AS51" si="11">$I40*AS$39</f>
        <v>40587.200000000004</v>
      </c>
      <c r="AT40" s="2">
        <f>SUM(AM40:AS40)</f>
        <v>101468</v>
      </c>
      <c r="AU40" s="2">
        <f>AT40-I40</f>
        <v>0</v>
      </c>
    </row>
    <row r="41" spans="1:47" x14ac:dyDescent="0.2">
      <c r="A41">
        <f t="shared" si="4"/>
        <v>1991</v>
      </c>
      <c r="B41" s="2">
        <f t="shared" ref="B41:C56" si="12">AM40*(1+(B5/100))</f>
        <v>79278.977759999994</v>
      </c>
      <c r="C41" s="2">
        <f t="shared" si="12"/>
        <v>0</v>
      </c>
      <c r="D41" s="2"/>
      <c r="E41" s="2"/>
      <c r="F41" s="2">
        <f t="shared" ref="F41:F48" si="13">AQ40*(1+(F5/100))</f>
        <v>0</v>
      </c>
      <c r="G41" s="2"/>
      <c r="H41" s="2">
        <f t="shared" ref="H41:H64" si="14">AS40*(1+(H5/100))</f>
        <v>46776.748000000007</v>
      </c>
      <c r="I41" s="2">
        <f t="shared" ref="I41:I64" si="15">SUM(B41:H41)</f>
        <v>126055.72576</v>
      </c>
      <c r="J41" s="2">
        <f t="shared" ref="J41:J64" si="16">I41-I40</f>
        <v>24587.725760000001</v>
      </c>
      <c r="K41" s="6">
        <f t="shared" ref="K41:K64" si="17">(J41/I40)</f>
        <v>0.24232000000000001</v>
      </c>
      <c r="L41" s="7">
        <f t="shared" ref="L41:L64" si="18">K41+1</f>
        <v>1.2423200000000001</v>
      </c>
      <c r="O41">
        <f t="shared" ref="O41:O64" si="19">A41</f>
        <v>1991</v>
      </c>
      <c r="P41" s="6">
        <f t="shared" si="5"/>
        <v>0.62892008500225383</v>
      </c>
      <c r="Q41" s="6">
        <f t="shared" si="5"/>
        <v>0</v>
      </c>
      <c r="R41" s="7"/>
      <c r="S41" s="7"/>
      <c r="T41" s="6">
        <f t="shared" si="6"/>
        <v>0</v>
      </c>
      <c r="U41" s="7"/>
      <c r="V41" s="6">
        <f t="shared" si="7"/>
        <v>0.37107991499774623</v>
      </c>
      <c r="W41" s="6">
        <f t="shared" ref="W41:W64" si="20">SUM(P41:V41)</f>
        <v>1</v>
      </c>
      <c r="X41" s="7">
        <f t="shared" ref="X41:X64" si="21">SUM(P41:U41)</f>
        <v>0.62892008500225383</v>
      </c>
      <c r="Y41" s="7">
        <f t="shared" ref="Y41:Y64" si="22">W41-(X41+V41)</f>
        <v>0</v>
      </c>
      <c r="Z41" s="6"/>
      <c r="AB41">
        <f t="shared" ref="AB41:AB64" si="23">O41</f>
        <v>1991</v>
      </c>
      <c r="AC41" s="1" t="b">
        <f t="shared" ref="AC41:AC64" si="24">AND((B41/$I41)&gt;0.15,(B41/$I41)&lt;0.25)</f>
        <v>0</v>
      </c>
      <c r="AD41" s="1" t="b">
        <f t="shared" ref="AD41:AD50" si="25">AND((C41/$I41)&gt;0.25,(C41/$I41)&lt;0.35)</f>
        <v>0</v>
      </c>
      <c r="AG41" s="1" t="b">
        <f t="shared" si="8"/>
        <v>0</v>
      </c>
      <c r="AI41" s="1" t="b">
        <f t="shared" ref="AI41:AI64" si="26">AND((H41/$I41)&gt;0.25,(H41/$I41)&lt;0.35)</f>
        <v>0</v>
      </c>
      <c r="AJ41" s="1" t="b">
        <f t="shared" ref="AJ41:AJ64" si="27">AND((I41/$I41)&gt;0.999,(I41/$I41)&lt;1.01)</f>
        <v>1</v>
      </c>
      <c r="AL41">
        <f t="shared" ref="AL41:AL64" si="28">A41</f>
        <v>1991</v>
      </c>
      <c r="AM41" s="2">
        <f t="shared" si="9"/>
        <v>75633.435455999992</v>
      </c>
      <c r="AN41" s="2">
        <f t="shared" si="9"/>
        <v>0</v>
      </c>
      <c r="AO41" s="2"/>
      <c r="AP41" s="2"/>
      <c r="AQ41" s="2">
        <f t="shared" si="10"/>
        <v>0</v>
      </c>
      <c r="AR41" s="2"/>
      <c r="AS41" s="2">
        <f t="shared" si="11"/>
        <v>50422.290304000002</v>
      </c>
      <c r="AT41" s="2">
        <f t="shared" ref="AT41:AT64" si="29">I41</f>
        <v>126055.72576</v>
      </c>
      <c r="AU41" s="2">
        <f t="shared" ref="AU41:AU64" si="30">AT41-I41</f>
        <v>0</v>
      </c>
    </row>
    <row r="42" spans="1:47" x14ac:dyDescent="0.2">
      <c r="A42">
        <f t="shared" si="4"/>
        <v>1992</v>
      </c>
      <c r="B42" s="2">
        <f t="shared" si="12"/>
        <v>81245.436366835202</v>
      </c>
      <c r="C42" s="2">
        <f t="shared" si="12"/>
        <v>0</v>
      </c>
      <c r="D42" s="2"/>
      <c r="E42" s="2"/>
      <c r="F42" s="2">
        <f t="shared" si="13"/>
        <v>0</v>
      </c>
      <c r="G42" s="2"/>
      <c r="H42" s="2">
        <f t="shared" si="14"/>
        <v>54022.441831705597</v>
      </c>
      <c r="I42" s="2">
        <f t="shared" si="15"/>
        <v>135267.8781985408</v>
      </c>
      <c r="J42" s="2">
        <f t="shared" si="16"/>
        <v>9212.1524385407974</v>
      </c>
      <c r="K42" s="6">
        <f t="shared" si="17"/>
        <v>7.3079999999999978E-2</v>
      </c>
      <c r="L42" s="7">
        <f t="shared" si="18"/>
        <v>1.07308</v>
      </c>
      <c r="O42">
        <f t="shared" si="19"/>
        <v>1992</v>
      </c>
      <c r="P42" s="6">
        <f t="shared" si="5"/>
        <v>0.60062623476348453</v>
      </c>
      <c r="Q42" s="6">
        <f t="shared" si="5"/>
        <v>0</v>
      </c>
      <c r="R42" s="7"/>
      <c r="S42" s="7"/>
      <c r="T42" s="6">
        <f t="shared" si="6"/>
        <v>0</v>
      </c>
      <c r="U42" s="7"/>
      <c r="V42" s="6">
        <f t="shared" si="7"/>
        <v>0.39937376523651541</v>
      </c>
      <c r="W42" s="6">
        <f t="shared" si="20"/>
        <v>1</v>
      </c>
      <c r="X42" s="7">
        <f t="shared" si="21"/>
        <v>0.60062623476348453</v>
      </c>
      <c r="Y42" s="7">
        <f t="shared" si="22"/>
        <v>0</v>
      </c>
      <c r="Z42" s="6"/>
      <c r="AB42">
        <f t="shared" si="23"/>
        <v>1992</v>
      </c>
      <c r="AC42" s="1" t="b">
        <f t="shared" si="24"/>
        <v>0</v>
      </c>
      <c r="AD42" s="1" t="b">
        <f t="shared" si="25"/>
        <v>0</v>
      </c>
      <c r="AG42" s="1" t="b">
        <f t="shared" si="8"/>
        <v>0</v>
      </c>
      <c r="AI42" s="1" t="b">
        <f t="shared" si="26"/>
        <v>0</v>
      </c>
      <c r="AJ42" s="1" t="b">
        <f t="shared" si="27"/>
        <v>1</v>
      </c>
      <c r="AL42">
        <f t="shared" si="28"/>
        <v>1992</v>
      </c>
      <c r="AM42" s="2">
        <f t="shared" si="9"/>
        <v>81160.72691912447</v>
      </c>
      <c r="AN42" s="2">
        <f t="shared" si="9"/>
        <v>0</v>
      </c>
      <c r="AO42" s="2"/>
      <c r="AP42" s="2"/>
      <c r="AQ42" s="2">
        <f t="shared" si="10"/>
        <v>0</v>
      </c>
      <c r="AR42" s="2"/>
      <c r="AS42" s="2">
        <f t="shared" si="11"/>
        <v>54107.151279416321</v>
      </c>
      <c r="AT42" s="2">
        <f t="shared" si="29"/>
        <v>135267.8781985408</v>
      </c>
      <c r="AU42" s="2">
        <f t="shared" si="30"/>
        <v>0</v>
      </c>
    </row>
    <row r="43" spans="1:47" x14ac:dyDescent="0.2">
      <c r="A43">
        <f t="shared" si="4"/>
        <v>1993</v>
      </c>
      <c r="B43" s="2">
        <f t="shared" si="12"/>
        <v>89187.522811425879</v>
      </c>
      <c r="C43" s="2">
        <f t="shared" si="12"/>
        <v>0</v>
      </c>
      <c r="D43" s="2"/>
      <c r="E43" s="2"/>
      <c r="F43" s="2">
        <f t="shared" si="13"/>
        <v>0</v>
      </c>
      <c r="G43" s="2"/>
      <c r="H43" s="2">
        <f t="shared" si="14"/>
        <v>59344.72352326382</v>
      </c>
      <c r="I43" s="2">
        <f t="shared" si="15"/>
        <v>148532.2463346897</v>
      </c>
      <c r="J43" s="2">
        <f t="shared" si="16"/>
        <v>13264.3681361489</v>
      </c>
      <c r="K43" s="6">
        <f t="shared" si="17"/>
        <v>9.8059999999999925E-2</v>
      </c>
      <c r="L43" s="7">
        <f t="shared" si="18"/>
        <v>1.0980599999999998</v>
      </c>
      <c r="O43">
        <f t="shared" si="19"/>
        <v>1993</v>
      </c>
      <c r="P43" s="6">
        <f t="shared" si="5"/>
        <v>0.60045899131195013</v>
      </c>
      <c r="Q43" s="6">
        <f t="shared" si="5"/>
        <v>0</v>
      </c>
      <c r="R43" s="7"/>
      <c r="S43" s="7"/>
      <c r="T43" s="6">
        <f t="shared" si="6"/>
        <v>0</v>
      </c>
      <c r="U43" s="7"/>
      <c r="V43" s="6">
        <f t="shared" si="7"/>
        <v>0.39954100868804987</v>
      </c>
      <c r="W43" s="6">
        <f t="shared" si="20"/>
        <v>1</v>
      </c>
      <c r="X43" s="7">
        <f t="shared" si="21"/>
        <v>0.60045899131195013</v>
      </c>
      <c r="Y43" s="7">
        <f t="shared" si="22"/>
        <v>0</v>
      </c>
      <c r="Z43" s="6"/>
      <c r="AB43">
        <f t="shared" si="23"/>
        <v>1993</v>
      </c>
      <c r="AC43" s="1" t="b">
        <f t="shared" si="24"/>
        <v>0</v>
      </c>
      <c r="AD43" s="1" t="b">
        <f t="shared" si="25"/>
        <v>0</v>
      </c>
      <c r="AG43" s="1" t="b">
        <f t="shared" si="8"/>
        <v>0</v>
      </c>
      <c r="AI43" s="1" t="b">
        <f t="shared" si="26"/>
        <v>0</v>
      </c>
      <c r="AJ43" s="1" t="b">
        <f t="shared" si="27"/>
        <v>1</v>
      </c>
      <c r="AL43">
        <f t="shared" si="28"/>
        <v>1993</v>
      </c>
      <c r="AM43" s="2">
        <f t="shared" si="9"/>
        <v>89119.347800813819</v>
      </c>
      <c r="AN43" s="2">
        <f t="shared" si="9"/>
        <v>0</v>
      </c>
      <c r="AO43" s="2"/>
      <c r="AP43" s="2"/>
      <c r="AQ43" s="2">
        <f t="shared" si="10"/>
        <v>0</v>
      </c>
      <c r="AR43" s="2"/>
      <c r="AS43" s="2">
        <f t="shared" si="11"/>
        <v>59412.898533875879</v>
      </c>
      <c r="AT43" s="2">
        <f t="shared" si="29"/>
        <v>148532.2463346897</v>
      </c>
      <c r="AU43" s="2">
        <f t="shared" si="30"/>
        <v>0</v>
      </c>
    </row>
    <row r="44" spans="1:47" x14ac:dyDescent="0.2">
      <c r="A44">
        <f t="shared" si="4"/>
        <v>1994</v>
      </c>
      <c r="B44" s="2">
        <f t="shared" si="12"/>
        <v>90170.95610486342</v>
      </c>
      <c r="C44" s="2">
        <f t="shared" si="12"/>
        <v>0</v>
      </c>
      <c r="D44" s="2"/>
      <c r="E44" s="2"/>
      <c r="F44" s="2">
        <f t="shared" si="13"/>
        <v>0</v>
      </c>
      <c r="G44" s="2"/>
      <c r="H44" s="2">
        <f t="shared" si="14"/>
        <v>57832.515432874781</v>
      </c>
      <c r="I44" s="2">
        <f t="shared" si="15"/>
        <v>148003.47153773819</v>
      </c>
      <c r="J44" s="2">
        <f t="shared" si="16"/>
        <v>-528.77479695150396</v>
      </c>
      <c r="K44" s="6">
        <f t="shared" si="17"/>
        <v>-3.5600000000000579E-3</v>
      </c>
      <c r="L44" s="7">
        <f t="shared" si="18"/>
        <v>0.99643999999999999</v>
      </c>
      <c r="O44">
        <f t="shared" si="19"/>
        <v>1994</v>
      </c>
      <c r="P44" s="6">
        <f t="shared" si="5"/>
        <v>0.60924892617719084</v>
      </c>
      <c r="Q44" s="6">
        <f t="shared" si="5"/>
        <v>0</v>
      </c>
      <c r="R44" s="7"/>
      <c r="S44" s="7"/>
      <c r="T44" s="38">
        <f t="shared" si="6"/>
        <v>0</v>
      </c>
      <c r="U44" s="7"/>
      <c r="V44" s="6">
        <f t="shared" si="7"/>
        <v>0.39075107382280921</v>
      </c>
      <c r="W44" s="6">
        <f t="shared" si="20"/>
        <v>1</v>
      </c>
      <c r="X44" s="7">
        <f t="shared" si="21"/>
        <v>0.60924892617719084</v>
      </c>
      <c r="Y44" s="7">
        <f t="shared" si="22"/>
        <v>0</v>
      </c>
      <c r="Z44" s="6"/>
      <c r="AB44">
        <f t="shared" si="23"/>
        <v>1994</v>
      </c>
      <c r="AC44" s="1" t="b">
        <f t="shared" si="24"/>
        <v>0</v>
      </c>
      <c r="AD44" s="1" t="b">
        <f t="shared" si="25"/>
        <v>0</v>
      </c>
      <c r="AG44" s="39" t="b">
        <f t="shared" si="8"/>
        <v>0</v>
      </c>
      <c r="AI44" s="1" t="b">
        <f t="shared" si="26"/>
        <v>0</v>
      </c>
      <c r="AJ44" s="1" t="b">
        <f t="shared" si="27"/>
        <v>1</v>
      </c>
      <c r="AL44">
        <f t="shared" si="28"/>
        <v>1994</v>
      </c>
      <c r="AM44" s="2">
        <f t="shared" si="9"/>
        <v>88802.08292264292</v>
      </c>
      <c r="AN44" s="2">
        <f t="shared" si="9"/>
        <v>0</v>
      </c>
      <c r="AO44" s="2"/>
      <c r="AP44" s="2"/>
      <c r="AQ44" s="2">
        <f t="shared" si="10"/>
        <v>0</v>
      </c>
      <c r="AR44" s="2"/>
      <c r="AS44" s="2">
        <f t="shared" si="11"/>
        <v>59201.388615095282</v>
      </c>
      <c r="AT44" s="2">
        <f t="shared" si="29"/>
        <v>148003.47153773819</v>
      </c>
      <c r="AU44" s="2">
        <f t="shared" si="30"/>
        <v>0</v>
      </c>
    </row>
    <row r="45" spans="1:47" x14ac:dyDescent="0.2">
      <c r="A45">
        <f t="shared" si="4"/>
        <v>1995</v>
      </c>
      <c r="B45" s="2">
        <f t="shared" si="12"/>
        <v>122058.4629771727</v>
      </c>
      <c r="C45" s="2">
        <f t="shared" si="12"/>
        <v>0</v>
      </c>
      <c r="D45" s="2"/>
      <c r="E45" s="2"/>
      <c r="F45" s="2">
        <f t="shared" si="13"/>
        <v>0</v>
      </c>
      <c r="G45" s="2"/>
      <c r="H45" s="2">
        <f t="shared" si="14"/>
        <v>69964.201065319605</v>
      </c>
      <c r="I45" s="2">
        <f t="shared" si="15"/>
        <v>192022.66404249231</v>
      </c>
      <c r="J45" s="2">
        <f t="shared" si="16"/>
        <v>44019.192504754115</v>
      </c>
      <c r="K45" s="6">
        <f t="shared" si="17"/>
        <v>0.29742000000000013</v>
      </c>
      <c r="L45" s="7">
        <f t="shared" si="18"/>
        <v>1.2974200000000002</v>
      </c>
      <c r="O45">
        <f t="shared" si="19"/>
        <v>1995</v>
      </c>
      <c r="P45" s="6">
        <f t="shared" si="5"/>
        <v>0.63564612847034885</v>
      </c>
      <c r="Q45" s="6">
        <f t="shared" si="5"/>
        <v>0</v>
      </c>
      <c r="R45" s="7"/>
      <c r="S45" s="7"/>
      <c r="T45" s="6">
        <f t="shared" si="6"/>
        <v>0</v>
      </c>
      <c r="U45" s="7"/>
      <c r="V45" s="6">
        <f t="shared" si="7"/>
        <v>0.36435387152965115</v>
      </c>
      <c r="W45" s="6">
        <f t="shared" si="20"/>
        <v>1</v>
      </c>
      <c r="X45" s="7">
        <f t="shared" si="21"/>
        <v>0.63564612847034885</v>
      </c>
      <c r="Y45" s="7">
        <f t="shared" si="22"/>
        <v>0</v>
      </c>
      <c r="Z45" s="6"/>
      <c r="AB45">
        <f t="shared" si="23"/>
        <v>1995</v>
      </c>
      <c r="AC45" s="1" t="b">
        <f t="shared" si="24"/>
        <v>0</v>
      </c>
      <c r="AD45" s="1" t="b">
        <f t="shared" si="25"/>
        <v>0</v>
      </c>
      <c r="AG45" s="1" t="b">
        <f t="shared" si="8"/>
        <v>0</v>
      </c>
      <c r="AI45" s="1" t="b">
        <f t="shared" si="26"/>
        <v>0</v>
      </c>
      <c r="AJ45" s="1" t="b">
        <f t="shared" si="27"/>
        <v>1</v>
      </c>
      <c r="AL45">
        <f t="shared" si="28"/>
        <v>1995</v>
      </c>
      <c r="AM45" s="2">
        <f t="shared" si="9"/>
        <v>115213.59842549538</v>
      </c>
      <c r="AN45" s="2">
        <f t="shared" si="9"/>
        <v>0</v>
      </c>
      <c r="AO45" s="2"/>
      <c r="AP45" s="2"/>
      <c r="AQ45" s="2">
        <f t="shared" si="10"/>
        <v>0</v>
      </c>
      <c r="AR45" s="2"/>
      <c r="AS45" s="2">
        <f t="shared" si="11"/>
        <v>76809.06561699693</v>
      </c>
      <c r="AT45" s="2">
        <f t="shared" si="29"/>
        <v>192022.66404249231</v>
      </c>
      <c r="AU45" s="2">
        <f t="shared" si="30"/>
        <v>0</v>
      </c>
    </row>
    <row r="46" spans="1:47" x14ac:dyDescent="0.2">
      <c r="A46">
        <f t="shared" si="4"/>
        <v>1996</v>
      </c>
      <c r="B46" s="2">
        <f t="shared" si="12"/>
        <v>141574.46974524873</v>
      </c>
      <c r="C46" s="2">
        <f t="shared" si="12"/>
        <v>0</v>
      </c>
      <c r="D46" s="2"/>
      <c r="E46" s="2"/>
      <c r="F46" s="2">
        <f t="shared" si="13"/>
        <v>0</v>
      </c>
      <c r="G46" s="2"/>
      <c r="H46" s="2">
        <f t="shared" si="14"/>
        <v>79558.830166085419</v>
      </c>
      <c r="I46" s="2">
        <f t="shared" si="15"/>
        <v>221133.29991133415</v>
      </c>
      <c r="J46" s="2">
        <f t="shared" si="16"/>
        <v>29110.63586884184</v>
      </c>
      <c r="K46" s="6">
        <f t="shared" si="17"/>
        <v>0.15160000000000004</v>
      </c>
      <c r="L46" s="7">
        <f t="shared" si="18"/>
        <v>1.1516</v>
      </c>
      <c r="O46">
        <f t="shared" si="19"/>
        <v>1996</v>
      </c>
      <c r="P46" s="6">
        <f t="shared" si="5"/>
        <v>0.64022229940951714</v>
      </c>
      <c r="Q46" s="6">
        <f t="shared" si="5"/>
        <v>0</v>
      </c>
      <c r="R46" s="7"/>
      <c r="S46" s="7"/>
      <c r="T46" s="6">
        <f t="shared" si="6"/>
        <v>0</v>
      </c>
      <c r="U46" s="7"/>
      <c r="V46" s="6">
        <f t="shared" si="7"/>
        <v>0.35977770059048281</v>
      </c>
      <c r="W46" s="6">
        <f t="shared" si="20"/>
        <v>1</v>
      </c>
      <c r="X46" s="7">
        <f t="shared" si="21"/>
        <v>0.64022229940951714</v>
      </c>
      <c r="Y46" s="7">
        <f t="shared" si="22"/>
        <v>0</v>
      </c>
      <c r="Z46" s="6"/>
      <c r="AB46">
        <f t="shared" si="23"/>
        <v>1996</v>
      </c>
      <c r="AC46" s="1" t="b">
        <f t="shared" si="24"/>
        <v>0</v>
      </c>
      <c r="AD46" s="1" t="b">
        <f t="shared" si="25"/>
        <v>0</v>
      </c>
      <c r="AG46" s="1" t="b">
        <f t="shared" si="8"/>
        <v>0</v>
      </c>
      <c r="AI46" s="1" t="b">
        <f t="shared" si="26"/>
        <v>0</v>
      </c>
      <c r="AJ46" s="1" t="b">
        <f t="shared" si="27"/>
        <v>1</v>
      </c>
      <c r="AL46">
        <f t="shared" si="28"/>
        <v>1996</v>
      </c>
      <c r="AM46" s="2">
        <f t="shared" si="9"/>
        <v>132679.97994680048</v>
      </c>
      <c r="AN46" s="2">
        <f t="shared" si="9"/>
        <v>0</v>
      </c>
      <c r="AO46" s="2"/>
      <c r="AP46" s="2"/>
      <c r="AQ46" s="2">
        <f t="shared" si="10"/>
        <v>0</v>
      </c>
      <c r="AR46" s="2"/>
      <c r="AS46" s="2">
        <f t="shared" si="11"/>
        <v>88453.319964533672</v>
      </c>
      <c r="AT46" s="2">
        <f t="shared" si="29"/>
        <v>221133.29991133415</v>
      </c>
      <c r="AU46" s="2">
        <f t="shared" si="30"/>
        <v>0</v>
      </c>
    </row>
    <row r="47" spans="1:47" x14ac:dyDescent="0.2">
      <c r="A47">
        <f t="shared" si="4"/>
        <v>1997</v>
      </c>
      <c r="B47" s="2">
        <f t="shared" si="12"/>
        <v>176716.46529114357</v>
      </c>
      <c r="C47" s="2">
        <f t="shared" si="12"/>
        <v>0</v>
      </c>
      <c r="D47" s="2"/>
      <c r="E47" s="2"/>
      <c r="F47" s="2">
        <f t="shared" si="13"/>
        <v>0</v>
      </c>
      <c r="G47" s="2"/>
      <c r="H47" s="2">
        <f t="shared" si="14"/>
        <v>96803.313369185649</v>
      </c>
      <c r="I47" s="2">
        <f t="shared" si="15"/>
        <v>273519.77866032923</v>
      </c>
      <c r="J47" s="2">
        <f t="shared" si="16"/>
        <v>52386.478748995083</v>
      </c>
      <c r="K47" s="6">
        <f t="shared" si="17"/>
        <v>0.23690000000000011</v>
      </c>
      <c r="L47" s="7">
        <f t="shared" si="18"/>
        <v>1.2369000000000001</v>
      </c>
      <c r="O47">
        <f t="shared" si="19"/>
        <v>1997</v>
      </c>
      <c r="P47" s="6">
        <f t="shared" si="5"/>
        <v>0.64608294930875565</v>
      </c>
      <c r="Q47" s="6">
        <f t="shared" si="5"/>
        <v>0</v>
      </c>
      <c r="R47" s="7"/>
      <c r="S47" s="7"/>
      <c r="T47" s="6">
        <f t="shared" si="6"/>
        <v>0</v>
      </c>
      <c r="U47" s="7"/>
      <c r="V47" s="6">
        <f t="shared" si="7"/>
        <v>0.35391705069124424</v>
      </c>
      <c r="W47" s="6">
        <f t="shared" si="20"/>
        <v>0.99999999999999989</v>
      </c>
      <c r="X47" s="7">
        <f t="shared" si="21"/>
        <v>0.64608294930875565</v>
      </c>
      <c r="Y47" s="7">
        <f t="shared" si="22"/>
        <v>0</v>
      </c>
      <c r="Z47" s="6"/>
      <c r="AB47">
        <f t="shared" si="23"/>
        <v>1997</v>
      </c>
      <c r="AC47" s="1" t="b">
        <f t="shared" si="24"/>
        <v>0</v>
      </c>
      <c r="AD47" s="1" t="b">
        <f t="shared" si="25"/>
        <v>0</v>
      </c>
      <c r="AG47" s="1" t="b">
        <f t="shared" si="8"/>
        <v>0</v>
      </c>
      <c r="AI47" s="1" t="b">
        <f t="shared" si="26"/>
        <v>0</v>
      </c>
      <c r="AJ47" s="1" t="b">
        <f t="shared" si="27"/>
        <v>1</v>
      </c>
      <c r="AL47">
        <f t="shared" si="28"/>
        <v>1997</v>
      </c>
      <c r="AM47" s="2">
        <f t="shared" si="9"/>
        <v>164111.86719619753</v>
      </c>
      <c r="AN47" s="2">
        <f t="shared" si="9"/>
        <v>0</v>
      </c>
      <c r="AO47" s="2"/>
      <c r="AP47" s="2"/>
      <c r="AQ47" s="2">
        <f t="shared" si="10"/>
        <v>0</v>
      </c>
      <c r="AR47" s="2"/>
      <c r="AS47" s="2">
        <f t="shared" si="11"/>
        <v>109407.9114641317</v>
      </c>
      <c r="AT47" s="2">
        <f t="shared" si="29"/>
        <v>273519.77866032923</v>
      </c>
      <c r="AU47" s="2">
        <f t="shared" si="30"/>
        <v>0</v>
      </c>
    </row>
    <row r="48" spans="1:47" x14ac:dyDescent="0.2">
      <c r="A48">
        <f t="shared" si="4"/>
        <v>1998</v>
      </c>
      <c r="B48" s="2">
        <f t="shared" si="12"/>
        <v>211146.32833462773</v>
      </c>
      <c r="C48" s="2">
        <f t="shared" si="12"/>
        <v>0</v>
      </c>
      <c r="D48" s="2"/>
      <c r="E48" s="2"/>
      <c r="F48" s="2">
        <f t="shared" si="13"/>
        <v>0</v>
      </c>
      <c r="G48" s="2"/>
      <c r="H48" s="2">
        <f t="shared" si="14"/>
        <v>118795.11026775421</v>
      </c>
      <c r="I48" s="2">
        <f t="shared" si="15"/>
        <v>329941.43860238197</v>
      </c>
      <c r="J48" s="2">
        <f t="shared" si="16"/>
        <v>56421.659942052735</v>
      </c>
      <c r="K48" s="6">
        <f t="shared" si="17"/>
        <v>0.20628000000000007</v>
      </c>
      <c r="L48" s="7">
        <f t="shared" si="18"/>
        <v>1.20628</v>
      </c>
      <c r="O48">
        <f t="shared" si="19"/>
        <v>1998</v>
      </c>
      <c r="P48" s="6">
        <f t="shared" si="5"/>
        <v>0.6399509235003481</v>
      </c>
      <c r="Q48" s="6">
        <f t="shared" si="5"/>
        <v>0</v>
      </c>
      <c r="R48" s="7"/>
      <c r="S48" s="7"/>
      <c r="T48" s="6">
        <f t="shared" si="6"/>
        <v>0</v>
      </c>
      <c r="U48" s="6"/>
      <c r="V48" s="38">
        <f t="shared" si="7"/>
        <v>0.36004907649965184</v>
      </c>
      <c r="W48" s="6">
        <f t="shared" si="20"/>
        <v>1</v>
      </c>
      <c r="X48" s="7">
        <f t="shared" si="21"/>
        <v>0.6399509235003481</v>
      </c>
      <c r="Y48" s="7">
        <f t="shared" si="22"/>
        <v>0</v>
      </c>
      <c r="Z48" s="6"/>
      <c r="AB48">
        <f t="shared" si="23"/>
        <v>1998</v>
      </c>
      <c r="AC48" s="1" t="b">
        <f t="shared" si="24"/>
        <v>0</v>
      </c>
      <c r="AD48" s="1" t="b">
        <f t="shared" si="25"/>
        <v>0</v>
      </c>
      <c r="AG48" s="1" t="b">
        <f t="shared" si="8"/>
        <v>0</v>
      </c>
      <c r="AI48" s="39" t="b">
        <f t="shared" si="26"/>
        <v>0</v>
      </c>
      <c r="AJ48" s="1" t="b">
        <f t="shared" si="27"/>
        <v>1</v>
      </c>
      <c r="AL48">
        <f t="shared" si="28"/>
        <v>1998</v>
      </c>
      <c r="AM48" s="2">
        <f t="shared" si="9"/>
        <v>197964.86316142918</v>
      </c>
      <c r="AN48" s="2">
        <f t="shared" si="9"/>
        <v>0</v>
      </c>
      <c r="AO48" s="2"/>
      <c r="AP48" s="2"/>
      <c r="AQ48" s="2">
        <f t="shared" si="10"/>
        <v>0</v>
      </c>
      <c r="AR48" s="2"/>
      <c r="AS48" s="2">
        <f t="shared" si="11"/>
        <v>131976.57544095279</v>
      </c>
      <c r="AT48" s="2">
        <f t="shared" si="29"/>
        <v>329941.43860238197</v>
      </c>
      <c r="AU48" s="2">
        <f t="shared" si="30"/>
        <v>0</v>
      </c>
    </row>
    <row r="49" spans="1:47" x14ac:dyDescent="0.2">
      <c r="A49">
        <f t="shared" si="4"/>
        <v>1999</v>
      </c>
      <c r="B49" s="2">
        <f t="shared" si="12"/>
        <v>239676.05982954233</v>
      </c>
      <c r="C49" s="2">
        <f t="shared" si="12"/>
        <v>0</v>
      </c>
      <c r="D49" s="2"/>
      <c r="E49" s="2"/>
      <c r="F49" s="2"/>
      <c r="G49" s="2">
        <f>AQ48*(1+(G13/100))</f>
        <v>0</v>
      </c>
      <c r="H49" s="2">
        <f t="shared" si="14"/>
        <v>130973.55346760154</v>
      </c>
      <c r="I49" s="2">
        <f t="shared" si="15"/>
        <v>370649.61329714383</v>
      </c>
      <c r="J49" s="2">
        <f t="shared" si="16"/>
        <v>40708.174694761867</v>
      </c>
      <c r="K49" s="6">
        <f t="shared" si="17"/>
        <v>0.12337999999999993</v>
      </c>
      <c r="L49" s="7">
        <f t="shared" si="18"/>
        <v>1.12338</v>
      </c>
      <c r="O49">
        <f t="shared" si="19"/>
        <v>1999</v>
      </c>
      <c r="P49" s="6">
        <f t="shared" si="5"/>
        <v>0.6466378251348609</v>
      </c>
      <c r="Q49" s="6">
        <f t="shared" si="5"/>
        <v>0</v>
      </c>
      <c r="R49" s="7"/>
      <c r="S49" s="7"/>
      <c r="T49" s="6"/>
      <c r="U49" s="6">
        <f t="shared" si="5"/>
        <v>0</v>
      </c>
      <c r="V49" s="6">
        <f t="shared" si="7"/>
        <v>0.35336217486513916</v>
      </c>
      <c r="W49" s="6">
        <f t="shared" si="20"/>
        <v>1</v>
      </c>
      <c r="X49" s="7">
        <f t="shared" si="21"/>
        <v>0.6466378251348609</v>
      </c>
      <c r="Y49" s="7">
        <f t="shared" si="22"/>
        <v>0</v>
      </c>
      <c r="Z49" s="6"/>
      <c r="AB49">
        <f t="shared" si="23"/>
        <v>1999</v>
      </c>
      <c r="AC49" s="1" t="b">
        <f t="shared" si="24"/>
        <v>0</v>
      </c>
      <c r="AD49" s="1" t="b">
        <f t="shared" si="25"/>
        <v>0</v>
      </c>
      <c r="AG49" s="1"/>
      <c r="AH49" s="1" t="b">
        <f t="shared" ref="AH49:AH64" si="31">AND((G49/$I49)&gt;0.15,(G49/$I49)&lt;0.25)</f>
        <v>0</v>
      </c>
      <c r="AI49" s="1" t="b">
        <f t="shared" si="26"/>
        <v>0</v>
      </c>
      <c r="AJ49" s="1" t="b">
        <f t="shared" si="27"/>
        <v>1</v>
      </c>
      <c r="AL49">
        <f t="shared" si="28"/>
        <v>1999</v>
      </c>
      <c r="AM49" s="2">
        <f t="shared" si="9"/>
        <v>222389.76797828628</v>
      </c>
      <c r="AN49" s="2">
        <f t="shared" si="9"/>
        <v>0</v>
      </c>
      <c r="AO49" s="2"/>
      <c r="AP49" s="2"/>
      <c r="AQ49" s="2">
        <f t="shared" si="10"/>
        <v>0</v>
      </c>
      <c r="AR49" s="2"/>
      <c r="AS49" s="2">
        <f t="shared" si="11"/>
        <v>148259.84531885755</v>
      </c>
      <c r="AT49" s="2">
        <f t="shared" si="29"/>
        <v>370649.61329714383</v>
      </c>
      <c r="AU49" s="2">
        <f t="shared" si="30"/>
        <v>0</v>
      </c>
    </row>
    <row r="50" spans="1:47" x14ac:dyDescent="0.2">
      <c r="A50">
        <f t="shared" si="4"/>
        <v>2000</v>
      </c>
      <c r="B50" s="2">
        <f t="shared" si="12"/>
        <v>202241.25499945355</v>
      </c>
      <c r="C50" s="2">
        <f t="shared" si="12"/>
        <v>0</v>
      </c>
      <c r="D50" s="2"/>
      <c r="E50" s="2"/>
      <c r="F50" s="2"/>
      <c r="G50" s="2">
        <f t="shared" ref="G50:G64" si="32">AR49*(1+(G14/100))</f>
        <v>0</v>
      </c>
      <c r="H50" s="2">
        <f t="shared" si="14"/>
        <v>165146.64170067545</v>
      </c>
      <c r="I50" s="2">
        <f t="shared" si="15"/>
        <v>367387.89670012903</v>
      </c>
      <c r="J50" s="2">
        <f t="shared" si="16"/>
        <v>-3261.7165970148053</v>
      </c>
      <c r="K50" s="6">
        <f t="shared" si="17"/>
        <v>-8.7999999999998375E-3</v>
      </c>
      <c r="L50" s="7">
        <f t="shared" si="18"/>
        <v>0.99120000000000019</v>
      </c>
      <c r="O50">
        <f t="shared" si="19"/>
        <v>2000</v>
      </c>
      <c r="P50" s="38">
        <f t="shared" si="5"/>
        <v>0.55048426150121055</v>
      </c>
      <c r="Q50" s="6">
        <f t="shared" si="5"/>
        <v>0</v>
      </c>
      <c r="R50" s="7"/>
      <c r="S50" s="7"/>
      <c r="T50" s="7"/>
      <c r="U50" s="6">
        <f t="shared" si="5"/>
        <v>0</v>
      </c>
      <c r="V50" s="6">
        <f t="shared" si="7"/>
        <v>0.4495157384987894</v>
      </c>
      <c r="W50" s="6">
        <f t="shared" si="20"/>
        <v>1</v>
      </c>
      <c r="X50" s="7">
        <f t="shared" si="21"/>
        <v>0.55048426150121055</v>
      </c>
      <c r="Y50" s="7">
        <f t="shared" si="22"/>
        <v>0</v>
      </c>
      <c r="Z50" s="6"/>
      <c r="AB50">
        <f t="shared" si="23"/>
        <v>2000</v>
      </c>
      <c r="AC50" s="39" t="b">
        <f t="shared" si="24"/>
        <v>0</v>
      </c>
      <c r="AD50" s="1" t="b">
        <f t="shared" si="25"/>
        <v>0</v>
      </c>
      <c r="AH50" s="1" t="b">
        <f t="shared" si="31"/>
        <v>0</v>
      </c>
      <c r="AI50" s="1" t="b">
        <f t="shared" si="26"/>
        <v>0</v>
      </c>
      <c r="AJ50" s="1" t="b">
        <f t="shared" si="27"/>
        <v>1</v>
      </c>
      <c r="AL50">
        <f t="shared" si="28"/>
        <v>2000</v>
      </c>
      <c r="AM50" s="2">
        <f t="shared" si="9"/>
        <v>220432.73802007741</v>
      </c>
      <c r="AN50" s="2">
        <f t="shared" si="9"/>
        <v>0</v>
      </c>
      <c r="AO50" s="2"/>
      <c r="AP50" s="2"/>
      <c r="AQ50" s="2"/>
      <c r="AR50" s="2">
        <f>$I50*AR$39</f>
        <v>0</v>
      </c>
      <c r="AS50" s="2">
        <f t="shared" si="11"/>
        <v>146955.15868005162</v>
      </c>
      <c r="AT50" s="2">
        <f t="shared" si="29"/>
        <v>367387.89670012903</v>
      </c>
      <c r="AU50" s="2">
        <f t="shared" si="30"/>
        <v>0</v>
      </c>
    </row>
    <row r="51" spans="1:47" x14ac:dyDescent="0.2">
      <c r="A51">
        <f t="shared" si="4"/>
        <v>2001</v>
      </c>
      <c r="B51" s="2">
        <f t="shared" si="12"/>
        <v>193936.7229100641</v>
      </c>
      <c r="C51" s="2"/>
      <c r="D51" s="2">
        <f>(AN50*0.67)*(1+(D15/100))</f>
        <v>0</v>
      </c>
      <c r="E51" s="2">
        <f>(AN50*0.33)*(1+(E15/100))</f>
        <v>0</v>
      </c>
      <c r="F51" s="2"/>
      <c r="G51" s="2">
        <f t="shared" si="32"/>
        <v>0</v>
      </c>
      <c r="H51" s="2">
        <f t="shared" si="14"/>
        <v>159343.47855677997</v>
      </c>
      <c r="I51" s="2">
        <f t="shared" si="15"/>
        <v>353280.20146684407</v>
      </c>
      <c r="J51" s="2">
        <f t="shared" si="16"/>
        <v>-14107.695233284961</v>
      </c>
      <c r="K51" s="6">
        <f t="shared" si="17"/>
        <v>-3.8400000000000017E-2</v>
      </c>
      <c r="L51" s="7">
        <f t="shared" si="18"/>
        <v>0.96160000000000001</v>
      </c>
      <c r="O51">
        <f t="shared" si="19"/>
        <v>2001</v>
      </c>
      <c r="P51" s="6">
        <f t="shared" si="5"/>
        <v>0.54896006655574037</v>
      </c>
      <c r="Q51" s="7"/>
      <c r="R51" s="6">
        <f t="shared" si="5"/>
        <v>0</v>
      </c>
      <c r="S51" s="6">
        <f t="shared" si="5"/>
        <v>0</v>
      </c>
      <c r="T51" s="7"/>
      <c r="U51" s="6">
        <f t="shared" si="5"/>
        <v>0</v>
      </c>
      <c r="V51" s="6">
        <f t="shared" si="7"/>
        <v>0.45103993344425958</v>
      </c>
      <c r="W51" s="6">
        <f t="shared" si="20"/>
        <v>1</v>
      </c>
      <c r="X51" s="7">
        <f t="shared" si="21"/>
        <v>0.54896006655574037</v>
      </c>
      <c r="Y51" s="7">
        <f t="shared" si="22"/>
        <v>0</v>
      </c>
      <c r="Z51" s="6"/>
      <c r="AB51">
        <f t="shared" si="23"/>
        <v>2001</v>
      </c>
      <c r="AC51" s="1" t="b">
        <f t="shared" si="24"/>
        <v>0</v>
      </c>
      <c r="AE51" s="1" t="b">
        <f>AND((D51/$I51)&gt;0.15,(D51/$I51)&lt;0.25)</f>
        <v>0</v>
      </c>
      <c r="AF51" s="1" t="b">
        <f>AND((E51/$I51)&gt;0.05,(E51/$I51)&lt;0.15)</f>
        <v>0</v>
      </c>
      <c r="AH51" s="1" t="b">
        <f t="shared" si="31"/>
        <v>0</v>
      </c>
      <c r="AI51" s="1" t="b">
        <f t="shared" si="26"/>
        <v>0</v>
      </c>
      <c r="AJ51" s="1" t="b">
        <f t="shared" si="27"/>
        <v>1</v>
      </c>
      <c r="AL51">
        <f t="shared" si="28"/>
        <v>2001</v>
      </c>
      <c r="AM51" s="2">
        <f>$I51*AM$39</f>
        <v>211968.12088010643</v>
      </c>
      <c r="AN51" s="2"/>
      <c r="AO51" s="2">
        <f t="shared" ref="AO51:AP64" si="33">$I51*AO$39</f>
        <v>0</v>
      </c>
      <c r="AP51" s="2">
        <f t="shared" si="33"/>
        <v>0</v>
      </c>
      <c r="AQ51" s="2"/>
      <c r="AR51" s="2">
        <f>$I51*AR$39</f>
        <v>0</v>
      </c>
      <c r="AS51" s="2">
        <f t="shared" si="11"/>
        <v>141312.08058673763</v>
      </c>
      <c r="AT51" s="2">
        <f t="shared" si="29"/>
        <v>353280.20146684407</v>
      </c>
      <c r="AU51" s="2">
        <f t="shared" si="30"/>
        <v>0</v>
      </c>
    </row>
    <row r="52" spans="1:47" x14ac:dyDescent="0.2">
      <c r="A52">
        <f t="shared" si="4"/>
        <v>2002</v>
      </c>
      <c r="B52" s="2">
        <f t="shared" si="12"/>
        <v>165017.18210516285</v>
      </c>
      <c r="C52" s="2"/>
      <c r="D52" s="2">
        <f t="shared" ref="D52:E64" si="34">AO51*(1+(D16/100))</f>
        <v>0</v>
      </c>
      <c r="E52" s="2">
        <f t="shared" si="34"/>
        <v>0</v>
      </c>
      <c r="F52" s="2"/>
      <c r="G52" s="2">
        <f t="shared" si="32"/>
        <v>0</v>
      </c>
      <c r="H52" s="2">
        <f t="shared" si="14"/>
        <v>152984.45844320217</v>
      </c>
      <c r="I52" s="2">
        <f t="shared" si="15"/>
        <v>318001.64054836502</v>
      </c>
      <c r="J52" s="2">
        <f t="shared" si="16"/>
        <v>-35278.560918479052</v>
      </c>
      <c r="K52" s="6">
        <f t="shared" si="17"/>
        <v>-9.9860000000000004E-2</v>
      </c>
      <c r="L52" s="7">
        <f t="shared" si="18"/>
        <v>0.90013999999999994</v>
      </c>
      <c r="O52">
        <f t="shared" si="19"/>
        <v>2002</v>
      </c>
      <c r="P52" s="6">
        <f t="shared" si="5"/>
        <v>0.51891927922323189</v>
      </c>
      <c r="Q52" s="7"/>
      <c r="R52" s="6">
        <f t="shared" si="5"/>
        <v>0</v>
      </c>
      <c r="S52" s="6">
        <f t="shared" si="5"/>
        <v>0</v>
      </c>
      <c r="T52" s="7"/>
      <c r="U52" s="6">
        <f t="shared" si="5"/>
        <v>0</v>
      </c>
      <c r="V52" s="6">
        <f t="shared" si="7"/>
        <v>0.48108072077676811</v>
      </c>
      <c r="W52" s="6">
        <f t="shared" si="20"/>
        <v>1</v>
      </c>
      <c r="X52" s="7">
        <f t="shared" si="21"/>
        <v>0.51891927922323189</v>
      </c>
      <c r="Y52" s="7">
        <f t="shared" si="22"/>
        <v>0</v>
      </c>
      <c r="Z52" s="6"/>
      <c r="AB52">
        <f t="shared" si="23"/>
        <v>2002</v>
      </c>
      <c r="AC52" s="1" t="b">
        <f t="shared" si="24"/>
        <v>0</v>
      </c>
      <c r="AE52" s="1" t="b">
        <f t="shared" ref="AE52:AE64" si="35">AND((D52/$I52)&gt;0.15,(D52/$I52)&lt;0.25)</f>
        <v>0</v>
      </c>
      <c r="AF52" s="1" t="b">
        <f t="shared" ref="AF52:AF64" si="36">AND((E52/$I52)&gt;0.05,(E52/$I52)&lt;0.15)</f>
        <v>0</v>
      </c>
      <c r="AH52" s="1" t="b">
        <f t="shared" si="31"/>
        <v>0</v>
      </c>
      <c r="AI52" s="1" t="b">
        <f t="shared" si="26"/>
        <v>0</v>
      </c>
      <c r="AJ52" s="1" t="b">
        <f t="shared" si="27"/>
        <v>1</v>
      </c>
      <c r="AL52">
        <f t="shared" si="28"/>
        <v>2002</v>
      </c>
      <c r="AM52" s="2">
        <f t="shared" ref="AM52:AM64" si="37">$I52*AM$39</f>
        <v>190800.984329019</v>
      </c>
      <c r="AN52" s="2"/>
      <c r="AO52" s="2">
        <f t="shared" si="33"/>
        <v>0</v>
      </c>
      <c r="AP52" s="2">
        <f t="shared" si="33"/>
        <v>0</v>
      </c>
      <c r="AQ52" s="2"/>
      <c r="AR52" s="2">
        <f t="shared" ref="AR52:AS64" si="38">$I52*AR$39</f>
        <v>0</v>
      </c>
      <c r="AS52" s="2">
        <f t="shared" si="38"/>
        <v>127200.65621934601</v>
      </c>
      <c r="AT52" s="2">
        <f t="shared" si="29"/>
        <v>318001.64054836502</v>
      </c>
      <c r="AU52" s="2">
        <f t="shared" si="30"/>
        <v>0</v>
      </c>
    </row>
    <row r="53" spans="1:47" x14ac:dyDescent="0.2">
      <c r="A53">
        <f t="shared" si="4"/>
        <v>2003</v>
      </c>
      <c r="B53" s="2">
        <f t="shared" si="12"/>
        <v>245179.26486278939</v>
      </c>
      <c r="C53" s="2"/>
      <c r="D53" s="2">
        <f t="shared" si="34"/>
        <v>0</v>
      </c>
      <c r="E53" s="2">
        <f t="shared" si="34"/>
        <v>0</v>
      </c>
      <c r="F53" s="2"/>
      <c r="G53" s="2">
        <f t="shared" si="32"/>
        <v>0</v>
      </c>
      <c r="H53" s="2">
        <f t="shared" si="14"/>
        <v>132250.52227125407</v>
      </c>
      <c r="I53" s="2">
        <f t="shared" si="15"/>
        <v>377429.78713404346</v>
      </c>
      <c r="J53" s="2">
        <f t="shared" si="16"/>
        <v>59428.146585678449</v>
      </c>
      <c r="K53" s="6">
        <f t="shared" si="17"/>
        <v>0.18687999999999999</v>
      </c>
      <c r="L53" s="7">
        <f t="shared" si="18"/>
        <v>1.1868799999999999</v>
      </c>
      <c r="O53">
        <f t="shared" si="19"/>
        <v>2003</v>
      </c>
      <c r="P53" s="6">
        <f t="shared" si="5"/>
        <v>0.64960231868428142</v>
      </c>
      <c r="Q53" s="7"/>
      <c r="R53" s="6">
        <f t="shared" si="5"/>
        <v>0</v>
      </c>
      <c r="S53" s="6">
        <f t="shared" si="5"/>
        <v>0</v>
      </c>
      <c r="T53" s="7"/>
      <c r="U53" s="6">
        <f t="shared" si="5"/>
        <v>0</v>
      </c>
      <c r="V53" s="6">
        <f t="shared" si="7"/>
        <v>0.35039768131571858</v>
      </c>
      <c r="W53" s="6">
        <f t="shared" si="20"/>
        <v>1</v>
      </c>
      <c r="X53" s="7">
        <f t="shared" si="21"/>
        <v>0.64960231868428142</v>
      </c>
      <c r="Y53" s="7">
        <f t="shared" si="22"/>
        <v>0</v>
      </c>
      <c r="Z53" s="6"/>
      <c r="AB53">
        <f t="shared" si="23"/>
        <v>2003</v>
      </c>
      <c r="AC53" s="1" t="b">
        <f t="shared" si="24"/>
        <v>0</v>
      </c>
      <c r="AE53" s="1" t="b">
        <f t="shared" si="35"/>
        <v>0</v>
      </c>
      <c r="AF53" s="1" t="b">
        <f t="shared" si="36"/>
        <v>0</v>
      </c>
      <c r="AH53" s="1" t="b">
        <f t="shared" si="31"/>
        <v>0</v>
      </c>
      <c r="AI53" s="1" t="b">
        <f t="shared" si="26"/>
        <v>0</v>
      </c>
      <c r="AJ53" s="1" t="b">
        <f t="shared" si="27"/>
        <v>1</v>
      </c>
      <c r="AL53">
        <f t="shared" si="28"/>
        <v>2003</v>
      </c>
      <c r="AM53" s="2">
        <f t="shared" si="37"/>
        <v>226457.87228042606</v>
      </c>
      <c r="AN53" s="2"/>
      <c r="AO53" s="2">
        <f t="shared" si="33"/>
        <v>0</v>
      </c>
      <c r="AP53" s="2">
        <f t="shared" si="33"/>
        <v>0</v>
      </c>
      <c r="AQ53" s="2"/>
      <c r="AR53" s="2">
        <f t="shared" si="38"/>
        <v>0</v>
      </c>
      <c r="AS53" s="2">
        <f t="shared" si="38"/>
        <v>150971.9148536174</v>
      </c>
      <c r="AT53" s="2">
        <f t="shared" si="29"/>
        <v>377429.78713404346</v>
      </c>
      <c r="AU53" s="2">
        <f t="shared" si="30"/>
        <v>0</v>
      </c>
    </row>
    <row r="54" spans="1:47" x14ac:dyDescent="0.2">
      <c r="A54">
        <f t="shared" si="4"/>
        <v>2004</v>
      </c>
      <c r="B54" s="2">
        <f t="shared" si="12"/>
        <v>250779.44776334381</v>
      </c>
      <c r="C54" s="2"/>
      <c r="D54" s="2">
        <f t="shared" si="34"/>
        <v>0</v>
      </c>
      <c r="E54" s="2">
        <f t="shared" si="34"/>
        <v>0</v>
      </c>
      <c r="F54" s="2"/>
      <c r="G54" s="2">
        <f t="shared" si="32"/>
        <v>0</v>
      </c>
      <c r="H54" s="2">
        <f t="shared" si="14"/>
        <v>157373.12404341079</v>
      </c>
      <c r="I54" s="2">
        <f t="shared" si="15"/>
        <v>408152.57180675457</v>
      </c>
      <c r="J54" s="2">
        <f t="shared" si="16"/>
        <v>30722.784672711103</v>
      </c>
      <c r="K54" s="6">
        <f t="shared" si="17"/>
        <v>8.1399999999999903E-2</v>
      </c>
      <c r="L54" s="7">
        <f t="shared" si="18"/>
        <v>1.0813999999999999</v>
      </c>
      <c r="O54">
        <f t="shared" si="19"/>
        <v>2004</v>
      </c>
      <c r="P54" s="38">
        <f t="shared" si="5"/>
        <v>0.61442574440540043</v>
      </c>
      <c r="Q54" s="7"/>
      <c r="R54" s="6">
        <f t="shared" si="5"/>
        <v>0</v>
      </c>
      <c r="S54" s="6">
        <f t="shared" si="5"/>
        <v>0</v>
      </c>
      <c r="T54" s="7"/>
      <c r="U54" s="38">
        <f t="shared" si="5"/>
        <v>0</v>
      </c>
      <c r="V54" s="38">
        <f t="shared" si="7"/>
        <v>0.38557425559459968</v>
      </c>
      <c r="W54" s="6">
        <f t="shared" si="20"/>
        <v>1</v>
      </c>
      <c r="X54" s="7">
        <f t="shared" si="21"/>
        <v>0.61442574440540043</v>
      </c>
      <c r="Y54" s="7">
        <f t="shared" si="22"/>
        <v>0</v>
      </c>
      <c r="Z54" s="6"/>
      <c r="AB54">
        <f t="shared" si="23"/>
        <v>2004</v>
      </c>
      <c r="AC54" s="39" t="b">
        <f t="shared" si="24"/>
        <v>0</v>
      </c>
      <c r="AE54" s="1" t="b">
        <f t="shared" si="35"/>
        <v>0</v>
      </c>
      <c r="AF54" s="1" t="b">
        <f t="shared" si="36"/>
        <v>0</v>
      </c>
      <c r="AH54" s="39" t="b">
        <f t="shared" si="31"/>
        <v>0</v>
      </c>
      <c r="AI54" s="39" t="b">
        <f t="shared" si="26"/>
        <v>0</v>
      </c>
      <c r="AJ54" s="1" t="b">
        <f t="shared" si="27"/>
        <v>1</v>
      </c>
      <c r="AL54">
        <f t="shared" si="28"/>
        <v>2004</v>
      </c>
      <c r="AM54" s="2">
        <f t="shared" si="37"/>
        <v>244891.54308405274</v>
      </c>
      <c r="AN54" s="2"/>
      <c r="AO54" s="2">
        <f t="shared" si="33"/>
        <v>0</v>
      </c>
      <c r="AP54" s="2">
        <f t="shared" si="33"/>
        <v>0</v>
      </c>
      <c r="AQ54" s="2"/>
      <c r="AR54" s="2">
        <f t="shared" si="38"/>
        <v>0</v>
      </c>
      <c r="AS54" s="2">
        <f t="shared" si="38"/>
        <v>163261.02872270183</v>
      </c>
      <c r="AT54" s="2">
        <f t="shared" si="29"/>
        <v>408152.57180675457</v>
      </c>
      <c r="AU54" s="2">
        <f t="shared" si="30"/>
        <v>0</v>
      </c>
    </row>
    <row r="55" spans="1:47" x14ac:dyDescent="0.2">
      <c r="A55">
        <f t="shared" si="4"/>
        <v>2005</v>
      </c>
      <c r="B55" s="2">
        <f t="shared" si="12"/>
        <v>256572.86968916206</v>
      </c>
      <c r="C55" s="2"/>
      <c r="D55" s="2">
        <f t="shared" si="34"/>
        <v>0</v>
      </c>
      <c r="E55" s="2">
        <f t="shared" si="34"/>
        <v>0</v>
      </c>
      <c r="F55" s="2"/>
      <c r="G55" s="2">
        <f t="shared" si="32"/>
        <v>0</v>
      </c>
      <c r="H55" s="2">
        <f t="shared" si="14"/>
        <v>167179.29341204668</v>
      </c>
      <c r="I55" s="2">
        <f t="shared" si="15"/>
        <v>423752.16310120875</v>
      </c>
      <c r="J55" s="2">
        <f t="shared" si="16"/>
        <v>15599.591294454178</v>
      </c>
      <c r="K55" s="6">
        <f t="shared" si="17"/>
        <v>3.8220000000000046E-2</v>
      </c>
      <c r="L55" s="7">
        <f t="shared" si="18"/>
        <v>1.0382200000000001</v>
      </c>
      <c r="O55">
        <f t="shared" si="19"/>
        <v>2005</v>
      </c>
      <c r="P55" s="6">
        <f t="shared" si="5"/>
        <v>0.60547860761688277</v>
      </c>
      <c r="Q55" s="7"/>
      <c r="R55" s="6">
        <f t="shared" si="5"/>
        <v>0</v>
      </c>
      <c r="S55" s="6">
        <f t="shared" si="5"/>
        <v>0</v>
      </c>
      <c r="T55" s="7"/>
      <c r="U55" s="6">
        <f t="shared" si="5"/>
        <v>0</v>
      </c>
      <c r="V55" s="38">
        <f t="shared" si="7"/>
        <v>0.39452139238311729</v>
      </c>
      <c r="W55" s="6">
        <f t="shared" si="20"/>
        <v>1</v>
      </c>
      <c r="X55" s="7">
        <f t="shared" si="21"/>
        <v>0.60547860761688277</v>
      </c>
      <c r="Y55" s="7">
        <f t="shared" si="22"/>
        <v>0</v>
      </c>
      <c r="Z55" s="6"/>
      <c r="AB55">
        <f t="shared" si="23"/>
        <v>2005</v>
      </c>
      <c r="AC55" s="1" t="b">
        <f t="shared" si="24"/>
        <v>0</v>
      </c>
      <c r="AE55" s="1" t="b">
        <f t="shared" si="35"/>
        <v>0</v>
      </c>
      <c r="AF55" s="1" t="b">
        <f t="shared" si="36"/>
        <v>0</v>
      </c>
      <c r="AH55" s="1" t="b">
        <f t="shared" si="31"/>
        <v>0</v>
      </c>
      <c r="AI55" s="39" t="b">
        <f t="shared" si="26"/>
        <v>0</v>
      </c>
      <c r="AJ55" s="1" t="b">
        <f t="shared" si="27"/>
        <v>1</v>
      </c>
      <c r="AL55">
        <f t="shared" si="28"/>
        <v>2005</v>
      </c>
      <c r="AM55" s="2">
        <f t="shared" si="37"/>
        <v>254251.29786072523</v>
      </c>
      <c r="AN55" s="2"/>
      <c r="AO55" s="2">
        <f t="shared" si="33"/>
        <v>0</v>
      </c>
      <c r="AP55" s="2">
        <f t="shared" si="33"/>
        <v>0</v>
      </c>
      <c r="AQ55" s="2"/>
      <c r="AR55" s="2">
        <f t="shared" si="38"/>
        <v>0</v>
      </c>
      <c r="AS55" s="2">
        <f t="shared" si="38"/>
        <v>169500.86524048352</v>
      </c>
      <c r="AT55" s="2">
        <f t="shared" si="29"/>
        <v>423752.16310120875</v>
      </c>
      <c r="AU55" s="2">
        <f t="shared" si="30"/>
        <v>0</v>
      </c>
    </row>
    <row r="56" spans="1:47" x14ac:dyDescent="0.2">
      <c r="A56">
        <f t="shared" si="4"/>
        <v>2006</v>
      </c>
      <c r="B56" s="2">
        <f t="shared" si="12"/>
        <v>294016.20084614266</v>
      </c>
      <c r="C56" s="2"/>
      <c r="D56" s="2">
        <f t="shared" si="34"/>
        <v>0</v>
      </c>
      <c r="E56" s="2">
        <f t="shared" si="34"/>
        <v>0</v>
      </c>
      <c r="F56" s="2"/>
      <c r="G56" s="2">
        <f t="shared" si="32"/>
        <v>0</v>
      </c>
      <c r="H56" s="2">
        <f t="shared" si="14"/>
        <v>176738.55218625214</v>
      </c>
      <c r="I56" s="2">
        <f t="shared" si="15"/>
        <v>470754.7530323948</v>
      </c>
      <c r="J56" s="2">
        <f>I56-I55</f>
        <v>47002.589931186056</v>
      </c>
      <c r="K56" s="6">
        <f>(J56/I55)</f>
        <v>0.11091999999999996</v>
      </c>
      <c r="L56" s="7">
        <f t="shared" si="18"/>
        <v>1.1109199999999999</v>
      </c>
      <c r="O56">
        <f t="shared" si="19"/>
        <v>2006</v>
      </c>
      <c r="P56" s="6">
        <f t="shared" si="5"/>
        <v>0.62456342490908434</v>
      </c>
      <c r="Q56" s="7"/>
      <c r="R56" s="6">
        <f t="shared" si="5"/>
        <v>0</v>
      </c>
      <c r="S56" s="6">
        <f t="shared" si="5"/>
        <v>0</v>
      </c>
      <c r="T56" s="7"/>
      <c r="U56" s="6">
        <f t="shared" si="5"/>
        <v>0</v>
      </c>
      <c r="V56" s="6">
        <f t="shared" si="7"/>
        <v>0.37543657509091566</v>
      </c>
      <c r="W56" s="6">
        <f t="shared" si="20"/>
        <v>1</v>
      </c>
      <c r="X56" s="7">
        <f t="shared" si="21"/>
        <v>0.62456342490908434</v>
      </c>
      <c r="Y56" s="7">
        <f t="shared" si="22"/>
        <v>0</v>
      </c>
      <c r="Z56" s="6"/>
      <c r="AB56">
        <f t="shared" si="23"/>
        <v>2006</v>
      </c>
      <c r="AC56" s="1" t="b">
        <f t="shared" si="24"/>
        <v>0</v>
      </c>
      <c r="AE56" s="1" t="b">
        <f t="shared" si="35"/>
        <v>0</v>
      </c>
      <c r="AF56" s="1" t="b">
        <f t="shared" si="36"/>
        <v>0</v>
      </c>
      <c r="AH56" s="1" t="b">
        <f t="shared" si="31"/>
        <v>0</v>
      </c>
      <c r="AI56" s="1" t="b">
        <f t="shared" si="26"/>
        <v>0</v>
      </c>
      <c r="AJ56" s="1" t="b">
        <f t="shared" si="27"/>
        <v>1</v>
      </c>
      <c r="AL56">
        <f t="shared" si="28"/>
        <v>2006</v>
      </c>
      <c r="AM56" s="2">
        <f t="shared" si="37"/>
        <v>282452.85181943688</v>
      </c>
      <c r="AN56" s="2"/>
      <c r="AO56" s="2">
        <f t="shared" si="33"/>
        <v>0</v>
      </c>
      <c r="AP56" s="2">
        <f t="shared" si="33"/>
        <v>0</v>
      </c>
      <c r="AQ56" s="2"/>
      <c r="AR56" s="2">
        <f t="shared" si="38"/>
        <v>0</v>
      </c>
      <c r="AS56" s="2">
        <f t="shared" si="38"/>
        <v>188301.90121295792</v>
      </c>
      <c r="AT56" s="2">
        <f t="shared" si="29"/>
        <v>470754.7530323948</v>
      </c>
      <c r="AU56" s="2">
        <f t="shared" si="30"/>
        <v>0</v>
      </c>
    </row>
    <row r="57" spans="1:47" x14ac:dyDescent="0.2">
      <c r="A57">
        <f t="shared" si="4"/>
        <v>2007</v>
      </c>
      <c r="B57" s="2">
        <f t="shared" ref="B57:B64" si="39">AM56*(1+(B21/100))</f>
        <v>297677.06053250452</v>
      </c>
      <c r="C57" s="2"/>
      <c r="D57" s="2">
        <f t="shared" si="34"/>
        <v>0</v>
      </c>
      <c r="E57" s="2">
        <f t="shared" si="34"/>
        <v>0</v>
      </c>
      <c r="F57" s="2"/>
      <c r="G57" s="2">
        <f t="shared" si="32"/>
        <v>0</v>
      </c>
      <c r="H57" s="2">
        <f t="shared" si="14"/>
        <v>201332.39277689459</v>
      </c>
      <c r="I57" s="2">
        <f t="shared" si="15"/>
        <v>499009.45330939908</v>
      </c>
      <c r="J57" s="2">
        <f t="shared" si="16"/>
        <v>28254.700277004275</v>
      </c>
      <c r="K57" s="6">
        <f t="shared" si="17"/>
        <v>6.0019999999999872E-2</v>
      </c>
      <c r="L57" s="7">
        <f t="shared" si="18"/>
        <v>1.06002</v>
      </c>
      <c r="O57">
        <f t="shared" si="19"/>
        <v>2007</v>
      </c>
      <c r="P57" s="6">
        <f t="shared" si="5"/>
        <v>0.59653591441670917</v>
      </c>
      <c r="Q57" s="7"/>
      <c r="R57" s="6">
        <f t="shared" si="5"/>
        <v>0</v>
      </c>
      <c r="S57" s="6">
        <f t="shared" si="5"/>
        <v>0</v>
      </c>
      <c r="T57" s="7"/>
      <c r="U57" s="6">
        <f t="shared" si="5"/>
        <v>0</v>
      </c>
      <c r="V57" s="6">
        <f t="shared" si="7"/>
        <v>0.40346408558329089</v>
      </c>
      <c r="W57" s="6">
        <f t="shared" si="20"/>
        <v>1</v>
      </c>
      <c r="X57" s="7">
        <f t="shared" si="21"/>
        <v>0.59653591441670917</v>
      </c>
      <c r="Y57" s="7">
        <f t="shared" si="22"/>
        <v>0</v>
      </c>
      <c r="Z57" s="6"/>
      <c r="AB57">
        <f t="shared" si="23"/>
        <v>2007</v>
      </c>
      <c r="AC57" s="1" t="b">
        <f t="shared" si="24"/>
        <v>0</v>
      </c>
      <c r="AE57" s="1" t="b">
        <f t="shared" si="35"/>
        <v>0</v>
      </c>
      <c r="AF57" s="1" t="b">
        <f t="shared" si="36"/>
        <v>0</v>
      </c>
      <c r="AH57" s="1" t="b">
        <f t="shared" si="31"/>
        <v>0</v>
      </c>
      <c r="AI57" s="1" t="b">
        <f t="shared" si="26"/>
        <v>0</v>
      </c>
      <c r="AJ57" s="1" t="b">
        <f t="shared" si="27"/>
        <v>1</v>
      </c>
      <c r="AL57">
        <f t="shared" si="28"/>
        <v>2007</v>
      </c>
      <c r="AM57" s="2">
        <f t="shared" si="37"/>
        <v>299405.67198563943</v>
      </c>
      <c r="AN57" s="2"/>
      <c r="AO57" s="2">
        <f t="shared" si="33"/>
        <v>0</v>
      </c>
      <c r="AP57" s="2">
        <f t="shared" si="33"/>
        <v>0</v>
      </c>
      <c r="AQ57" s="2"/>
      <c r="AR57" s="2">
        <f t="shared" si="38"/>
        <v>0</v>
      </c>
      <c r="AS57" s="2">
        <f t="shared" si="38"/>
        <v>199603.78132375964</v>
      </c>
      <c r="AT57" s="2">
        <f t="shared" si="29"/>
        <v>499009.45330939908</v>
      </c>
      <c r="AU57" s="2">
        <f t="shared" si="30"/>
        <v>0</v>
      </c>
    </row>
    <row r="58" spans="1:47" x14ac:dyDescent="0.2">
      <c r="A58">
        <f t="shared" si="4"/>
        <v>2008</v>
      </c>
      <c r="B58" s="2">
        <f t="shared" si="39"/>
        <v>188565.6922165557</v>
      </c>
      <c r="C58" s="2"/>
      <c r="D58" s="2">
        <f t="shared" si="34"/>
        <v>0</v>
      </c>
      <c r="E58" s="2">
        <f t="shared" si="34"/>
        <v>0</v>
      </c>
      <c r="F58" s="2"/>
      <c r="G58" s="2">
        <f t="shared" si="32"/>
        <v>0</v>
      </c>
      <c r="H58" s="2">
        <f t="shared" si="14"/>
        <v>209683.7722806095</v>
      </c>
      <c r="I58" s="2">
        <f t="shared" si="15"/>
        <v>398249.46449716517</v>
      </c>
      <c r="J58" s="2">
        <f t="shared" si="16"/>
        <v>-100759.9888122339</v>
      </c>
      <c r="K58" s="6">
        <f t="shared" si="17"/>
        <v>-0.20192000000000007</v>
      </c>
      <c r="L58" s="7">
        <f t="shared" si="18"/>
        <v>0.7980799999999999</v>
      </c>
      <c r="O58">
        <f t="shared" si="19"/>
        <v>2008</v>
      </c>
      <c r="P58" s="6">
        <f t="shared" si="5"/>
        <v>0.47348636728147553</v>
      </c>
      <c r="Q58" s="7"/>
      <c r="R58" s="6">
        <f t="shared" si="5"/>
        <v>0</v>
      </c>
      <c r="S58" s="6">
        <f t="shared" si="5"/>
        <v>0</v>
      </c>
      <c r="T58" s="7"/>
      <c r="U58" s="6">
        <f t="shared" si="5"/>
        <v>0</v>
      </c>
      <c r="V58" s="38">
        <f t="shared" si="7"/>
        <v>0.52651363271852458</v>
      </c>
      <c r="W58" s="6">
        <f t="shared" si="20"/>
        <v>1</v>
      </c>
      <c r="X58" s="7">
        <f t="shared" si="21"/>
        <v>0.47348636728147553</v>
      </c>
      <c r="Y58" s="7">
        <f t="shared" si="22"/>
        <v>0</v>
      </c>
      <c r="Z58" s="6"/>
      <c r="AB58">
        <f t="shared" si="23"/>
        <v>2008</v>
      </c>
      <c r="AC58" s="1" t="b">
        <f t="shared" si="24"/>
        <v>0</v>
      </c>
      <c r="AE58" s="1" t="b">
        <f t="shared" si="35"/>
        <v>0</v>
      </c>
      <c r="AF58" s="1" t="b">
        <f t="shared" si="36"/>
        <v>0</v>
      </c>
      <c r="AH58" s="1" t="b">
        <f t="shared" si="31"/>
        <v>0</v>
      </c>
      <c r="AI58" s="39" t="b">
        <f t="shared" si="26"/>
        <v>0</v>
      </c>
      <c r="AJ58" s="1" t="b">
        <f t="shared" si="27"/>
        <v>1</v>
      </c>
      <c r="AL58">
        <f t="shared" si="28"/>
        <v>2008</v>
      </c>
      <c r="AM58" s="2">
        <f t="shared" si="37"/>
        <v>238949.6786982991</v>
      </c>
      <c r="AN58" s="2"/>
      <c r="AO58" s="2">
        <f t="shared" si="33"/>
        <v>0</v>
      </c>
      <c r="AP58" s="2">
        <f t="shared" si="33"/>
        <v>0</v>
      </c>
      <c r="AQ58" s="2"/>
      <c r="AR58" s="2">
        <f t="shared" si="38"/>
        <v>0</v>
      </c>
      <c r="AS58" s="2">
        <f t="shared" si="38"/>
        <v>159299.78579886607</v>
      </c>
      <c r="AT58" s="2">
        <f t="shared" si="29"/>
        <v>398249.46449716517</v>
      </c>
      <c r="AU58" s="2">
        <f t="shared" si="30"/>
        <v>0</v>
      </c>
    </row>
    <row r="59" spans="1:47" x14ac:dyDescent="0.2">
      <c r="A59">
        <f t="shared" si="4"/>
        <v>2009</v>
      </c>
      <c r="B59" s="2">
        <f t="shared" si="39"/>
        <v>302247.44858547853</v>
      </c>
      <c r="C59" s="2"/>
      <c r="D59" s="2">
        <f t="shared" si="34"/>
        <v>0</v>
      </c>
      <c r="E59" s="2">
        <f t="shared" si="34"/>
        <v>0</v>
      </c>
      <c r="F59" s="2"/>
      <c r="G59" s="2">
        <f t="shared" si="32"/>
        <v>0</v>
      </c>
      <c r="H59" s="2">
        <f t="shared" si="14"/>
        <v>168746.26309673881</v>
      </c>
      <c r="I59" s="2">
        <f t="shared" si="15"/>
        <v>470993.71168221731</v>
      </c>
      <c r="J59" s="2">
        <f t="shared" si="16"/>
        <v>72744.24718505214</v>
      </c>
      <c r="K59" s="6">
        <f t="shared" si="17"/>
        <v>0.18265999999999988</v>
      </c>
      <c r="L59" s="7">
        <f t="shared" si="18"/>
        <v>1.1826599999999998</v>
      </c>
      <c r="O59">
        <f t="shared" si="19"/>
        <v>2009</v>
      </c>
      <c r="P59" s="6">
        <f t="shared" si="5"/>
        <v>0.64172289584495967</v>
      </c>
      <c r="Q59" s="7"/>
      <c r="R59" s="6">
        <f t="shared" si="5"/>
        <v>0</v>
      </c>
      <c r="S59" s="6">
        <f t="shared" si="5"/>
        <v>0</v>
      </c>
      <c r="T59" s="7"/>
      <c r="U59" s="6">
        <f t="shared" si="5"/>
        <v>0</v>
      </c>
      <c r="V59" s="6">
        <f t="shared" si="7"/>
        <v>0.35827710415504033</v>
      </c>
      <c r="W59" s="6">
        <f t="shared" si="20"/>
        <v>1</v>
      </c>
      <c r="X59" s="7">
        <f t="shared" si="21"/>
        <v>0.64172289584495967</v>
      </c>
      <c r="Y59" s="7">
        <f t="shared" si="22"/>
        <v>0</v>
      </c>
      <c r="Z59" s="6"/>
      <c r="AA59" s="7">
        <f>SUM(P59:U59)</f>
        <v>0.64172289584495967</v>
      </c>
      <c r="AB59">
        <f t="shared" si="23"/>
        <v>2009</v>
      </c>
      <c r="AC59" s="1" t="b">
        <f t="shared" si="24"/>
        <v>0</v>
      </c>
      <c r="AE59" s="1" t="b">
        <f t="shared" si="35"/>
        <v>0</v>
      </c>
      <c r="AF59" s="1" t="b">
        <f t="shared" si="36"/>
        <v>0</v>
      </c>
      <c r="AH59" s="1" t="b">
        <f t="shared" si="31"/>
        <v>0</v>
      </c>
      <c r="AI59" s="1" t="b">
        <f t="shared" si="26"/>
        <v>0</v>
      </c>
      <c r="AJ59" s="1" t="b">
        <f t="shared" si="27"/>
        <v>1</v>
      </c>
      <c r="AL59">
        <f t="shared" si="28"/>
        <v>2009</v>
      </c>
      <c r="AM59" s="2">
        <f t="shared" si="37"/>
        <v>282596.22700933035</v>
      </c>
      <c r="AN59" s="2"/>
      <c r="AO59" s="2">
        <f t="shared" si="33"/>
        <v>0</v>
      </c>
      <c r="AP59" s="2">
        <f t="shared" si="33"/>
        <v>0</v>
      </c>
      <c r="AQ59" s="2"/>
      <c r="AR59" s="2">
        <f t="shared" si="38"/>
        <v>0</v>
      </c>
      <c r="AS59" s="2">
        <f t="shared" si="38"/>
        <v>188397.48467288693</v>
      </c>
      <c r="AT59" s="2">
        <f t="shared" si="29"/>
        <v>470993.71168221731</v>
      </c>
      <c r="AU59" s="2">
        <f t="shared" si="30"/>
        <v>0</v>
      </c>
    </row>
    <row r="60" spans="1:47" x14ac:dyDescent="0.2">
      <c r="A60">
        <f t="shared" si="4"/>
        <v>2010</v>
      </c>
      <c r="B60" s="2">
        <f t="shared" si="39"/>
        <v>324731.32445642148</v>
      </c>
      <c r="C60" s="2"/>
      <c r="D60" s="2">
        <f t="shared" si="34"/>
        <v>0</v>
      </c>
      <c r="E60" s="2">
        <f t="shared" si="34"/>
        <v>0</v>
      </c>
      <c r="F60" s="2"/>
      <c r="G60" s="2">
        <f t="shared" si="32"/>
        <v>0</v>
      </c>
      <c r="H60" s="2">
        <f t="shared" si="14"/>
        <v>200492.60318888628</v>
      </c>
      <c r="I60" s="2">
        <f t="shared" si="15"/>
        <v>525223.92764530773</v>
      </c>
      <c r="J60" s="2">
        <f t="shared" si="16"/>
        <v>54230.215963090421</v>
      </c>
      <c r="K60" s="6">
        <f t="shared" si="17"/>
        <v>0.11513999999999983</v>
      </c>
      <c r="L60" s="7">
        <f t="shared" si="18"/>
        <v>1.1151399999999998</v>
      </c>
      <c r="O60">
        <f t="shared" si="19"/>
        <v>2010</v>
      </c>
      <c r="P60" s="6">
        <f t="shared" si="5"/>
        <v>0.61827214520149931</v>
      </c>
      <c r="Q60" s="7"/>
      <c r="R60" s="6">
        <f t="shared" si="5"/>
        <v>0</v>
      </c>
      <c r="S60" s="6">
        <f t="shared" si="5"/>
        <v>0</v>
      </c>
      <c r="T60" s="7"/>
      <c r="U60" s="6">
        <f t="shared" si="5"/>
        <v>0</v>
      </c>
      <c r="V60" s="38">
        <f t="shared" si="7"/>
        <v>0.38172785479850074</v>
      </c>
      <c r="W60" s="6">
        <f t="shared" si="20"/>
        <v>1</v>
      </c>
      <c r="X60" s="7">
        <f t="shared" si="21"/>
        <v>0.61827214520149931</v>
      </c>
      <c r="Y60" s="7">
        <f t="shared" si="22"/>
        <v>0</v>
      </c>
      <c r="Z60" s="6"/>
      <c r="AB60">
        <f t="shared" si="23"/>
        <v>2010</v>
      </c>
      <c r="AC60" s="1" t="b">
        <f t="shared" si="24"/>
        <v>0</v>
      </c>
      <c r="AE60" s="1" t="b">
        <f t="shared" si="35"/>
        <v>0</v>
      </c>
      <c r="AF60" s="1" t="b">
        <f t="shared" si="36"/>
        <v>0</v>
      </c>
      <c r="AH60" s="1" t="b">
        <f t="shared" si="31"/>
        <v>0</v>
      </c>
      <c r="AI60" s="39" t="b">
        <f t="shared" si="26"/>
        <v>0</v>
      </c>
      <c r="AJ60" s="1" t="b">
        <f t="shared" si="27"/>
        <v>1</v>
      </c>
      <c r="AL60">
        <f t="shared" si="28"/>
        <v>2010</v>
      </c>
      <c r="AM60" s="2">
        <f t="shared" si="37"/>
        <v>315134.35658718465</v>
      </c>
      <c r="AN60" s="2"/>
      <c r="AO60" s="2">
        <f t="shared" si="33"/>
        <v>0</v>
      </c>
      <c r="AP60" s="2">
        <f t="shared" si="33"/>
        <v>0</v>
      </c>
      <c r="AQ60" s="2"/>
      <c r="AR60" s="2">
        <f t="shared" si="38"/>
        <v>0</v>
      </c>
      <c r="AS60" s="2">
        <f t="shared" si="38"/>
        <v>210089.57105812311</v>
      </c>
      <c r="AT60" s="2">
        <f t="shared" si="29"/>
        <v>525223.92764530773</v>
      </c>
      <c r="AU60" s="2">
        <f t="shared" si="30"/>
        <v>0</v>
      </c>
    </row>
    <row r="61" spans="1:47" x14ac:dyDescent="0.2">
      <c r="A61">
        <f t="shared" si="4"/>
        <v>2011</v>
      </c>
      <c r="B61" s="2">
        <f t="shared" si="39"/>
        <v>321342.50341195223</v>
      </c>
      <c r="C61" s="2"/>
      <c r="D61" s="2">
        <f t="shared" si="34"/>
        <v>0</v>
      </c>
      <c r="E61" s="2">
        <f t="shared" si="34"/>
        <v>0</v>
      </c>
      <c r="F61" s="2"/>
      <c r="G61" s="2">
        <f t="shared" si="32"/>
        <v>0</v>
      </c>
      <c r="H61" s="2">
        <f t="shared" si="14"/>
        <v>225972.34263011723</v>
      </c>
      <c r="I61" s="2">
        <f t="shared" si="15"/>
        <v>547314.84604206949</v>
      </c>
      <c r="J61" s="2">
        <f t="shared" si="16"/>
        <v>22090.918396761757</v>
      </c>
      <c r="K61" s="6">
        <f t="shared" si="17"/>
        <v>4.2060000000000215E-2</v>
      </c>
      <c r="L61" s="7">
        <f t="shared" si="18"/>
        <v>1.0420600000000002</v>
      </c>
      <c r="O61">
        <f t="shared" si="19"/>
        <v>2011</v>
      </c>
      <c r="P61" s="6">
        <f t="shared" si="5"/>
        <v>0.58712550141066733</v>
      </c>
      <c r="Q61" s="7"/>
      <c r="R61" s="6">
        <f t="shared" si="5"/>
        <v>0</v>
      </c>
      <c r="S61" s="6">
        <f t="shared" si="5"/>
        <v>0</v>
      </c>
      <c r="T61" s="7"/>
      <c r="U61" s="6">
        <f t="shared" si="5"/>
        <v>0</v>
      </c>
      <c r="V61" s="6">
        <f t="shared" si="7"/>
        <v>0.41287449858933262</v>
      </c>
      <c r="W61" s="6">
        <f t="shared" si="20"/>
        <v>1</v>
      </c>
      <c r="X61" s="7">
        <f t="shared" si="21"/>
        <v>0.58712550141066733</v>
      </c>
      <c r="Y61" s="7">
        <f t="shared" si="22"/>
        <v>0</v>
      </c>
      <c r="Z61" s="6"/>
      <c r="AB61">
        <f t="shared" si="23"/>
        <v>2011</v>
      </c>
      <c r="AC61" s="1" t="b">
        <f t="shared" si="24"/>
        <v>0</v>
      </c>
      <c r="AE61" s="1" t="b">
        <f t="shared" si="35"/>
        <v>0</v>
      </c>
      <c r="AF61" s="1" t="b">
        <f t="shared" si="36"/>
        <v>0</v>
      </c>
      <c r="AH61" s="1" t="b">
        <f t="shared" si="31"/>
        <v>0</v>
      </c>
      <c r="AI61" s="1" t="b">
        <f t="shared" si="26"/>
        <v>0</v>
      </c>
      <c r="AJ61" s="1" t="b">
        <f t="shared" si="27"/>
        <v>1</v>
      </c>
      <c r="AL61">
        <f t="shared" si="28"/>
        <v>2011</v>
      </c>
      <c r="AM61" s="2">
        <f t="shared" si="37"/>
        <v>328388.90762524167</v>
      </c>
      <c r="AN61" s="2"/>
      <c r="AO61" s="2">
        <f t="shared" si="33"/>
        <v>0</v>
      </c>
      <c r="AP61" s="2">
        <f t="shared" si="33"/>
        <v>0</v>
      </c>
      <c r="AQ61" s="2"/>
      <c r="AR61" s="2">
        <f t="shared" si="38"/>
        <v>0</v>
      </c>
      <c r="AS61" s="2">
        <f t="shared" si="38"/>
        <v>218925.93841682782</v>
      </c>
      <c r="AT61" s="2">
        <f t="shared" si="29"/>
        <v>547314.84604206949</v>
      </c>
      <c r="AU61" s="2">
        <f t="shared" si="30"/>
        <v>0</v>
      </c>
    </row>
    <row r="62" spans="1:47" x14ac:dyDescent="0.2">
      <c r="A62">
        <f t="shared" si="4"/>
        <v>2012</v>
      </c>
      <c r="B62" s="2">
        <f t="shared" si="39"/>
        <v>380340.03281155485</v>
      </c>
      <c r="C62" s="2"/>
      <c r="D62" s="2">
        <f t="shared" si="34"/>
        <v>0</v>
      </c>
      <c r="E62" s="2">
        <f t="shared" si="34"/>
        <v>0</v>
      </c>
      <c r="F62" s="2"/>
      <c r="G62" s="2">
        <f t="shared" si="32"/>
        <v>0</v>
      </c>
      <c r="H62" s="2">
        <f t="shared" si="14"/>
        <v>227792.43892270935</v>
      </c>
      <c r="I62" s="2">
        <f t="shared" si="15"/>
        <v>608132.47173426417</v>
      </c>
      <c r="J62" s="2">
        <f t="shared" si="16"/>
        <v>60817.625692194677</v>
      </c>
      <c r="K62" s="6">
        <f t="shared" si="17"/>
        <v>0.11111999999999984</v>
      </c>
      <c r="L62" s="7">
        <f t="shared" si="18"/>
        <v>1.1111199999999999</v>
      </c>
      <c r="O62">
        <f t="shared" si="19"/>
        <v>2012</v>
      </c>
      <c r="P62" s="6">
        <f t="shared" si="5"/>
        <v>0.62542299661602707</v>
      </c>
      <c r="Q62" s="7"/>
      <c r="R62" s="6">
        <f t="shared" si="5"/>
        <v>0</v>
      </c>
      <c r="S62" s="6">
        <f t="shared" si="5"/>
        <v>0</v>
      </c>
      <c r="T62" s="7"/>
      <c r="U62" s="6">
        <f t="shared" si="5"/>
        <v>0</v>
      </c>
      <c r="V62" s="38">
        <f t="shared" si="7"/>
        <v>0.37457700338397304</v>
      </c>
      <c r="W62" s="6">
        <f t="shared" si="20"/>
        <v>1</v>
      </c>
      <c r="X62" s="7">
        <f t="shared" si="21"/>
        <v>0.62542299661602707</v>
      </c>
      <c r="Y62" s="7">
        <f t="shared" si="22"/>
        <v>0</v>
      </c>
      <c r="Z62" s="6"/>
      <c r="AB62">
        <f t="shared" si="23"/>
        <v>2012</v>
      </c>
      <c r="AC62" s="1" t="b">
        <f t="shared" si="24"/>
        <v>0</v>
      </c>
      <c r="AE62" s="1" t="b">
        <f t="shared" si="35"/>
        <v>0</v>
      </c>
      <c r="AF62" s="1" t="b">
        <f t="shared" si="36"/>
        <v>0</v>
      </c>
      <c r="AH62" s="1" t="b">
        <f t="shared" si="31"/>
        <v>0</v>
      </c>
      <c r="AI62" s="39" t="b">
        <f t="shared" si="26"/>
        <v>0</v>
      </c>
      <c r="AJ62" s="1" t="b">
        <f t="shared" si="27"/>
        <v>1</v>
      </c>
      <c r="AL62">
        <f t="shared" si="28"/>
        <v>2012</v>
      </c>
      <c r="AM62" s="2">
        <f t="shared" si="37"/>
        <v>364879.48304055847</v>
      </c>
      <c r="AN62" s="2"/>
      <c r="AO62" s="2">
        <f t="shared" si="33"/>
        <v>0</v>
      </c>
      <c r="AP62" s="2">
        <f t="shared" si="33"/>
        <v>0</v>
      </c>
      <c r="AQ62" s="2"/>
      <c r="AR62" s="2">
        <f t="shared" si="38"/>
        <v>0</v>
      </c>
      <c r="AS62" s="2">
        <f t="shared" si="38"/>
        <v>243252.98869370567</v>
      </c>
      <c r="AT62" s="2">
        <f t="shared" si="29"/>
        <v>608132.47173426417</v>
      </c>
      <c r="AU62" s="2">
        <f t="shared" si="30"/>
        <v>0</v>
      </c>
    </row>
    <row r="63" spans="1:47" x14ac:dyDescent="0.2">
      <c r="A63">
        <f t="shared" si="4"/>
        <v>2013</v>
      </c>
      <c r="B63" s="2">
        <f t="shared" si="39"/>
        <v>482297.70068301022</v>
      </c>
      <c r="C63" s="2"/>
      <c r="D63" s="2">
        <f t="shared" si="34"/>
        <v>0</v>
      </c>
      <c r="E63" s="2">
        <f t="shared" si="34"/>
        <v>0</v>
      </c>
      <c r="F63" s="2"/>
      <c r="G63" s="2">
        <f t="shared" si="32"/>
        <v>0</v>
      </c>
      <c r="H63" s="2">
        <f t="shared" si="14"/>
        <v>237755.47114922793</v>
      </c>
      <c r="I63" s="2">
        <f t="shared" si="15"/>
        <v>720053.17183223809</v>
      </c>
      <c r="J63" s="2">
        <f t="shared" si="16"/>
        <v>111920.70009797392</v>
      </c>
      <c r="K63" s="6">
        <f t="shared" si="17"/>
        <v>0.18403999999999993</v>
      </c>
      <c r="L63" s="7">
        <f t="shared" si="18"/>
        <v>1.18404</v>
      </c>
      <c r="O63">
        <f t="shared" si="19"/>
        <v>2013</v>
      </c>
      <c r="P63" s="6">
        <f t="shared" si="5"/>
        <v>0.66980845241714815</v>
      </c>
      <c r="Q63" s="7"/>
      <c r="R63" s="6">
        <f t="shared" si="5"/>
        <v>0</v>
      </c>
      <c r="S63" s="6">
        <f t="shared" si="5"/>
        <v>0</v>
      </c>
      <c r="T63" s="7"/>
      <c r="U63" s="6">
        <f t="shared" si="5"/>
        <v>0</v>
      </c>
      <c r="V63" s="6">
        <f t="shared" si="7"/>
        <v>0.33019154758285196</v>
      </c>
      <c r="W63" s="6">
        <f t="shared" si="20"/>
        <v>1</v>
      </c>
      <c r="X63" s="7">
        <f t="shared" si="21"/>
        <v>0.66980845241714815</v>
      </c>
      <c r="Y63" s="7">
        <f t="shared" si="22"/>
        <v>0</v>
      </c>
      <c r="Z63" s="6"/>
      <c r="AB63">
        <f t="shared" si="23"/>
        <v>2013</v>
      </c>
      <c r="AC63" s="1" t="b">
        <f t="shared" si="24"/>
        <v>0</v>
      </c>
      <c r="AE63" s="1" t="b">
        <f t="shared" si="35"/>
        <v>0</v>
      </c>
      <c r="AF63" s="1" t="b">
        <f t="shared" si="36"/>
        <v>0</v>
      </c>
      <c r="AH63" s="1" t="b">
        <f t="shared" si="31"/>
        <v>0</v>
      </c>
      <c r="AI63" s="1" t="b">
        <f t="shared" si="26"/>
        <v>1</v>
      </c>
      <c r="AJ63" s="1" t="b">
        <f t="shared" si="27"/>
        <v>1</v>
      </c>
      <c r="AL63">
        <f t="shared" si="28"/>
        <v>2013</v>
      </c>
      <c r="AM63" s="2">
        <f t="shared" si="37"/>
        <v>432031.90309934283</v>
      </c>
      <c r="AN63" s="2"/>
      <c r="AO63" s="2">
        <f t="shared" si="33"/>
        <v>0</v>
      </c>
      <c r="AP63" s="2">
        <f t="shared" si="33"/>
        <v>0</v>
      </c>
      <c r="AQ63" s="2"/>
      <c r="AR63" s="2">
        <f t="shared" si="38"/>
        <v>0</v>
      </c>
      <c r="AS63" s="2">
        <f t="shared" si="38"/>
        <v>288021.26873289526</v>
      </c>
      <c r="AT63" s="2">
        <f t="shared" si="29"/>
        <v>720053.17183223809</v>
      </c>
      <c r="AU63" s="2">
        <f t="shared" si="30"/>
        <v>0</v>
      </c>
    </row>
    <row r="64" spans="1:47" x14ac:dyDescent="0.2">
      <c r="A64">
        <f t="shared" si="4"/>
        <v>2014</v>
      </c>
      <c r="B64" s="2">
        <f t="shared" si="39"/>
        <v>490399.41320806404</v>
      </c>
      <c r="C64" s="2"/>
      <c r="D64" s="2">
        <f t="shared" si="34"/>
        <v>0</v>
      </c>
      <c r="E64" s="2">
        <f t="shared" si="34"/>
        <v>0</v>
      </c>
      <c r="F64" s="2"/>
      <c r="G64" s="2">
        <f t="shared" si="32"/>
        <v>0</v>
      </c>
      <c r="H64" s="2">
        <f t="shared" si="14"/>
        <v>304611.29381191003</v>
      </c>
      <c r="I64" s="2">
        <f t="shared" si="15"/>
        <v>795010.70701997401</v>
      </c>
      <c r="J64" s="2">
        <f t="shared" si="16"/>
        <v>74957.535187735921</v>
      </c>
      <c r="K64" s="6">
        <f t="shared" si="17"/>
        <v>0.10409999999999991</v>
      </c>
      <c r="L64" s="7">
        <f t="shared" si="18"/>
        <v>1.1040999999999999</v>
      </c>
      <c r="O64">
        <f t="shared" si="19"/>
        <v>2014</v>
      </c>
      <c r="P64" s="6">
        <f t="shared" si="5"/>
        <v>0.61684630015397157</v>
      </c>
      <c r="Q64" s="7"/>
      <c r="R64" s="6">
        <f t="shared" si="5"/>
        <v>0</v>
      </c>
      <c r="S64" s="6">
        <f t="shared" si="5"/>
        <v>0</v>
      </c>
      <c r="T64" s="7"/>
      <c r="U64" s="6">
        <f t="shared" si="5"/>
        <v>0</v>
      </c>
      <c r="V64" s="6">
        <f t="shared" si="7"/>
        <v>0.38315369984602848</v>
      </c>
      <c r="W64" s="6">
        <f t="shared" si="20"/>
        <v>1</v>
      </c>
      <c r="X64" s="7">
        <f t="shared" si="21"/>
        <v>0.61684630015397157</v>
      </c>
      <c r="Y64" s="7">
        <f t="shared" si="22"/>
        <v>0</v>
      </c>
      <c r="Z64" s="6"/>
      <c r="AB64">
        <f t="shared" si="23"/>
        <v>2014</v>
      </c>
      <c r="AC64" s="1" t="b">
        <f t="shared" si="24"/>
        <v>0</v>
      </c>
      <c r="AE64" s="1" t="b">
        <f t="shared" si="35"/>
        <v>0</v>
      </c>
      <c r="AF64" s="1" t="b">
        <f t="shared" si="36"/>
        <v>0</v>
      </c>
      <c r="AH64" s="1" t="b">
        <f t="shared" si="31"/>
        <v>0</v>
      </c>
      <c r="AI64" s="1" t="b">
        <f t="shared" si="26"/>
        <v>0</v>
      </c>
      <c r="AJ64" s="1" t="b">
        <f t="shared" si="27"/>
        <v>1</v>
      </c>
      <c r="AL64">
        <f t="shared" si="28"/>
        <v>2014</v>
      </c>
      <c r="AM64" s="2">
        <f t="shared" si="37"/>
        <v>477006.42421198438</v>
      </c>
      <c r="AN64" s="2"/>
      <c r="AO64" s="2">
        <f t="shared" si="33"/>
        <v>0</v>
      </c>
      <c r="AP64" s="2">
        <f t="shared" si="33"/>
        <v>0</v>
      </c>
      <c r="AQ64" s="2"/>
      <c r="AR64" s="2">
        <f t="shared" si="38"/>
        <v>0</v>
      </c>
      <c r="AS64" s="2">
        <f t="shared" si="38"/>
        <v>318004.28280798963</v>
      </c>
      <c r="AT64" s="2">
        <f t="shared" si="29"/>
        <v>795010.70701997401</v>
      </c>
      <c r="AU64" s="2">
        <f t="shared" si="30"/>
        <v>0</v>
      </c>
    </row>
    <row r="65" spans="1:45" x14ac:dyDescent="0.2">
      <c r="A65" s="9" t="s">
        <v>78</v>
      </c>
      <c r="B65" s="10">
        <f>B64</f>
        <v>490399.41320806404</v>
      </c>
      <c r="C65" s="10"/>
      <c r="D65" s="10">
        <f>D64</f>
        <v>0</v>
      </c>
      <c r="E65" s="10">
        <f>E64</f>
        <v>0</v>
      </c>
      <c r="F65" s="10"/>
      <c r="G65" s="10">
        <f>G64</f>
        <v>0</v>
      </c>
      <c r="H65" s="10">
        <f>H64</f>
        <v>304611.29381191003</v>
      </c>
      <c r="I65" s="10">
        <f>SUM(B65:H65)</f>
        <v>795010.70701997401</v>
      </c>
      <c r="J65" s="10"/>
      <c r="K65" s="10"/>
      <c r="AM65" s="22" t="e">
        <f>#REF!/#REF!</f>
        <v>#REF!</v>
      </c>
      <c r="AO65" s="22"/>
      <c r="AP65" s="22"/>
      <c r="AR65" s="22"/>
      <c r="AS65" s="22" t="e">
        <f>#REF!/#REF!</f>
        <v>#REF!</v>
      </c>
    </row>
    <row r="66" spans="1:45" x14ac:dyDescent="0.2">
      <c r="A66" s="11" t="s">
        <v>79</v>
      </c>
      <c r="I66" s="6">
        <f>(I65-I39)/I39</f>
        <v>6.9501070701997403</v>
      </c>
      <c r="K66" s="6"/>
      <c r="R66" s="7"/>
      <c r="AO66" s="2"/>
    </row>
    <row r="67" spans="1:45" x14ac:dyDescent="0.2">
      <c r="A67" s="1" t="s">
        <v>80</v>
      </c>
      <c r="I67" s="29">
        <f>STDEV(L40:L64)</f>
        <v>0.11233734198386648</v>
      </c>
      <c r="K67" s="30"/>
    </row>
    <row r="68" spans="1:45" x14ac:dyDescent="0.2">
      <c r="A68" s="1" t="s">
        <v>81</v>
      </c>
      <c r="I68" s="13">
        <f>((1+I66)^(1/I73))-1</f>
        <v>8.6462945708716044E-2</v>
      </c>
      <c r="K68" s="30"/>
    </row>
    <row r="69" spans="1:45" x14ac:dyDescent="0.2">
      <c r="A69" s="1" t="s">
        <v>82</v>
      </c>
      <c r="I69" s="31">
        <f>J60</f>
        <v>54230.215963090421</v>
      </c>
    </row>
    <row r="70" spans="1:45" x14ac:dyDescent="0.2">
      <c r="A70" s="1" t="s">
        <v>83</v>
      </c>
      <c r="I70" s="32">
        <f>K60</f>
        <v>0.11513999999999983</v>
      </c>
    </row>
    <row r="71" spans="1:45" x14ac:dyDescent="0.2">
      <c r="A71" s="3" t="s">
        <v>84</v>
      </c>
      <c r="I71" s="33">
        <f>I64-I65</f>
        <v>0</v>
      </c>
    </row>
    <row r="72" spans="1:45" x14ac:dyDescent="0.2">
      <c r="A72" s="3" t="s">
        <v>148</v>
      </c>
      <c r="I72" s="33">
        <f>((SUM(J40:J64))-(I65-I39))</f>
        <v>0</v>
      </c>
    </row>
    <row r="73" spans="1:45" x14ac:dyDescent="0.2">
      <c r="A73" s="3" t="s">
        <v>159</v>
      </c>
      <c r="I73" s="3">
        <f>COUNTA(I40:I64)</f>
        <v>25</v>
      </c>
    </row>
    <row r="74" spans="1:45" x14ac:dyDescent="0.2">
      <c r="A74" s="1" t="s">
        <v>105</v>
      </c>
      <c r="B74" s="63"/>
      <c r="C74" s="63"/>
      <c r="D74" s="63"/>
      <c r="E74" s="63"/>
      <c r="G74" s="63"/>
      <c r="H74" s="63"/>
      <c r="I74" s="85">
        <f>(SUM(B62:G62)/I62)</f>
        <v>0.62542299661602707</v>
      </c>
    </row>
    <row r="75" spans="1:45" x14ac:dyDescent="0.2">
      <c r="A75" s="1" t="s">
        <v>106</v>
      </c>
      <c r="B75" s="63"/>
      <c r="C75" s="63"/>
      <c r="D75" s="63"/>
      <c r="E75" s="63"/>
      <c r="G75" s="63"/>
      <c r="H75" s="63"/>
      <c r="I75" s="85">
        <f>(H62/I62)</f>
        <v>0.37457700338397304</v>
      </c>
    </row>
    <row r="76" spans="1:45" x14ac:dyDescent="0.2">
      <c r="A76" s="3" t="s">
        <v>107</v>
      </c>
      <c r="I76" s="3">
        <f>100%-(I74+I75)</f>
        <v>0</v>
      </c>
    </row>
  </sheetData>
  <pageMargins left="0.7" right="0.7"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33D03-2ACB-46FA-A8F7-9F7E3A635FAB}">
  <dimension ref="A1:Y75"/>
  <sheetViews>
    <sheetView topLeftCell="A57" workbookViewId="0">
      <selection activeCell="D75" sqref="D75"/>
    </sheetView>
  </sheetViews>
  <sheetFormatPr baseColWidth="10" defaultColWidth="8.83203125" defaultRowHeight="15" x14ac:dyDescent="0.2"/>
  <cols>
    <col min="1" max="1" width="25.5" customWidth="1"/>
    <col min="2" max="2" width="11" customWidth="1"/>
    <col min="3" max="4" width="9.33203125" bestFit="1" customWidth="1"/>
    <col min="5" max="5" width="9.5" bestFit="1" customWidth="1"/>
    <col min="7" max="7" width="9.83203125" bestFit="1" customWidth="1"/>
    <col min="8" max="8" width="9.33203125" bestFit="1" customWidth="1"/>
    <col min="9" max="9" width="11.6640625" customWidth="1"/>
    <col min="10" max="10" width="10" bestFit="1" customWidth="1"/>
  </cols>
  <sheetData>
    <row r="1" spans="1:8" x14ac:dyDescent="0.2">
      <c r="A1" s="20" t="s">
        <v>49</v>
      </c>
    </row>
    <row r="2" spans="1:8" x14ac:dyDescent="0.2">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2">
      <c r="A4" s="17">
        <f>'Non-Rebalanced Portfolio'!A4</f>
        <v>1990</v>
      </c>
      <c r="B4" s="17">
        <f>'Non-Rebalanced Portfolio'!B4</f>
        <v>-3.32</v>
      </c>
      <c r="C4" s="17">
        <f>'Non-Rebalanced Portfolio'!C4</f>
        <v>-14.045</v>
      </c>
      <c r="D4" s="17"/>
      <c r="E4" s="17"/>
      <c r="F4" s="17">
        <f>'Non-Rebalanced Portfolio'!F4</f>
        <v>-12.26</v>
      </c>
      <c r="G4" s="17"/>
      <c r="H4" s="17">
        <f>'Non-Rebalanced Portfolio'!H4</f>
        <v>8.65</v>
      </c>
    </row>
    <row r="5" spans="1:8" x14ac:dyDescent="0.2">
      <c r="A5" s="17">
        <f>'Non-Rebalanced Portfolio'!A5</f>
        <v>1991</v>
      </c>
      <c r="B5" s="17">
        <f>'Non-Rebalanced Portfolio'!B5</f>
        <v>30.22</v>
      </c>
      <c r="C5" s="17">
        <f>'Non-Rebalanced Portfolio'!C5</f>
        <v>41.85</v>
      </c>
      <c r="D5" s="17"/>
      <c r="E5" s="17"/>
      <c r="F5" s="17">
        <f>'Non-Rebalanced Portfolio'!F5</f>
        <v>9.9559999999999995</v>
      </c>
      <c r="G5" s="17"/>
      <c r="H5" s="17">
        <f>'Non-Rebalanced Portfolio'!H5</f>
        <v>15.25</v>
      </c>
    </row>
    <row r="6" spans="1:8" x14ac:dyDescent="0.2">
      <c r="A6" s="17">
        <f>'Non-Rebalanced Portfolio'!A6</f>
        <v>1992</v>
      </c>
      <c r="B6" s="17">
        <f>'Non-Rebalanced Portfolio'!B6</f>
        <v>7.42</v>
      </c>
      <c r="C6" s="17">
        <f>'Non-Rebalanced Portfolio'!C6</f>
        <v>12.465999999999999</v>
      </c>
      <c r="D6" s="17"/>
      <c r="E6" s="17"/>
      <c r="F6" s="17">
        <f>'Non-Rebalanced Portfolio'!F6</f>
        <v>-8.7210000000000001</v>
      </c>
      <c r="G6" s="17"/>
      <c r="H6" s="17">
        <f>'Non-Rebalanced Portfolio'!H6</f>
        <v>7.14</v>
      </c>
    </row>
    <row r="7" spans="1:8" x14ac:dyDescent="0.2">
      <c r="A7" s="17">
        <f>'Non-Rebalanced Portfolio'!A7</f>
        <v>1993</v>
      </c>
      <c r="B7" s="17">
        <f>'Non-Rebalanced Portfolio'!B7</f>
        <v>9.89</v>
      </c>
      <c r="C7" s="17">
        <f>'Non-Rebalanced Portfolio'!C7</f>
        <v>14.49</v>
      </c>
      <c r="D7" s="17"/>
      <c r="E7" s="17"/>
      <c r="F7" s="17">
        <f>'Non-Rebalanced Portfolio'!F7</f>
        <v>30.494</v>
      </c>
      <c r="G7" s="17"/>
      <c r="H7" s="17">
        <f>'Non-Rebalanced Portfolio'!H7</f>
        <v>9.68</v>
      </c>
    </row>
    <row r="8" spans="1:8" x14ac:dyDescent="0.2">
      <c r="A8" s="17">
        <f>'Non-Rebalanced Portfolio'!A8</f>
        <v>1994</v>
      </c>
      <c r="B8" s="17">
        <f>'Non-Rebalanced Portfolio'!B8</f>
        <v>1.18</v>
      </c>
      <c r="C8" s="17">
        <f>'Non-Rebalanced Portfolio'!C8</f>
        <v>-1.764</v>
      </c>
      <c r="D8" s="17"/>
      <c r="E8" s="17"/>
      <c r="F8" s="17">
        <f>'Non-Rebalanced Portfolio'!F8</f>
        <v>5.2549999999999999</v>
      </c>
      <c r="G8" s="17"/>
      <c r="H8" s="17">
        <f>'Non-Rebalanced Portfolio'!H8</f>
        <v>-2.66</v>
      </c>
    </row>
    <row r="9" spans="1:8" x14ac:dyDescent="0.2">
      <c r="A9" s="17">
        <f>'Non-Rebalanced Portfolio'!A9</f>
        <v>1995</v>
      </c>
      <c r="B9" s="17">
        <f>'Non-Rebalanced Portfolio'!B9</f>
        <v>37.450000000000003</v>
      </c>
      <c r="C9" s="17">
        <f>'Non-Rebalanced Portfolio'!C9</f>
        <v>33.796999999999997</v>
      </c>
      <c r="D9" s="17"/>
      <c r="E9" s="17"/>
      <c r="F9" s="17">
        <f>'Non-Rebalanced Portfolio'!F9</f>
        <v>9.6460000000000008</v>
      </c>
      <c r="G9" s="17"/>
      <c r="H9" s="17">
        <f>'Non-Rebalanced Portfolio'!H9</f>
        <v>18.18</v>
      </c>
    </row>
    <row r="10" spans="1:8" x14ac:dyDescent="0.2">
      <c r="A10" s="17">
        <f>'Non-Rebalanced Portfolio'!A10</f>
        <v>1996</v>
      </c>
      <c r="B10" s="17">
        <f>'Non-Rebalanced Portfolio'!B10</f>
        <v>22.88</v>
      </c>
      <c r="C10" s="17">
        <f>'Non-Rebalanced Portfolio'!C10</f>
        <v>17.646999999999998</v>
      </c>
      <c r="D10" s="17">
        <f>'Non-Rebalanced Portfolio'!D10</f>
        <v>0</v>
      </c>
      <c r="E10" s="17">
        <f>'Non-Rebalanced Portfolio'!E10</f>
        <v>0</v>
      </c>
      <c r="F10" s="17">
        <f>'Non-Rebalanced Portfolio'!F10</f>
        <v>10.218999999999999</v>
      </c>
      <c r="G10" s="17"/>
      <c r="H10" s="17">
        <f>'Non-Rebalanced Portfolio'!H10</f>
        <v>3.58</v>
      </c>
    </row>
    <row r="11" spans="1:8" x14ac:dyDescent="0.2">
      <c r="A11" s="17">
        <f>'Non-Rebalanced Portfolio'!A11</f>
        <v>1997</v>
      </c>
      <c r="B11" s="17">
        <f>'Non-Rebalanced Portfolio'!B11</f>
        <v>33.19</v>
      </c>
      <c r="C11" s="17">
        <f>'Non-Rebalanced Portfolio'!C11</f>
        <v>26.687000000000001</v>
      </c>
      <c r="D11" s="17">
        <f>'Non-Rebalanced Portfolio'!D11</f>
        <v>0</v>
      </c>
      <c r="E11" s="17">
        <f>'Non-Rebalanced Portfolio'!E11</f>
        <v>0</v>
      </c>
      <c r="F11" s="17">
        <f>'Non-Rebalanced Portfolio'!F11</f>
        <v>0</v>
      </c>
      <c r="G11" s="17"/>
      <c r="H11" s="17">
        <f>'Non-Rebalanced Portfolio'!H11</f>
        <v>9.44</v>
      </c>
    </row>
    <row r="12" spans="1:8" x14ac:dyDescent="0.2">
      <c r="A12" s="17">
        <f>'Non-Rebalanced Portfolio'!A12</f>
        <v>1998</v>
      </c>
      <c r="B12" s="17">
        <f>'Non-Rebalanced Portfolio'!B12</f>
        <v>28.66</v>
      </c>
      <c r="C12" s="17">
        <f>'Non-Rebalanced Portfolio'!C12</f>
        <v>8.3529999999999998</v>
      </c>
      <c r="D12" s="17">
        <f>'Non-Rebalanced Portfolio'!D12</f>
        <v>0</v>
      </c>
      <c r="E12" s="17">
        <f>'Non-Rebalanced Portfolio'!E12</f>
        <v>0</v>
      </c>
      <c r="F12" s="17">
        <f>'Non-Rebalanced Portfolio'!F12</f>
        <v>0</v>
      </c>
      <c r="G12" s="18">
        <f>'Non-Rebalanced Portfolio'!G12</f>
        <v>15.603</v>
      </c>
      <c r="H12" s="17">
        <f>'Non-Rebalanced Portfolio'!H12</f>
        <v>8.58</v>
      </c>
    </row>
    <row r="13" spans="1:8" x14ac:dyDescent="0.2">
      <c r="A13" s="17">
        <f>'Non-Rebalanced Portfolio'!A13</f>
        <v>1999</v>
      </c>
      <c r="B13" s="17">
        <f>'Non-Rebalanced Portfolio'!B13</f>
        <v>21.07</v>
      </c>
      <c r="C13" s="17">
        <f>'Non-Rebalanced Portfolio'!C13</f>
        <v>0</v>
      </c>
      <c r="D13" s="18">
        <f>'Non-Rebalanced Portfolio'!D13</f>
        <v>15.319000000000001</v>
      </c>
      <c r="E13" s="18">
        <f>'Non-Rebalanced Portfolio'!E13</f>
        <v>23.132999999999999</v>
      </c>
      <c r="F13" s="17"/>
      <c r="G13" s="18">
        <f>'Non-Rebalanced Portfolio'!G13</f>
        <v>29.919</v>
      </c>
      <c r="H13" s="17">
        <f>'Non-Rebalanced Portfolio'!H13</f>
        <v>-0.76</v>
      </c>
    </row>
    <row r="14" spans="1:8" x14ac:dyDescent="0.2">
      <c r="A14" s="17">
        <f>'Non-Rebalanced Portfolio'!A14</f>
        <v>2000</v>
      </c>
      <c r="B14" s="17">
        <f>'Non-Rebalanced Portfolio'!B14</f>
        <v>-9.06</v>
      </c>
      <c r="C14" s="17">
        <f>'Non-Rebalanced Portfolio'!C14</f>
        <v>0</v>
      </c>
      <c r="D14" s="17">
        <f>'Non-Rebalanced Portfolio'!D14</f>
        <v>18.097999999999999</v>
      </c>
      <c r="E14" s="17">
        <f>'Non-Rebalanced Portfolio'!E14</f>
        <v>-2.665</v>
      </c>
      <c r="F14" s="17"/>
      <c r="G14" s="17">
        <f>'Non-Rebalanced Portfolio'!G14</f>
        <v>-15.614000000000001</v>
      </c>
      <c r="H14" s="17">
        <f>'Non-Rebalanced Portfolio'!H14</f>
        <v>11.39</v>
      </c>
    </row>
    <row r="15" spans="1:8" x14ac:dyDescent="0.2">
      <c r="A15" s="17">
        <f>'Non-Rebalanced Portfolio'!A15</f>
        <v>2001</v>
      </c>
      <c r="B15" s="17">
        <f>'Non-Rebalanced Portfolio'!B15</f>
        <v>-12.02</v>
      </c>
      <c r="C15" s="17"/>
      <c r="D15" s="17">
        <f>'Non-Rebalanced Portfolio'!D15</f>
        <v>-0.499</v>
      </c>
      <c r="E15" s="17">
        <f>'Non-Rebalanced Portfolio'!E15</f>
        <v>3.1</v>
      </c>
      <c r="F15" s="17"/>
      <c r="G15" s="17">
        <f>'Non-Rebalanced Portfolio'!G15</f>
        <v>-20.152999999999999</v>
      </c>
      <c r="H15" s="17">
        <f>'Non-Rebalanced Portfolio'!H15</f>
        <v>8.43</v>
      </c>
    </row>
    <row r="16" spans="1:8" x14ac:dyDescent="0.2">
      <c r="A16" s="17">
        <f>'Non-Rebalanced Portfolio'!A16</f>
        <v>2002</v>
      </c>
      <c r="B16" s="17">
        <f>'Non-Rebalanced Portfolio'!B16</f>
        <v>-22.15</v>
      </c>
      <c r="C16" s="17"/>
      <c r="D16" s="17">
        <f>'Non-Rebalanced Portfolio'!D16</f>
        <v>-14.608000000000001</v>
      </c>
      <c r="E16" s="17">
        <f>'Non-Rebalanced Portfolio'!E16</f>
        <v>-20.021999999999998</v>
      </c>
      <c r="F16" s="17"/>
      <c r="G16" s="17">
        <f>'Non-Rebalanced Portfolio'!G16</f>
        <v>-15.083</v>
      </c>
      <c r="H16" s="17">
        <f>'Non-Rebalanced Portfolio'!H16</f>
        <v>8.26</v>
      </c>
    </row>
    <row r="17" spans="1:8" x14ac:dyDescent="0.2">
      <c r="A17" s="17">
        <f>'Non-Rebalanced Portfolio'!A17</f>
        <v>2003</v>
      </c>
      <c r="B17" s="17">
        <f>'Non-Rebalanced Portfolio'!B17</f>
        <v>28.5</v>
      </c>
      <c r="C17" s="17"/>
      <c r="D17" s="17">
        <f>'Non-Rebalanced Portfolio'!D17</f>
        <v>34.142000000000003</v>
      </c>
      <c r="E17" s="17">
        <f>'Non-Rebalanced Portfolio'!E17</f>
        <v>45.628</v>
      </c>
      <c r="F17" s="17"/>
      <c r="G17" s="17">
        <f>'Non-Rebalanced Portfolio'!G17</f>
        <v>40.340000000000003</v>
      </c>
      <c r="H17" s="17">
        <f>'Non-Rebalanced Portfolio'!H17</f>
        <v>3.97</v>
      </c>
    </row>
    <row r="18" spans="1:8" x14ac:dyDescent="0.2">
      <c r="A18" s="17">
        <f>'Non-Rebalanced Portfolio'!A18</f>
        <v>2004</v>
      </c>
      <c r="B18" s="17">
        <f>'Non-Rebalanced Portfolio'!B18</f>
        <v>10.74</v>
      </c>
      <c r="C18" s="17"/>
      <c r="D18" s="17">
        <f>'Non-Rebalanced Portfolio'!D18</f>
        <v>20.353000000000002</v>
      </c>
      <c r="E18" s="17">
        <f>'Non-Rebalanced Portfolio'!E18</f>
        <v>19.896999999999998</v>
      </c>
      <c r="F18" s="17"/>
      <c r="G18" s="17">
        <f>'Non-Rebalanced Portfolio'!G18</f>
        <v>20.837</v>
      </c>
      <c r="H18" s="17">
        <f>'Non-Rebalanced Portfolio'!H18</f>
        <v>4.24</v>
      </c>
    </row>
    <row r="19" spans="1:8" x14ac:dyDescent="0.2">
      <c r="A19" s="17">
        <f>'Non-Rebalanced Portfolio'!A19</f>
        <v>2005</v>
      </c>
      <c r="B19" s="17">
        <f>'Non-Rebalanced Portfolio'!B19</f>
        <v>4.7699999999999996</v>
      </c>
      <c r="C19" s="17"/>
      <c r="D19" s="17">
        <f>'Non-Rebalanced Portfolio'!D19</f>
        <v>13.930999999999999</v>
      </c>
      <c r="E19" s="17">
        <f>'Non-Rebalanced Portfolio'!E19</f>
        <v>7.3630000000000004</v>
      </c>
      <c r="F19" s="17"/>
      <c r="G19" s="17">
        <f>'Non-Rebalanced Portfolio'!G19</f>
        <v>15.571</v>
      </c>
      <c r="H19" s="17">
        <f>'Non-Rebalanced Portfolio'!H19</f>
        <v>2.4</v>
      </c>
    </row>
    <row r="20" spans="1:8" x14ac:dyDescent="0.2">
      <c r="A20" s="17">
        <f>'Non-Rebalanced Portfolio'!A20</f>
        <v>2006</v>
      </c>
      <c r="B20" s="17">
        <f>'Non-Rebalanced Portfolio'!B20</f>
        <v>15.64</v>
      </c>
      <c r="C20" s="17"/>
      <c r="D20" s="17">
        <f>'Non-Rebalanced Portfolio'!D20</f>
        <v>13.597</v>
      </c>
      <c r="E20" s="17">
        <f>'Non-Rebalanced Portfolio'!E20</f>
        <v>15.656000000000001</v>
      </c>
      <c r="F20" s="17"/>
      <c r="G20" s="17">
        <f>'Non-Rebalanced Portfolio'!G20</f>
        <v>26.637</v>
      </c>
      <c r="H20" s="17">
        <f>'Non-Rebalanced Portfolio'!H20</f>
        <v>4.2699999999999996</v>
      </c>
    </row>
    <row r="21" spans="1:8" x14ac:dyDescent="0.2">
      <c r="A21" s="17">
        <f>'Non-Rebalanced Portfolio'!A21</f>
        <v>2007</v>
      </c>
      <c r="B21" s="17">
        <f>'Non-Rebalanced Portfolio'!B21</f>
        <v>5.39</v>
      </c>
      <c r="C21" s="17"/>
      <c r="D21" s="17">
        <f>'Non-Rebalanced Portfolio'!D21</f>
        <v>6.0209999999999999</v>
      </c>
      <c r="E21" s="17">
        <f>'Non-Rebalanced Portfolio'!E21</f>
        <v>1.1559999999999999</v>
      </c>
      <c r="F21" s="17"/>
      <c r="G21" s="17">
        <f>'Non-Rebalanced Portfolio'!G21</f>
        <v>15.522</v>
      </c>
      <c r="H21" s="17">
        <f>'Non-Rebalanced Portfolio'!H21</f>
        <v>6.92</v>
      </c>
    </row>
    <row r="22" spans="1:8" x14ac:dyDescent="0.2">
      <c r="A22" s="17">
        <f>'Non-Rebalanced Portfolio'!A22</f>
        <v>2008</v>
      </c>
      <c r="B22" s="17">
        <f>'Non-Rebalanced Portfolio'!B22</f>
        <v>-37.020000000000003</v>
      </c>
      <c r="C22" s="17"/>
      <c r="D22" s="17">
        <f>'Non-Rebalanced Portfolio'!D22</f>
        <v>-41.823999999999998</v>
      </c>
      <c r="E22" s="17">
        <f>'Non-Rebalanced Portfolio'!E22</f>
        <v>-36.07</v>
      </c>
      <c r="F22" s="17"/>
      <c r="G22" s="17">
        <f>'Non-Rebalanced Portfolio'!G22</f>
        <v>-44.100999999999999</v>
      </c>
      <c r="H22" s="17">
        <f>'Non-Rebalanced Portfolio'!H22</f>
        <v>5.05</v>
      </c>
    </row>
    <row r="23" spans="1:8" x14ac:dyDescent="0.2">
      <c r="A23" s="17">
        <f>'Non-Rebalanced Portfolio'!A23</f>
        <v>2009</v>
      </c>
      <c r="B23" s="17">
        <f>'Non-Rebalanced Portfolio'!B23</f>
        <v>26.49</v>
      </c>
      <c r="C23" s="17"/>
      <c r="D23" s="17">
        <f>'Non-Rebalanced Portfolio'!D23</f>
        <v>40.218000000000004</v>
      </c>
      <c r="E23" s="17">
        <f>'Non-Rebalanced Portfolio'!E23</f>
        <v>36.118000000000002</v>
      </c>
      <c r="F23" s="17"/>
      <c r="G23" s="17">
        <f>'Non-Rebalanced Portfolio'!G23</f>
        <v>36.726999999999997</v>
      </c>
      <c r="H23" s="17">
        <f>'Non-Rebalanced Portfolio'!H23</f>
        <v>5.93</v>
      </c>
    </row>
    <row r="24" spans="1:8" x14ac:dyDescent="0.2">
      <c r="A24" s="17">
        <f>'Non-Rebalanced Portfolio'!A24</f>
        <v>2010</v>
      </c>
      <c r="B24" s="17">
        <f>'Non-Rebalanced Portfolio'!B24</f>
        <v>14.91</v>
      </c>
      <c r="C24" s="17"/>
      <c r="D24" s="17">
        <f>'Non-Rebalanced Portfolio'!D24</f>
        <v>25.46</v>
      </c>
      <c r="E24" s="17">
        <f>'Non-Rebalanced Portfolio'!E24</f>
        <v>27.72</v>
      </c>
      <c r="F24" s="17"/>
      <c r="G24" s="17">
        <f>'Non-Rebalanced Portfolio'!G24</f>
        <v>11.12</v>
      </c>
      <c r="H24" s="17">
        <f>'Non-Rebalanced Portfolio'!H24</f>
        <v>6.42</v>
      </c>
    </row>
    <row r="25" spans="1:8" x14ac:dyDescent="0.2">
      <c r="A25" s="17">
        <f>'Non-Rebalanced Portfolio'!A25</f>
        <v>2011</v>
      </c>
      <c r="B25" s="17">
        <f>'Non-Rebalanced Portfolio'!B25</f>
        <v>1.97</v>
      </c>
      <c r="C25" s="17"/>
      <c r="D25" s="17">
        <f>'Non-Rebalanced Portfolio'!D25</f>
        <v>-2.11</v>
      </c>
      <c r="E25" s="17">
        <f>'Non-Rebalanced Portfolio'!E25</f>
        <v>-2.8</v>
      </c>
      <c r="F25" s="17"/>
      <c r="G25" s="17">
        <f>'Non-Rebalanced Portfolio'!G25</f>
        <v>-14.56</v>
      </c>
      <c r="H25" s="17">
        <f>'Non-Rebalanced Portfolio'!H25</f>
        <v>7.56</v>
      </c>
    </row>
    <row r="26" spans="1:8" x14ac:dyDescent="0.2">
      <c r="A26" s="17">
        <f>'Non-Rebalanced Portfolio'!A26</f>
        <v>2012</v>
      </c>
      <c r="B26" s="17">
        <f>'Non-Rebalanced Portfolio'!B26</f>
        <v>15.82</v>
      </c>
      <c r="C26" s="17"/>
      <c r="D26" s="17">
        <f>'Non-Rebalanced Portfolio'!D26</f>
        <v>15.8</v>
      </c>
      <c r="E26" s="17">
        <f>'Non-Rebalanced Portfolio'!E26</f>
        <v>18.04</v>
      </c>
      <c r="F26" s="17"/>
      <c r="G26" s="17">
        <f>'Non-Rebalanced Portfolio'!G26</f>
        <v>18.14</v>
      </c>
      <c r="H26" s="17">
        <f>'Non-Rebalanced Portfolio'!H26</f>
        <v>4.05</v>
      </c>
    </row>
    <row r="27" spans="1:8" x14ac:dyDescent="0.2">
      <c r="A27" s="17">
        <f>'Non-Rebalanced Portfolio'!A27</f>
        <v>2013</v>
      </c>
      <c r="B27" s="17">
        <f>'Non-Rebalanced Portfolio'!B27</f>
        <v>32.18</v>
      </c>
      <c r="C27" s="17"/>
      <c r="D27" s="17">
        <f>'Non-Rebalanced Portfolio'!D27</f>
        <v>35</v>
      </c>
      <c r="E27" s="17">
        <f>'Non-Rebalanced Portfolio'!E27</f>
        <v>37.619999999999997</v>
      </c>
      <c r="F27" s="17"/>
      <c r="G27" s="17">
        <f>'Non-Rebalanced Portfolio'!G27</f>
        <v>15.04</v>
      </c>
      <c r="H27" s="17">
        <f>'Non-Rebalanced Portfolio'!H27</f>
        <v>-2.2599999999999998</v>
      </c>
    </row>
    <row r="28" spans="1:8" x14ac:dyDescent="0.2">
      <c r="A28" s="17">
        <f>'Non-Rebalanced Portfolio'!A28</f>
        <v>2014</v>
      </c>
      <c r="B28" s="17">
        <f>'Non-Rebalanced Portfolio'!B28</f>
        <v>13.51</v>
      </c>
      <c r="C28" s="19"/>
      <c r="D28" s="17">
        <f>'Non-Rebalanced Portfolio'!D28</f>
        <v>13.6</v>
      </c>
      <c r="E28" s="17">
        <f>'Non-Rebalanced Portfolio'!E28</f>
        <v>7.37</v>
      </c>
      <c r="F28" s="19"/>
      <c r="G28" s="17">
        <f>'Non-Rebalanced Portfolio'!G28</f>
        <v>-4.24</v>
      </c>
      <c r="H28" s="17">
        <f>'Non-Rebalanced Portfolio'!H28</f>
        <v>5.76</v>
      </c>
    </row>
    <row r="29" spans="1:8" x14ac:dyDescent="0.2">
      <c r="A29" s="17">
        <f>'Non-Rebalanced Portfolio'!A29</f>
        <v>2015</v>
      </c>
      <c r="B29" s="17">
        <f>'Non-Rebalanced Portfolio'!B29</f>
        <v>1.25</v>
      </c>
      <c r="C29" s="19"/>
      <c r="D29" s="17">
        <f>'Non-Rebalanced Portfolio'!D29</f>
        <v>-1.46</v>
      </c>
      <c r="E29" s="17">
        <f>'Non-Rebalanced Portfolio'!E29</f>
        <v>-3.78</v>
      </c>
      <c r="F29" s="19"/>
      <c r="G29" s="17">
        <f>'Non-Rebalanced Portfolio'!G29</f>
        <v>-4.37</v>
      </c>
      <c r="H29" s="17">
        <f>'Non-Rebalanced Portfolio'!H29</f>
        <v>0.3</v>
      </c>
    </row>
    <row r="30" spans="1:8" x14ac:dyDescent="0.2">
      <c r="A30" s="17">
        <f>'Non-Rebalanced Portfolio'!A30</f>
        <v>2016</v>
      </c>
      <c r="B30" s="17">
        <f>'Non-Rebalanced Portfolio'!B30</f>
        <v>11.82</v>
      </c>
      <c r="C30" s="19"/>
      <c r="D30" s="17">
        <f>'Non-Rebalanced Portfolio'!D30</f>
        <v>11.07</v>
      </c>
      <c r="E30" s="17">
        <f>'Non-Rebalanced Portfolio'!E30</f>
        <v>18.170000000000002</v>
      </c>
      <c r="F30" s="19"/>
      <c r="G30" s="17">
        <f>'Non-Rebalanced Portfolio'!G30</f>
        <v>4.6500000000000004</v>
      </c>
      <c r="H30" s="17">
        <f>'Non-Rebalanced Portfolio'!H30</f>
        <v>2.5</v>
      </c>
    </row>
    <row r="31" spans="1:8" x14ac:dyDescent="0.2">
      <c r="A31" s="17">
        <f>'Non-Rebalanced Portfolio'!A31</f>
        <v>2017</v>
      </c>
      <c r="B31" s="17">
        <f>'Non-Rebalanced Portfolio'!B31</f>
        <v>21.67</v>
      </c>
      <c r="C31" s="19"/>
      <c r="D31" s="17">
        <f>'Non-Rebalanced Portfolio'!D31</f>
        <v>19.600000000000001</v>
      </c>
      <c r="E31" s="17">
        <f>'Non-Rebalanced Portfolio'!E31</f>
        <v>16.100000000000001</v>
      </c>
      <c r="F31" s="19"/>
      <c r="G31" s="17">
        <f>'Non-Rebalanced Portfolio'!G31</f>
        <v>27.4</v>
      </c>
      <c r="H31" s="17">
        <f>'Non-Rebalanced Portfolio'!H31</f>
        <v>3.46</v>
      </c>
    </row>
    <row r="32" spans="1:8" x14ac:dyDescent="0.2">
      <c r="A32" s="17">
        <f>'Non-Rebalanced Portfolio'!A32</f>
        <v>2017</v>
      </c>
      <c r="B32" s="17">
        <f>'Non-Rebalanced Portfolio'!B32</f>
        <v>21.67</v>
      </c>
      <c r="C32" s="19"/>
      <c r="D32" s="17">
        <f>'Non-Rebalanced Portfolio'!D32</f>
        <v>19.600000000000001</v>
      </c>
      <c r="E32" s="17">
        <f>'Non-Rebalanced Portfolio'!E32</f>
        <v>16.100000000000001</v>
      </c>
      <c r="F32" s="19"/>
      <c r="G32" s="17">
        <f>'Non-Rebalanced Portfolio'!G32</f>
        <v>27.4</v>
      </c>
      <c r="H32" s="17">
        <f>'Non-Rebalanced Portfolio'!H32</f>
        <v>3.46</v>
      </c>
    </row>
    <row r="33" spans="1:25" x14ac:dyDescent="0.2">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row>
    <row r="36" spans="1:25" x14ac:dyDescent="0.2">
      <c r="A36" s="20" t="s">
        <v>123</v>
      </c>
      <c r="O36" s="20" t="s">
        <v>130</v>
      </c>
    </row>
    <row r="37" spans="1:25" x14ac:dyDescent="0.2">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76</v>
      </c>
      <c r="K37" s="5" t="s">
        <v>73</v>
      </c>
      <c r="L37" s="5" t="s">
        <v>74</v>
      </c>
      <c r="P37" s="4" t="str">
        <f>B37</f>
        <v>LC Stocks</v>
      </c>
      <c r="Q37" s="4" t="str">
        <f t="shared" ref="Q37:V38" si="1">C37</f>
        <v>Ext Mkt</v>
      </c>
      <c r="R37" s="4" t="str">
        <f t="shared" si="1"/>
        <v>Mcap Stk</v>
      </c>
      <c r="S37" s="4" t="str">
        <f t="shared" si="1"/>
        <v>Small Cap</v>
      </c>
      <c r="T37" s="4" t="str">
        <f t="shared" si="1"/>
        <v>Intl Val</v>
      </c>
      <c r="U37" s="4" t="str">
        <f t="shared" si="1"/>
        <v>Tot Int Stk</v>
      </c>
      <c r="V37" s="4" t="str">
        <f t="shared" si="1"/>
        <v>Bonds</v>
      </c>
      <c r="W37" s="5"/>
      <c r="X37" s="5" t="s">
        <v>111</v>
      </c>
      <c r="Y37" s="3" t="s">
        <v>112</v>
      </c>
    </row>
    <row r="38" spans="1:25" x14ac:dyDescent="0.2">
      <c r="A38" t="s">
        <v>72</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70</v>
      </c>
      <c r="J38" s="5" t="s">
        <v>77</v>
      </c>
      <c r="K38" s="5" t="s">
        <v>75</v>
      </c>
      <c r="L38" s="5" t="s">
        <v>75</v>
      </c>
      <c r="O38" t="s">
        <v>72</v>
      </c>
      <c r="P38" s="4" t="str">
        <f>B38</f>
        <v>VFINX</v>
      </c>
      <c r="Q38" s="4" t="str">
        <f t="shared" si="1"/>
        <v>VEXMX</v>
      </c>
      <c r="R38" s="4" t="str">
        <f t="shared" si="1"/>
        <v>VIMSX</v>
      </c>
      <c r="S38" s="4" t="str">
        <f t="shared" si="1"/>
        <v>NAESX</v>
      </c>
      <c r="T38" s="4" t="str">
        <f t="shared" si="1"/>
        <v>VTRIX</v>
      </c>
      <c r="U38" s="4" t="str">
        <f t="shared" si="1"/>
        <v>VGTSX</v>
      </c>
      <c r="V38" s="4" t="str">
        <f t="shared" si="1"/>
        <v>VBMFX</v>
      </c>
      <c r="W38" s="5" t="s">
        <v>70</v>
      </c>
      <c r="X38" s="5" t="s">
        <v>112</v>
      </c>
      <c r="Y38" s="3" t="s">
        <v>87</v>
      </c>
    </row>
    <row r="39" spans="1:25" x14ac:dyDescent="0.2">
      <c r="A39" t="s">
        <v>71</v>
      </c>
      <c r="B39" s="31">
        <v>100000</v>
      </c>
      <c r="C39" s="31">
        <v>0</v>
      </c>
      <c r="F39" s="31">
        <v>0</v>
      </c>
      <c r="H39" s="31">
        <v>0</v>
      </c>
      <c r="I39" s="2">
        <f>SUM(B39:H39)</f>
        <v>100000</v>
      </c>
      <c r="O39" s="21" t="s">
        <v>86</v>
      </c>
      <c r="P39" s="22">
        <f>B39/$I39</f>
        <v>1</v>
      </c>
      <c r="Q39" s="22">
        <f>C39/$I39</f>
        <v>0</v>
      </c>
      <c r="R39" s="23">
        <v>0</v>
      </c>
      <c r="S39" s="23">
        <v>0</v>
      </c>
      <c r="T39" s="22">
        <f>F39/$I39</f>
        <v>0</v>
      </c>
      <c r="U39" s="23">
        <v>0</v>
      </c>
      <c r="V39" s="22">
        <f>H39/$I39</f>
        <v>0</v>
      </c>
      <c r="W39" s="6">
        <f>I39/$I39</f>
        <v>1</v>
      </c>
      <c r="X39" s="24"/>
    </row>
    <row r="40" spans="1:25" x14ac:dyDescent="0.2">
      <c r="A40">
        <f t="shared" ref="A40:A64" si="2">A4</f>
        <v>1990</v>
      </c>
      <c r="B40" s="2">
        <f t="shared" ref="B40:C55" si="3">B39*(1+(B4/100))</f>
        <v>96680</v>
      </c>
      <c r="C40" s="2">
        <f t="shared" si="3"/>
        <v>0</v>
      </c>
      <c r="D40" s="2"/>
      <c r="E40" s="2"/>
      <c r="F40" s="2">
        <f t="shared" ref="F40:F48" si="4">F39*(1+(F4/100))</f>
        <v>0</v>
      </c>
      <c r="G40" s="2"/>
      <c r="H40" s="2">
        <f t="shared" ref="H40:H64" si="5">H39*(1+(H4/100))</f>
        <v>0</v>
      </c>
      <c r="I40" s="2">
        <f>SUM(B40:H40)</f>
        <v>96680</v>
      </c>
      <c r="J40" s="2">
        <f>I40-I39</f>
        <v>-3320</v>
      </c>
      <c r="K40" s="6">
        <f>(J40/I39)</f>
        <v>-3.32E-2</v>
      </c>
      <c r="L40" s="7">
        <f>K40+1</f>
        <v>0.96679999999999999</v>
      </c>
      <c r="O40">
        <f>A40</f>
        <v>1990</v>
      </c>
      <c r="P40" s="6">
        <f t="shared" ref="P40:U64" si="6">B40/$I40</f>
        <v>1</v>
      </c>
      <c r="Q40" s="6">
        <f t="shared" si="6"/>
        <v>0</v>
      </c>
      <c r="R40" s="7"/>
      <c r="S40" s="7"/>
      <c r="T40" s="6">
        <f t="shared" ref="T40:T48" si="7">F40/$I40</f>
        <v>0</v>
      </c>
      <c r="U40" s="7"/>
      <c r="V40" s="6">
        <f t="shared" ref="V40:V64" si="8">H40/$I40</f>
        <v>0</v>
      </c>
      <c r="W40" s="6">
        <f>SUM(P40:V40)</f>
        <v>1</v>
      </c>
      <c r="X40" s="7">
        <f>SUM(P40:U40)</f>
        <v>1</v>
      </c>
      <c r="Y40" s="7">
        <f>W40-(X40+V40)</f>
        <v>0</v>
      </c>
    </row>
    <row r="41" spans="1:25" x14ac:dyDescent="0.2">
      <c r="A41">
        <f t="shared" si="2"/>
        <v>1991</v>
      </c>
      <c r="B41" s="2">
        <f t="shared" si="3"/>
        <v>125896.696</v>
      </c>
      <c r="C41" s="2">
        <f t="shared" si="3"/>
        <v>0</v>
      </c>
      <c r="D41" s="2"/>
      <c r="E41" s="2"/>
      <c r="F41" s="2">
        <f t="shared" si="4"/>
        <v>0</v>
      </c>
      <c r="G41" s="2"/>
      <c r="H41" s="2">
        <f t="shared" si="5"/>
        <v>0</v>
      </c>
      <c r="I41" s="2">
        <f t="shared" ref="I41:I48" si="9">SUM(B41:H41)</f>
        <v>125896.696</v>
      </c>
      <c r="J41" s="2">
        <f t="shared" ref="J41:J64" si="10">I41-I40</f>
        <v>29216.695999999996</v>
      </c>
      <c r="K41" s="6">
        <f t="shared" ref="K41:K64" si="11">(J41/I40)</f>
        <v>0.30219999999999997</v>
      </c>
      <c r="L41" s="7">
        <f t="shared" ref="L41:L64" si="12">K41+1</f>
        <v>1.3022</v>
      </c>
      <c r="O41">
        <f t="shared" ref="O41:O64" si="13">A41</f>
        <v>1991</v>
      </c>
      <c r="P41" s="6">
        <f t="shared" si="6"/>
        <v>1</v>
      </c>
      <c r="Q41" s="6">
        <f t="shared" si="6"/>
        <v>0</v>
      </c>
      <c r="R41" s="7"/>
      <c r="S41" s="7"/>
      <c r="T41" s="6">
        <f t="shared" si="7"/>
        <v>0</v>
      </c>
      <c r="U41" s="7"/>
      <c r="V41" s="6">
        <f t="shared" si="8"/>
        <v>0</v>
      </c>
      <c r="W41" s="6">
        <f t="shared" ref="W41:W64" si="14">SUM(P41:V41)</f>
        <v>1</v>
      </c>
      <c r="X41" s="7">
        <f t="shared" ref="X41:X64" si="15">SUM(P41:U41)</f>
        <v>1</v>
      </c>
      <c r="Y41" s="7">
        <f t="shared" ref="Y41:Y64" si="16">W41-(X41+V41)</f>
        <v>0</v>
      </c>
    </row>
    <row r="42" spans="1:25" x14ac:dyDescent="0.2">
      <c r="A42">
        <f t="shared" si="2"/>
        <v>1992</v>
      </c>
      <c r="B42" s="2">
        <f t="shared" si="3"/>
        <v>135238.2308432</v>
      </c>
      <c r="C42" s="2">
        <f t="shared" si="3"/>
        <v>0</v>
      </c>
      <c r="D42" s="2"/>
      <c r="E42" s="2"/>
      <c r="F42" s="2">
        <f t="shared" si="4"/>
        <v>0</v>
      </c>
      <c r="G42" s="2"/>
      <c r="H42" s="2">
        <f t="shared" si="5"/>
        <v>0</v>
      </c>
      <c r="I42" s="2">
        <f t="shared" si="9"/>
        <v>135238.2308432</v>
      </c>
      <c r="J42" s="2">
        <f t="shared" si="10"/>
        <v>9341.5348432000028</v>
      </c>
      <c r="K42" s="6">
        <f t="shared" si="11"/>
        <v>7.420000000000003E-2</v>
      </c>
      <c r="L42" s="7">
        <f t="shared" si="12"/>
        <v>1.0742</v>
      </c>
      <c r="O42">
        <f t="shared" si="13"/>
        <v>1992</v>
      </c>
      <c r="P42" s="6">
        <f t="shared" si="6"/>
        <v>1</v>
      </c>
      <c r="Q42" s="6">
        <f t="shared" si="6"/>
        <v>0</v>
      </c>
      <c r="R42" s="7"/>
      <c r="S42" s="7"/>
      <c r="T42" s="6">
        <f t="shared" si="7"/>
        <v>0</v>
      </c>
      <c r="U42" s="7"/>
      <c r="V42" s="6">
        <f t="shared" si="8"/>
        <v>0</v>
      </c>
      <c r="W42" s="6">
        <f t="shared" si="14"/>
        <v>1</v>
      </c>
      <c r="X42" s="7">
        <f t="shared" si="15"/>
        <v>1</v>
      </c>
      <c r="Y42" s="7">
        <f t="shared" si="16"/>
        <v>0</v>
      </c>
    </row>
    <row r="43" spans="1:25" x14ac:dyDescent="0.2">
      <c r="A43">
        <f t="shared" si="2"/>
        <v>1993</v>
      </c>
      <c r="B43" s="2">
        <f t="shared" si="3"/>
        <v>148613.29187359248</v>
      </c>
      <c r="C43" s="2">
        <f t="shared" si="3"/>
        <v>0</v>
      </c>
      <c r="D43" s="2"/>
      <c r="E43" s="2"/>
      <c r="F43" s="2">
        <f t="shared" si="4"/>
        <v>0</v>
      </c>
      <c r="G43" s="2"/>
      <c r="H43" s="2">
        <f t="shared" si="5"/>
        <v>0</v>
      </c>
      <c r="I43" s="2">
        <f t="shared" si="9"/>
        <v>148613.29187359248</v>
      </c>
      <c r="J43" s="2">
        <f t="shared" si="10"/>
        <v>13375.061030392477</v>
      </c>
      <c r="K43" s="6">
        <f t="shared" si="11"/>
        <v>9.8899999999999974E-2</v>
      </c>
      <c r="L43" s="7">
        <f t="shared" si="12"/>
        <v>1.0989</v>
      </c>
      <c r="O43">
        <f t="shared" si="13"/>
        <v>1993</v>
      </c>
      <c r="P43" s="6">
        <f t="shared" si="6"/>
        <v>1</v>
      </c>
      <c r="Q43" s="6">
        <f t="shared" si="6"/>
        <v>0</v>
      </c>
      <c r="R43" s="7"/>
      <c r="S43" s="7"/>
      <c r="T43" s="6">
        <f t="shared" si="7"/>
        <v>0</v>
      </c>
      <c r="U43" s="7"/>
      <c r="V43" s="6">
        <f t="shared" si="8"/>
        <v>0</v>
      </c>
      <c r="W43" s="6">
        <f t="shared" si="14"/>
        <v>1</v>
      </c>
      <c r="X43" s="7">
        <f t="shared" si="15"/>
        <v>1</v>
      </c>
      <c r="Y43" s="7">
        <f t="shared" si="16"/>
        <v>0</v>
      </c>
    </row>
    <row r="44" spans="1:25" x14ac:dyDescent="0.2">
      <c r="A44">
        <f t="shared" si="2"/>
        <v>1994</v>
      </c>
      <c r="B44" s="2">
        <f t="shared" si="3"/>
        <v>150366.92871770088</v>
      </c>
      <c r="C44" s="2">
        <f t="shared" si="3"/>
        <v>0</v>
      </c>
      <c r="D44" s="2"/>
      <c r="E44" s="2"/>
      <c r="F44" s="2">
        <f t="shared" si="4"/>
        <v>0</v>
      </c>
      <c r="G44" s="2"/>
      <c r="H44" s="2">
        <f t="shared" si="5"/>
        <v>0</v>
      </c>
      <c r="I44" s="2">
        <f t="shared" si="9"/>
        <v>150366.92871770088</v>
      </c>
      <c r="J44" s="2">
        <f t="shared" si="10"/>
        <v>1753.6368441084051</v>
      </c>
      <c r="K44" s="6">
        <f t="shared" si="11"/>
        <v>1.1800000000000093E-2</v>
      </c>
      <c r="L44" s="7">
        <f t="shared" si="12"/>
        <v>1.0118</v>
      </c>
      <c r="O44">
        <f t="shared" si="13"/>
        <v>1994</v>
      </c>
      <c r="P44" s="6">
        <f t="shared" si="6"/>
        <v>1</v>
      </c>
      <c r="Q44" s="6">
        <f t="shared" si="6"/>
        <v>0</v>
      </c>
      <c r="R44" s="7"/>
      <c r="S44" s="7"/>
      <c r="T44" s="6">
        <f t="shared" si="7"/>
        <v>0</v>
      </c>
      <c r="U44" s="7"/>
      <c r="V44" s="6">
        <f t="shared" si="8"/>
        <v>0</v>
      </c>
      <c r="W44" s="6">
        <f t="shared" si="14"/>
        <v>1</v>
      </c>
      <c r="X44" s="7">
        <f t="shared" si="15"/>
        <v>1</v>
      </c>
      <c r="Y44" s="7">
        <f t="shared" si="16"/>
        <v>0</v>
      </c>
    </row>
    <row r="45" spans="1:25" x14ac:dyDescent="0.2">
      <c r="A45">
        <f t="shared" si="2"/>
        <v>1995</v>
      </c>
      <c r="B45" s="2">
        <f t="shared" si="3"/>
        <v>206679.34352247987</v>
      </c>
      <c r="C45" s="2">
        <f t="shared" si="3"/>
        <v>0</v>
      </c>
      <c r="D45" s="2"/>
      <c r="E45" s="2"/>
      <c r="F45" s="2">
        <f t="shared" si="4"/>
        <v>0</v>
      </c>
      <c r="G45" s="2"/>
      <c r="H45" s="2">
        <f t="shared" si="5"/>
        <v>0</v>
      </c>
      <c r="I45" s="2">
        <f t="shared" si="9"/>
        <v>206679.34352247987</v>
      </c>
      <c r="J45" s="2">
        <f t="shared" si="10"/>
        <v>56312.414804778993</v>
      </c>
      <c r="K45" s="6">
        <f t="shared" si="11"/>
        <v>0.37450000000000011</v>
      </c>
      <c r="L45" s="7">
        <f t="shared" si="12"/>
        <v>1.3745000000000001</v>
      </c>
      <c r="O45">
        <f t="shared" si="13"/>
        <v>1995</v>
      </c>
      <c r="P45" s="6">
        <f t="shared" si="6"/>
        <v>1</v>
      </c>
      <c r="Q45" s="6">
        <f t="shared" si="6"/>
        <v>0</v>
      </c>
      <c r="R45" s="7"/>
      <c r="S45" s="7"/>
      <c r="T45" s="6">
        <f t="shared" si="7"/>
        <v>0</v>
      </c>
      <c r="U45" s="7"/>
      <c r="V45" s="6">
        <f t="shared" si="8"/>
        <v>0</v>
      </c>
      <c r="W45" s="6">
        <f t="shared" si="14"/>
        <v>1</v>
      </c>
      <c r="X45" s="7">
        <f t="shared" si="15"/>
        <v>1</v>
      </c>
      <c r="Y45" s="7">
        <f t="shared" si="16"/>
        <v>0</v>
      </c>
    </row>
    <row r="46" spans="1:25" x14ac:dyDescent="0.2">
      <c r="A46">
        <f t="shared" si="2"/>
        <v>1996</v>
      </c>
      <c r="B46" s="2">
        <f t="shared" si="3"/>
        <v>253967.5773204233</v>
      </c>
      <c r="C46" s="2">
        <f t="shared" si="3"/>
        <v>0</v>
      </c>
      <c r="D46" s="2"/>
      <c r="E46" s="2"/>
      <c r="F46" s="2">
        <f t="shared" si="4"/>
        <v>0</v>
      </c>
      <c r="G46" s="2"/>
      <c r="H46" s="2">
        <f t="shared" si="5"/>
        <v>0</v>
      </c>
      <c r="I46" s="2">
        <f t="shared" si="9"/>
        <v>253967.5773204233</v>
      </c>
      <c r="J46" s="2">
        <f t="shared" si="10"/>
        <v>47288.233797943423</v>
      </c>
      <c r="K46" s="6">
        <f t="shared" si="11"/>
        <v>0.22880000000000014</v>
      </c>
      <c r="L46" s="7">
        <f t="shared" si="12"/>
        <v>1.2288000000000001</v>
      </c>
      <c r="O46">
        <f t="shared" si="13"/>
        <v>1996</v>
      </c>
      <c r="P46" s="6">
        <f t="shared" si="6"/>
        <v>1</v>
      </c>
      <c r="Q46" s="6">
        <f t="shared" si="6"/>
        <v>0</v>
      </c>
      <c r="R46" s="7"/>
      <c r="S46" s="7"/>
      <c r="T46" s="6">
        <f t="shared" si="7"/>
        <v>0</v>
      </c>
      <c r="U46" s="7"/>
      <c r="V46" s="6">
        <f t="shared" si="8"/>
        <v>0</v>
      </c>
      <c r="W46" s="6">
        <f t="shared" si="14"/>
        <v>1</v>
      </c>
      <c r="X46" s="7">
        <f t="shared" si="15"/>
        <v>1</v>
      </c>
      <c r="Y46" s="7">
        <f t="shared" si="16"/>
        <v>0</v>
      </c>
    </row>
    <row r="47" spans="1:25" x14ac:dyDescent="0.2">
      <c r="A47">
        <f t="shared" si="2"/>
        <v>1997</v>
      </c>
      <c r="B47" s="2">
        <f t="shared" si="3"/>
        <v>338259.41623307182</v>
      </c>
      <c r="C47" s="2">
        <f t="shared" si="3"/>
        <v>0</v>
      </c>
      <c r="D47" s="2"/>
      <c r="E47" s="2"/>
      <c r="F47" s="2">
        <f t="shared" si="4"/>
        <v>0</v>
      </c>
      <c r="G47" s="2"/>
      <c r="H47" s="2">
        <f t="shared" si="5"/>
        <v>0</v>
      </c>
      <c r="I47" s="2">
        <f t="shared" si="9"/>
        <v>338259.41623307182</v>
      </c>
      <c r="J47" s="2">
        <f t="shared" si="10"/>
        <v>84291.838912648527</v>
      </c>
      <c r="K47" s="6">
        <f t="shared" si="11"/>
        <v>0.33190000000000014</v>
      </c>
      <c r="L47" s="7">
        <f t="shared" si="12"/>
        <v>1.3319000000000001</v>
      </c>
      <c r="O47">
        <f t="shared" si="13"/>
        <v>1997</v>
      </c>
      <c r="P47" s="6">
        <f t="shared" si="6"/>
        <v>1</v>
      </c>
      <c r="Q47" s="6">
        <f t="shared" si="6"/>
        <v>0</v>
      </c>
      <c r="R47" s="7"/>
      <c r="S47" s="7"/>
      <c r="T47" s="6">
        <f t="shared" si="7"/>
        <v>0</v>
      </c>
      <c r="U47" s="7"/>
      <c r="V47" s="6">
        <f t="shared" si="8"/>
        <v>0</v>
      </c>
      <c r="W47" s="6">
        <f t="shared" si="14"/>
        <v>1</v>
      </c>
      <c r="X47" s="7">
        <f t="shared" si="15"/>
        <v>1</v>
      </c>
      <c r="Y47" s="7">
        <f t="shared" si="16"/>
        <v>0</v>
      </c>
    </row>
    <row r="48" spans="1:25" x14ac:dyDescent="0.2">
      <c r="A48">
        <f t="shared" si="2"/>
        <v>1998</v>
      </c>
      <c r="B48" s="2">
        <f t="shared" si="3"/>
        <v>435204.56492547021</v>
      </c>
      <c r="C48" s="2">
        <f t="shared" si="3"/>
        <v>0</v>
      </c>
      <c r="D48" s="2"/>
      <c r="E48" s="2"/>
      <c r="F48" s="2">
        <f t="shared" si="4"/>
        <v>0</v>
      </c>
      <c r="G48" s="2"/>
      <c r="H48" s="2">
        <f t="shared" si="5"/>
        <v>0</v>
      </c>
      <c r="I48" s="2">
        <f t="shared" si="9"/>
        <v>435204.56492547021</v>
      </c>
      <c r="J48" s="2">
        <f t="shared" si="10"/>
        <v>96945.14869239839</v>
      </c>
      <c r="K48" s="6">
        <f t="shared" si="11"/>
        <v>0.28660000000000002</v>
      </c>
      <c r="L48" s="7">
        <f t="shared" si="12"/>
        <v>1.2866</v>
      </c>
      <c r="O48">
        <f t="shared" si="13"/>
        <v>1998</v>
      </c>
      <c r="P48" s="6">
        <f t="shared" si="6"/>
        <v>1</v>
      </c>
      <c r="Q48" s="6">
        <f t="shared" si="6"/>
        <v>0</v>
      </c>
      <c r="R48" s="7"/>
      <c r="S48" s="7"/>
      <c r="T48" s="6">
        <f t="shared" si="7"/>
        <v>0</v>
      </c>
      <c r="U48" s="6"/>
      <c r="V48" s="6">
        <f t="shared" si="8"/>
        <v>0</v>
      </c>
      <c r="W48" s="6">
        <f t="shared" si="14"/>
        <v>1</v>
      </c>
      <c r="X48" s="7">
        <f t="shared" si="15"/>
        <v>1</v>
      </c>
      <c r="Y48" s="7">
        <f t="shared" si="16"/>
        <v>0</v>
      </c>
    </row>
    <row r="49" spans="1:25" x14ac:dyDescent="0.2">
      <c r="A49">
        <f t="shared" si="2"/>
        <v>1999</v>
      </c>
      <c r="B49" s="2">
        <f t="shared" si="3"/>
        <v>526902.16675526684</v>
      </c>
      <c r="C49" s="2">
        <f t="shared" si="3"/>
        <v>0</v>
      </c>
      <c r="D49" s="2"/>
      <c r="E49" s="2"/>
      <c r="F49" s="2"/>
      <c r="G49" s="2">
        <f>F48*(1+(G13/100))</f>
        <v>0</v>
      </c>
      <c r="H49" s="2">
        <f t="shared" si="5"/>
        <v>0</v>
      </c>
      <c r="I49" s="2">
        <f t="shared" ref="I49:I64" si="17">SUM(B49:H49)</f>
        <v>526902.16675526684</v>
      </c>
      <c r="J49" s="2">
        <f t="shared" si="10"/>
        <v>91697.601829796622</v>
      </c>
      <c r="K49" s="6">
        <f t="shared" si="11"/>
        <v>0.21070000000000011</v>
      </c>
      <c r="L49" s="7">
        <f t="shared" si="12"/>
        <v>1.2107000000000001</v>
      </c>
      <c r="O49">
        <f t="shared" si="13"/>
        <v>1999</v>
      </c>
      <c r="P49" s="6">
        <f t="shared" si="6"/>
        <v>1</v>
      </c>
      <c r="Q49" s="6">
        <f t="shared" si="6"/>
        <v>0</v>
      </c>
      <c r="R49" s="7"/>
      <c r="S49" s="7"/>
      <c r="T49" s="6"/>
      <c r="U49" s="6">
        <f t="shared" si="6"/>
        <v>0</v>
      </c>
      <c r="V49" s="6">
        <f t="shared" si="8"/>
        <v>0</v>
      </c>
      <c r="W49" s="6">
        <f t="shared" si="14"/>
        <v>1</v>
      </c>
      <c r="X49" s="7">
        <f t="shared" si="15"/>
        <v>1</v>
      </c>
      <c r="Y49" s="7">
        <f t="shared" si="16"/>
        <v>0</v>
      </c>
    </row>
    <row r="50" spans="1:25" x14ac:dyDescent="0.2">
      <c r="A50">
        <f t="shared" si="2"/>
        <v>2000</v>
      </c>
      <c r="B50" s="2">
        <f t="shared" si="3"/>
        <v>479164.83044723963</v>
      </c>
      <c r="C50" s="2">
        <f t="shared" si="3"/>
        <v>0</v>
      </c>
      <c r="D50" s="2"/>
      <c r="E50" s="2"/>
      <c r="F50" s="2"/>
      <c r="G50" s="2">
        <f t="shared" ref="G50:G64" si="18">G49*(1+(G14/100))</f>
        <v>0</v>
      </c>
      <c r="H50" s="2">
        <f t="shared" si="5"/>
        <v>0</v>
      </c>
      <c r="I50" s="2">
        <f t="shared" si="17"/>
        <v>479164.83044723963</v>
      </c>
      <c r="J50" s="2">
        <f t="shared" si="10"/>
        <v>-47737.33630802721</v>
      </c>
      <c r="K50" s="6">
        <f t="shared" si="11"/>
        <v>-9.0600000000000069E-2</v>
      </c>
      <c r="L50" s="7">
        <f t="shared" si="12"/>
        <v>0.90939999999999999</v>
      </c>
      <c r="O50">
        <f t="shared" si="13"/>
        <v>2000</v>
      </c>
      <c r="P50" s="6">
        <f t="shared" si="6"/>
        <v>1</v>
      </c>
      <c r="Q50" s="6">
        <f t="shared" si="6"/>
        <v>0</v>
      </c>
      <c r="R50" s="7"/>
      <c r="S50" s="7"/>
      <c r="T50" s="7"/>
      <c r="U50" s="6">
        <f t="shared" si="6"/>
        <v>0</v>
      </c>
      <c r="V50" s="6">
        <f t="shared" si="8"/>
        <v>0</v>
      </c>
      <c r="W50" s="6">
        <f t="shared" si="14"/>
        <v>1</v>
      </c>
      <c r="X50" s="7">
        <f t="shared" si="15"/>
        <v>1</v>
      </c>
      <c r="Y50" s="7">
        <f t="shared" si="16"/>
        <v>0</v>
      </c>
    </row>
    <row r="51" spans="1:25" x14ac:dyDescent="0.2">
      <c r="A51">
        <f t="shared" si="2"/>
        <v>2001</v>
      </c>
      <c r="B51" s="2">
        <f t="shared" si="3"/>
        <v>421569.21782748145</v>
      </c>
      <c r="C51" s="2"/>
      <c r="D51" s="2">
        <f>($C50*0.67)*(1+(D15/100))</f>
        <v>0</v>
      </c>
      <c r="E51" s="2">
        <f>($C50*0.33)*(1+(E15/100))</f>
        <v>0</v>
      </c>
      <c r="F51" s="2"/>
      <c r="G51" s="2">
        <f t="shared" si="18"/>
        <v>0</v>
      </c>
      <c r="H51" s="2">
        <f t="shared" si="5"/>
        <v>0</v>
      </c>
      <c r="I51" s="2">
        <f t="shared" si="17"/>
        <v>421569.21782748145</v>
      </c>
      <c r="J51" s="2">
        <f t="shared" si="10"/>
        <v>-57595.612619758176</v>
      </c>
      <c r="K51" s="6">
        <f t="shared" si="11"/>
        <v>-0.12019999999999995</v>
      </c>
      <c r="L51" s="7">
        <f t="shared" si="12"/>
        <v>0.87980000000000003</v>
      </c>
      <c r="O51">
        <f t="shared" si="13"/>
        <v>2001</v>
      </c>
      <c r="P51" s="6">
        <f t="shared" si="6"/>
        <v>1</v>
      </c>
      <c r="Q51" s="7"/>
      <c r="R51" s="6">
        <f t="shared" si="6"/>
        <v>0</v>
      </c>
      <c r="S51" s="6">
        <f t="shared" si="6"/>
        <v>0</v>
      </c>
      <c r="T51" s="7"/>
      <c r="U51" s="6">
        <f t="shared" si="6"/>
        <v>0</v>
      </c>
      <c r="V51" s="6">
        <f t="shared" si="8"/>
        <v>0</v>
      </c>
      <c r="W51" s="6">
        <f t="shared" si="14"/>
        <v>1</v>
      </c>
      <c r="X51" s="7">
        <f t="shared" si="15"/>
        <v>1</v>
      </c>
      <c r="Y51" s="7">
        <f t="shared" si="16"/>
        <v>0</v>
      </c>
    </row>
    <row r="52" spans="1:25" x14ac:dyDescent="0.2">
      <c r="A52">
        <f t="shared" si="2"/>
        <v>2002</v>
      </c>
      <c r="B52" s="2">
        <f t="shared" si="3"/>
        <v>328191.63607869431</v>
      </c>
      <c r="C52" s="2"/>
      <c r="D52" s="2">
        <f t="shared" ref="D52:E64" si="19">D51*(1+(D16/100))</f>
        <v>0</v>
      </c>
      <c r="E52" s="2">
        <f t="shared" si="19"/>
        <v>0</v>
      </c>
      <c r="F52" s="2"/>
      <c r="G52" s="2">
        <f t="shared" si="18"/>
        <v>0</v>
      </c>
      <c r="H52" s="2">
        <f t="shared" si="5"/>
        <v>0</v>
      </c>
      <c r="I52" s="2">
        <f t="shared" si="17"/>
        <v>328191.63607869431</v>
      </c>
      <c r="J52" s="2">
        <f t="shared" si="10"/>
        <v>-93377.581748787139</v>
      </c>
      <c r="K52" s="6">
        <f t="shared" si="11"/>
        <v>-0.2215</v>
      </c>
      <c r="L52" s="7">
        <f t="shared" si="12"/>
        <v>0.77849999999999997</v>
      </c>
      <c r="O52">
        <f t="shared" si="13"/>
        <v>2002</v>
      </c>
      <c r="P52" s="6">
        <f t="shared" si="6"/>
        <v>1</v>
      </c>
      <c r="Q52" s="7"/>
      <c r="R52" s="6">
        <f t="shared" si="6"/>
        <v>0</v>
      </c>
      <c r="S52" s="6">
        <f t="shared" si="6"/>
        <v>0</v>
      </c>
      <c r="T52" s="7"/>
      <c r="U52" s="6">
        <f t="shared" si="6"/>
        <v>0</v>
      </c>
      <c r="V52" s="6">
        <f t="shared" si="8"/>
        <v>0</v>
      </c>
      <c r="W52" s="6">
        <f t="shared" si="14"/>
        <v>1</v>
      </c>
      <c r="X52" s="7">
        <f t="shared" si="15"/>
        <v>1</v>
      </c>
      <c r="Y52" s="7">
        <f t="shared" si="16"/>
        <v>0</v>
      </c>
    </row>
    <row r="53" spans="1:25" x14ac:dyDescent="0.2">
      <c r="A53">
        <f t="shared" si="2"/>
        <v>2003</v>
      </c>
      <c r="B53" s="2">
        <f t="shared" si="3"/>
        <v>421726.25236112217</v>
      </c>
      <c r="C53" s="2"/>
      <c r="D53" s="2">
        <f t="shared" si="19"/>
        <v>0</v>
      </c>
      <c r="E53" s="2">
        <f t="shared" si="19"/>
        <v>0</v>
      </c>
      <c r="F53" s="2"/>
      <c r="G53" s="2">
        <f t="shared" si="18"/>
        <v>0</v>
      </c>
      <c r="H53" s="2">
        <f t="shared" si="5"/>
        <v>0</v>
      </c>
      <c r="I53" s="2">
        <f t="shared" si="17"/>
        <v>421726.25236112217</v>
      </c>
      <c r="J53" s="2">
        <f t="shared" si="10"/>
        <v>93534.616282427858</v>
      </c>
      <c r="K53" s="6">
        <f t="shared" si="11"/>
        <v>0.28499999999999992</v>
      </c>
      <c r="L53" s="7">
        <f t="shared" si="12"/>
        <v>1.2849999999999999</v>
      </c>
      <c r="O53">
        <f t="shared" si="13"/>
        <v>2003</v>
      </c>
      <c r="P53" s="6">
        <f t="shared" si="6"/>
        <v>1</v>
      </c>
      <c r="Q53" s="7"/>
      <c r="R53" s="6">
        <f t="shared" si="6"/>
        <v>0</v>
      </c>
      <c r="S53" s="6">
        <f t="shared" si="6"/>
        <v>0</v>
      </c>
      <c r="T53" s="7"/>
      <c r="U53" s="6">
        <f t="shared" si="6"/>
        <v>0</v>
      </c>
      <c r="V53" s="6">
        <f t="shared" si="8"/>
        <v>0</v>
      </c>
      <c r="W53" s="6">
        <f t="shared" si="14"/>
        <v>1</v>
      </c>
      <c r="X53" s="7">
        <f t="shared" si="15"/>
        <v>1</v>
      </c>
      <c r="Y53" s="7">
        <f t="shared" si="16"/>
        <v>0</v>
      </c>
    </row>
    <row r="54" spans="1:25" x14ac:dyDescent="0.2">
      <c r="A54">
        <f t="shared" si="2"/>
        <v>2004</v>
      </c>
      <c r="B54" s="2">
        <f t="shared" si="3"/>
        <v>467019.65186470666</v>
      </c>
      <c r="C54" s="2"/>
      <c r="D54" s="2">
        <f t="shared" si="19"/>
        <v>0</v>
      </c>
      <c r="E54" s="2">
        <f t="shared" si="19"/>
        <v>0</v>
      </c>
      <c r="F54" s="2"/>
      <c r="G54" s="2">
        <f t="shared" si="18"/>
        <v>0</v>
      </c>
      <c r="H54" s="2">
        <f t="shared" si="5"/>
        <v>0</v>
      </c>
      <c r="I54" s="2">
        <f t="shared" si="17"/>
        <v>467019.65186470666</v>
      </c>
      <c r="J54" s="2">
        <f t="shared" si="10"/>
        <v>45293.399503584486</v>
      </c>
      <c r="K54" s="6">
        <f t="shared" si="11"/>
        <v>0.10739999999999991</v>
      </c>
      <c r="L54" s="7">
        <f t="shared" si="12"/>
        <v>1.1073999999999999</v>
      </c>
      <c r="O54">
        <f t="shared" si="13"/>
        <v>2004</v>
      </c>
      <c r="P54" s="6">
        <f t="shared" si="6"/>
        <v>1</v>
      </c>
      <c r="Q54" s="7"/>
      <c r="R54" s="6">
        <f t="shared" si="6"/>
        <v>0</v>
      </c>
      <c r="S54" s="6">
        <f t="shared" si="6"/>
        <v>0</v>
      </c>
      <c r="T54" s="7"/>
      <c r="U54" s="6">
        <f t="shared" si="6"/>
        <v>0</v>
      </c>
      <c r="V54" s="6">
        <f t="shared" si="8"/>
        <v>0</v>
      </c>
      <c r="W54" s="6">
        <f t="shared" si="14"/>
        <v>1</v>
      </c>
      <c r="X54" s="7">
        <f t="shared" si="15"/>
        <v>1</v>
      </c>
      <c r="Y54" s="7">
        <f t="shared" si="16"/>
        <v>0</v>
      </c>
    </row>
    <row r="55" spans="1:25" x14ac:dyDescent="0.2">
      <c r="A55">
        <f t="shared" si="2"/>
        <v>2005</v>
      </c>
      <c r="B55" s="2">
        <f t="shared" si="3"/>
        <v>489296.48925865319</v>
      </c>
      <c r="C55" s="2"/>
      <c r="D55" s="2">
        <f t="shared" si="19"/>
        <v>0</v>
      </c>
      <c r="E55" s="2">
        <f t="shared" si="19"/>
        <v>0</v>
      </c>
      <c r="F55" s="2"/>
      <c r="G55" s="2">
        <f t="shared" si="18"/>
        <v>0</v>
      </c>
      <c r="H55" s="2">
        <f t="shared" si="5"/>
        <v>0</v>
      </c>
      <c r="I55" s="2">
        <f t="shared" si="17"/>
        <v>489296.48925865319</v>
      </c>
      <c r="J55" s="2">
        <f t="shared" si="10"/>
        <v>22276.837393946538</v>
      </c>
      <c r="K55" s="6">
        <f t="shared" si="11"/>
        <v>4.7700000000000069E-2</v>
      </c>
      <c r="L55" s="7">
        <f t="shared" si="12"/>
        <v>1.0477000000000001</v>
      </c>
      <c r="O55">
        <f t="shared" si="13"/>
        <v>2005</v>
      </c>
      <c r="P55" s="6">
        <f t="shared" si="6"/>
        <v>1</v>
      </c>
      <c r="Q55" s="7"/>
      <c r="R55" s="6">
        <f t="shared" si="6"/>
        <v>0</v>
      </c>
      <c r="S55" s="6">
        <f t="shared" si="6"/>
        <v>0</v>
      </c>
      <c r="T55" s="7"/>
      <c r="U55" s="6">
        <f t="shared" si="6"/>
        <v>0</v>
      </c>
      <c r="V55" s="6">
        <f t="shared" si="8"/>
        <v>0</v>
      </c>
      <c r="W55" s="6">
        <f t="shared" si="14"/>
        <v>1</v>
      </c>
      <c r="X55" s="7">
        <f t="shared" si="15"/>
        <v>1</v>
      </c>
      <c r="Y55" s="7">
        <f t="shared" si="16"/>
        <v>0</v>
      </c>
    </row>
    <row r="56" spans="1:25" x14ac:dyDescent="0.2">
      <c r="A56">
        <f t="shared" si="2"/>
        <v>2006</v>
      </c>
      <c r="B56" s="2">
        <f t="shared" ref="B56:B64" si="20">B55*(1+(B20/100))</f>
        <v>565822.46017870656</v>
      </c>
      <c r="C56" s="2"/>
      <c r="D56" s="2">
        <f t="shared" si="19"/>
        <v>0</v>
      </c>
      <c r="E56" s="2">
        <f t="shared" si="19"/>
        <v>0</v>
      </c>
      <c r="F56" s="2"/>
      <c r="G56" s="2">
        <f t="shared" si="18"/>
        <v>0</v>
      </c>
      <c r="H56" s="2">
        <f t="shared" si="5"/>
        <v>0</v>
      </c>
      <c r="I56" s="2">
        <f t="shared" si="17"/>
        <v>565822.46017870656</v>
      </c>
      <c r="J56" s="2">
        <f>I56-I55</f>
        <v>76525.970920053369</v>
      </c>
      <c r="K56" s="6">
        <f>(J56/I55)</f>
        <v>0.15640000000000001</v>
      </c>
      <c r="L56" s="7">
        <f t="shared" si="12"/>
        <v>1.1564000000000001</v>
      </c>
      <c r="O56">
        <f t="shared" si="13"/>
        <v>2006</v>
      </c>
      <c r="P56" s="6">
        <f t="shared" si="6"/>
        <v>1</v>
      </c>
      <c r="Q56" s="7"/>
      <c r="R56" s="6">
        <f t="shared" si="6"/>
        <v>0</v>
      </c>
      <c r="S56" s="6">
        <f t="shared" si="6"/>
        <v>0</v>
      </c>
      <c r="T56" s="7"/>
      <c r="U56" s="6">
        <f t="shared" si="6"/>
        <v>0</v>
      </c>
      <c r="V56" s="6">
        <f t="shared" si="8"/>
        <v>0</v>
      </c>
      <c r="W56" s="6">
        <f t="shared" si="14"/>
        <v>1</v>
      </c>
      <c r="X56" s="7">
        <f t="shared" si="15"/>
        <v>1</v>
      </c>
      <c r="Y56" s="7">
        <f t="shared" si="16"/>
        <v>0</v>
      </c>
    </row>
    <row r="57" spans="1:25" x14ac:dyDescent="0.2">
      <c r="A57">
        <f t="shared" si="2"/>
        <v>2007</v>
      </c>
      <c r="B57" s="2">
        <f t="shared" si="20"/>
        <v>596320.29078233882</v>
      </c>
      <c r="C57" s="2"/>
      <c r="D57" s="2">
        <f t="shared" si="19"/>
        <v>0</v>
      </c>
      <c r="E57" s="2">
        <f t="shared" si="19"/>
        <v>0</v>
      </c>
      <c r="F57" s="2"/>
      <c r="G57" s="2">
        <f t="shared" si="18"/>
        <v>0</v>
      </c>
      <c r="H57" s="2">
        <f t="shared" si="5"/>
        <v>0</v>
      </c>
      <c r="I57" s="2">
        <f t="shared" si="17"/>
        <v>596320.29078233882</v>
      </c>
      <c r="J57" s="2">
        <f t="shared" si="10"/>
        <v>30497.830603632261</v>
      </c>
      <c r="K57" s="6">
        <f t="shared" si="11"/>
        <v>5.3899999999999962E-2</v>
      </c>
      <c r="L57" s="7">
        <f t="shared" si="12"/>
        <v>1.0539000000000001</v>
      </c>
      <c r="O57">
        <f t="shared" si="13"/>
        <v>2007</v>
      </c>
      <c r="P57" s="6">
        <f t="shared" si="6"/>
        <v>1</v>
      </c>
      <c r="Q57" s="7"/>
      <c r="R57" s="6">
        <f t="shared" si="6"/>
        <v>0</v>
      </c>
      <c r="S57" s="6">
        <f t="shared" si="6"/>
        <v>0</v>
      </c>
      <c r="T57" s="7"/>
      <c r="U57" s="6">
        <f t="shared" si="6"/>
        <v>0</v>
      </c>
      <c r="V57" s="6">
        <f t="shared" si="8"/>
        <v>0</v>
      </c>
      <c r="W57" s="6">
        <f t="shared" si="14"/>
        <v>1</v>
      </c>
      <c r="X57" s="7">
        <f t="shared" si="15"/>
        <v>1</v>
      </c>
      <c r="Y57" s="7">
        <f t="shared" si="16"/>
        <v>0</v>
      </c>
    </row>
    <row r="58" spans="1:25" x14ac:dyDescent="0.2">
      <c r="A58">
        <f t="shared" si="2"/>
        <v>2008</v>
      </c>
      <c r="B58" s="2">
        <f t="shared" si="20"/>
        <v>375562.51913471695</v>
      </c>
      <c r="C58" s="2"/>
      <c r="D58" s="2">
        <f t="shared" si="19"/>
        <v>0</v>
      </c>
      <c r="E58" s="2">
        <f t="shared" si="19"/>
        <v>0</v>
      </c>
      <c r="F58" s="2"/>
      <c r="G58" s="2">
        <f t="shared" si="18"/>
        <v>0</v>
      </c>
      <c r="H58" s="2">
        <f t="shared" si="5"/>
        <v>0</v>
      </c>
      <c r="I58" s="2">
        <f t="shared" si="17"/>
        <v>375562.51913471695</v>
      </c>
      <c r="J58" s="2">
        <f t="shared" si="10"/>
        <v>-220757.77164762188</v>
      </c>
      <c r="K58" s="6">
        <f t="shared" si="11"/>
        <v>-0.37020000000000008</v>
      </c>
      <c r="L58" s="7">
        <f t="shared" si="12"/>
        <v>0.62979999999999992</v>
      </c>
      <c r="O58">
        <f t="shared" si="13"/>
        <v>2008</v>
      </c>
      <c r="P58" s="6">
        <f t="shared" si="6"/>
        <v>1</v>
      </c>
      <c r="Q58" s="7"/>
      <c r="R58" s="6">
        <f t="shared" si="6"/>
        <v>0</v>
      </c>
      <c r="S58" s="6">
        <f t="shared" si="6"/>
        <v>0</v>
      </c>
      <c r="T58" s="7"/>
      <c r="U58" s="6">
        <f t="shared" si="6"/>
        <v>0</v>
      </c>
      <c r="V58" s="6">
        <f t="shared" si="8"/>
        <v>0</v>
      </c>
      <c r="W58" s="6">
        <f t="shared" si="14"/>
        <v>1</v>
      </c>
      <c r="X58" s="7">
        <f t="shared" si="15"/>
        <v>1</v>
      </c>
      <c r="Y58" s="7">
        <f t="shared" si="16"/>
        <v>0</v>
      </c>
    </row>
    <row r="59" spans="1:25" x14ac:dyDescent="0.2">
      <c r="A59">
        <f t="shared" si="2"/>
        <v>2009</v>
      </c>
      <c r="B59" s="2">
        <f t="shared" si="20"/>
        <v>475049.03045350342</v>
      </c>
      <c r="C59" s="2"/>
      <c r="D59" s="2">
        <f t="shared" si="19"/>
        <v>0</v>
      </c>
      <c r="E59" s="2">
        <f t="shared" si="19"/>
        <v>0</v>
      </c>
      <c r="F59" s="2"/>
      <c r="G59" s="2">
        <f t="shared" si="18"/>
        <v>0</v>
      </c>
      <c r="H59" s="2">
        <f t="shared" si="5"/>
        <v>0</v>
      </c>
      <c r="I59" s="2">
        <f t="shared" si="17"/>
        <v>475049.03045350342</v>
      </c>
      <c r="J59" s="2">
        <f t="shared" si="10"/>
        <v>99486.511318786477</v>
      </c>
      <c r="K59" s="6">
        <f t="shared" si="11"/>
        <v>0.26489999999999991</v>
      </c>
      <c r="L59" s="7">
        <f t="shared" si="12"/>
        <v>1.2648999999999999</v>
      </c>
      <c r="O59">
        <f t="shared" si="13"/>
        <v>2009</v>
      </c>
      <c r="P59" s="6">
        <f t="shared" si="6"/>
        <v>1</v>
      </c>
      <c r="Q59" s="7"/>
      <c r="R59" s="6">
        <f t="shared" si="6"/>
        <v>0</v>
      </c>
      <c r="S59" s="6">
        <f t="shared" si="6"/>
        <v>0</v>
      </c>
      <c r="T59" s="7"/>
      <c r="U59" s="6">
        <f t="shared" si="6"/>
        <v>0</v>
      </c>
      <c r="V59" s="6">
        <f t="shared" si="8"/>
        <v>0</v>
      </c>
      <c r="W59" s="6">
        <f t="shared" si="14"/>
        <v>1</v>
      </c>
      <c r="X59" s="7">
        <f t="shared" si="15"/>
        <v>1</v>
      </c>
      <c r="Y59" s="7">
        <f t="shared" si="16"/>
        <v>0</v>
      </c>
    </row>
    <row r="60" spans="1:25" x14ac:dyDescent="0.2">
      <c r="A60">
        <f t="shared" si="2"/>
        <v>2010</v>
      </c>
      <c r="B60" s="2">
        <f t="shared" si="20"/>
        <v>545878.84089412075</v>
      </c>
      <c r="C60" s="2"/>
      <c r="D60" s="2">
        <f t="shared" si="19"/>
        <v>0</v>
      </c>
      <c r="E60" s="2">
        <f t="shared" si="19"/>
        <v>0</v>
      </c>
      <c r="F60" s="2"/>
      <c r="G60" s="2">
        <f t="shared" si="18"/>
        <v>0</v>
      </c>
      <c r="H60" s="2">
        <f t="shared" si="5"/>
        <v>0</v>
      </c>
      <c r="I60" s="2">
        <f t="shared" si="17"/>
        <v>545878.84089412075</v>
      </c>
      <c r="J60" s="2">
        <f t="shared" si="10"/>
        <v>70829.810440617322</v>
      </c>
      <c r="K60" s="6">
        <f t="shared" si="11"/>
        <v>0.14909999999999993</v>
      </c>
      <c r="L60" s="7">
        <f t="shared" si="12"/>
        <v>1.1491</v>
      </c>
      <c r="O60">
        <f t="shared" si="13"/>
        <v>2010</v>
      </c>
      <c r="P60" s="6">
        <f t="shared" si="6"/>
        <v>1</v>
      </c>
      <c r="Q60" s="7"/>
      <c r="R60" s="6">
        <f t="shared" si="6"/>
        <v>0</v>
      </c>
      <c r="S60" s="6">
        <f t="shared" si="6"/>
        <v>0</v>
      </c>
      <c r="T60" s="7"/>
      <c r="U60" s="6">
        <f t="shared" si="6"/>
        <v>0</v>
      </c>
      <c r="V60" s="6">
        <f t="shared" si="8"/>
        <v>0</v>
      </c>
      <c r="W60" s="6">
        <f t="shared" si="14"/>
        <v>1</v>
      </c>
      <c r="X60" s="7">
        <f t="shared" si="15"/>
        <v>1</v>
      </c>
      <c r="Y60" s="7">
        <f t="shared" si="16"/>
        <v>0</v>
      </c>
    </row>
    <row r="61" spans="1:25" x14ac:dyDescent="0.2">
      <c r="A61">
        <f t="shared" si="2"/>
        <v>2011</v>
      </c>
      <c r="B61" s="2">
        <f t="shared" si="20"/>
        <v>556632.65405973489</v>
      </c>
      <c r="C61" s="2"/>
      <c r="D61" s="2">
        <f t="shared" si="19"/>
        <v>0</v>
      </c>
      <c r="E61" s="2">
        <f t="shared" si="19"/>
        <v>0</v>
      </c>
      <c r="F61" s="2"/>
      <c r="G61" s="2">
        <f t="shared" si="18"/>
        <v>0</v>
      </c>
      <c r="H61" s="2">
        <f t="shared" si="5"/>
        <v>0</v>
      </c>
      <c r="I61" s="2">
        <f t="shared" si="17"/>
        <v>556632.65405973489</v>
      </c>
      <c r="J61" s="2">
        <f t="shared" si="10"/>
        <v>10753.813165614149</v>
      </c>
      <c r="K61" s="6">
        <f t="shared" si="11"/>
        <v>1.9699999999999943E-2</v>
      </c>
      <c r="L61" s="7">
        <f t="shared" si="12"/>
        <v>1.0197000000000001</v>
      </c>
      <c r="O61">
        <f t="shared" si="13"/>
        <v>2011</v>
      </c>
      <c r="P61" s="6">
        <f t="shared" si="6"/>
        <v>1</v>
      </c>
      <c r="Q61" s="7"/>
      <c r="R61" s="6">
        <f t="shared" si="6"/>
        <v>0</v>
      </c>
      <c r="S61" s="6">
        <f t="shared" si="6"/>
        <v>0</v>
      </c>
      <c r="T61" s="7"/>
      <c r="U61" s="6">
        <f t="shared" si="6"/>
        <v>0</v>
      </c>
      <c r="V61" s="6">
        <f t="shared" si="8"/>
        <v>0</v>
      </c>
      <c r="W61" s="6">
        <f t="shared" si="14"/>
        <v>1</v>
      </c>
      <c r="X61" s="7">
        <f t="shared" si="15"/>
        <v>1</v>
      </c>
      <c r="Y61" s="7">
        <f t="shared" si="16"/>
        <v>0</v>
      </c>
    </row>
    <row r="62" spans="1:25" x14ac:dyDescent="0.2">
      <c r="A62">
        <f t="shared" si="2"/>
        <v>2012</v>
      </c>
      <c r="B62" s="2">
        <f t="shared" si="20"/>
        <v>644691.93993198487</v>
      </c>
      <c r="C62" s="2"/>
      <c r="D62" s="2">
        <f t="shared" si="19"/>
        <v>0</v>
      </c>
      <c r="E62" s="2">
        <f t="shared" si="19"/>
        <v>0</v>
      </c>
      <c r="F62" s="2"/>
      <c r="G62" s="2">
        <f t="shared" si="18"/>
        <v>0</v>
      </c>
      <c r="H62" s="2">
        <f t="shared" si="5"/>
        <v>0</v>
      </c>
      <c r="I62" s="2">
        <f t="shared" si="17"/>
        <v>644691.93993198487</v>
      </c>
      <c r="J62" s="2">
        <f t="shared" si="10"/>
        <v>88059.28587224998</v>
      </c>
      <c r="K62" s="6">
        <f t="shared" si="11"/>
        <v>0.15819999999999987</v>
      </c>
      <c r="L62" s="7">
        <f t="shared" si="12"/>
        <v>1.1581999999999999</v>
      </c>
      <c r="O62">
        <f t="shared" si="13"/>
        <v>2012</v>
      </c>
      <c r="P62" s="6">
        <f t="shared" si="6"/>
        <v>1</v>
      </c>
      <c r="Q62" s="7"/>
      <c r="R62" s="6">
        <f t="shared" si="6"/>
        <v>0</v>
      </c>
      <c r="S62" s="6">
        <f t="shared" si="6"/>
        <v>0</v>
      </c>
      <c r="T62" s="7"/>
      <c r="U62" s="6">
        <f t="shared" si="6"/>
        <v>0</v>
      </c>
      <c r="V62" s="6">
        <f t="shared" si="8"/>
        <v>0</v>
      </c>
      <c r="W62" s="6">
        <f t="shared" si="14"/>
        <v>1</v>
      </c>
      <c r="X62" s="7">
        <f t="shared" si="15"/>
        <v>1</v>
      </c>
      <c r="Y62" s="7">
        <f t="shared" si="16"/>
        <v>0</v>
      </c>
    </row>
    <row r="63" spans="1:25" x14ac:dyDescent="0.2">
      <c r="A63">
        <f t="shared" si="2"/>
        <v>2013</v>
      </c>
      <c r="B63" s="2">
        <f t="shared" si="20"/>
        <v>852153.80620209768</v>
      </c>
      <c r="C63" s="2"/>
      <c r="D63" s="2">
        <f t="shared" si="19"/>
        <v>0</v>
      </c>
      <c r="E63" s="2">
        <f t="shared" si="19"/>
        <v>0</v>
      </c>
      <c r="F63" s="2"/>
      <c r="G63" s="2">
        <f t="shared" si="18"/>
        <v>0</v>
      </c>
      <c r="H63" s="2">
        <f t="shared" si="5"/>
        <v>0</v>
      </c>
      <c r="I63" s="2">
        <f t="shared" si="17"/>
        <v>852153.80620209768</v>
      </c>
      <c r="J63" s="2">
        <f t="shared" si="10"/>
        <v>207461.86627011281</v>
      </c>
      <c r="K63" s="6">
        <f t="shared" si="11"/>
        <v>0.32180000000000009</v>
      </c>
      <c r="L63" s="7">
        <f t="shared" si="12"/>
        <v>1.3218000000000001</v>
      </c>
      <c r="O63">
        <f t="shared" si="13"/>
        <v>2013</v>
      </c>
      <c r="P63" s="6">
        <f t="shared" si="6"/>
        <v>1</v>
      </c>
      <c r="Q63" s="7"/>
      <c r="R63" s="6">
        <f t="shared" si="6"/>
        <v>0</v>
      </c>
      <c r="S63" s="6">
        <f t="shared" si="6"/>
        <v>0</v>
      </c>
      <c r="T63" s="7"/>
      <c r="U63" s="6">
        <f t="shared" si="6"/>
        <v>0</v>
      </c>
      <c r="V63" s="6">
        <f t="shared" si="8"/>
        <v>0</v>
      </c>
      <c r="W63" s="6">
        <f t="shared" si="14"/>
        <v>1</v>
      </c>
      <c r="X63" s="7">
        <f t="shared" si="15"/>
        <v>1</v>
      </c>
      <c r="Y63" s="7">
        <f t="shared" si="16"/>
        <v>0</v>
      </c>
    </row>
    <row r="64" spans="1:25" x14ac:dyDescent="0.2">
      <c r="A64">
        <f t="shared" si="2"/>
        <v>2014</v>
      </c>
      <c r="B64" s="2">
        <f t="shared" si="20"/>
        <v>967279.78542000102</v>
      </c>
      <c r="C64" s="2"/>
      <c r="D64" s="2">
        <f t="shared" si="19"/>
        <v>0</v>
      </c>
      <c r="E64" s="2">
        <f t="shared" si="19"/>
        <v>0</v>
      </c>
      <c r="F64" s="2"/>
      <c r="G64" s="2">
        <f t="shared" si="18"/>
        <v>0</v>
      </c>
      <c r="H64" s="2">
        <f t="shared" si="5"/>
        <v>0</v>
      </c>
      <c r="I64" s="2">
        <f t="shared" si="17"/>
        <v>967279.78542000102</v>
      </c>
      <c r="J64" s="2">
        <f t="shared" si="10"/>
        <v>115125.97921790334</v>
      </c>
      <c r="K64" s="6">
        <f t="shared" si="11"/>
        <v>0.13509999999999994</v>
      </c>
      <c r="L64" s="7">
        <f t="shared" si="12"/>
        <v>1.1351</v>
      </c>
      <c r="O64">
        <f t="shared" si="13"/>
        <v>2014</v>
      </c>
      <c r="P64" s="6">
        <f t="shared" si="6"/>
        <v>1</v>
      </c>
      <c r="Q64" s="7"/>
      <c r="R64" s="6">
        <f t="shared" si="6"/>
        <v>0</v>
      </c>
      <c r="S64" s="6">
        <f t="shared" si="6"/>
        <v>0</v>
      </c>
      <c r="T64" s="7"/>
      <c r="U64" s="6">
        <f t="shared" si="6"/>
        <v>0</v>
      </c>
      <c r="V64" s="6">
        <f t="shared" si="8"/>
        <v>0</v>
      </c>
      <c r="W64" s="6">
        <f t="shared" si="14"/>
        <v>1</v>
      </c>
      <c r="X64" s="7">
        <f t="shared" si="15"/>
        <v>1</v>
      </c>
      <c r="Y64" s="7">
        <f t="shared" si="16"/>
        <v>0</v>
      </c>
    </row>
    <row r="65" spans="1:19" x14ac:dyDescent="0.2">
      <c r="A65" s="9" t="s">
        <v>78</v>
      </c>
      <c r="B65" s="10">
        <f>B64</f>
        <v>967279.78542000102</v>
      </c>
      <c r="C65" s="10"/>
      <c r="D65" s="10">
        <f>D64</f>
        <v>0</v>
      </c>
      <c r="E65" s="10">
        <f>E64</f>
        <v>0</v>
      </c>
      <c r="F65" s="10"/>
      <c r="G65" s="10">
        <f>G64</f>
        <v>0</v>
      </c>
      <c r="H65" s="10">
        <f>H64</f>
        <v>0</v>
      </c>
      <c r="I65" s="52">
        <f>SUM(B65:H65)</f>
        <v>967279.78542000102</v>
      </c>
      <c r="J65" s="10"/>
      <c r="K65" s="10"/>
      <c r="L65" s="74"/>
      <c r="S65" s="7"/>
    </row>
    <row r="66" spans="1:19" x14ac:dyDescent="0.2">
      <c r="A66" s="11" t="s">
        <v>79</v>
      </c>
      <c r="I66" s="51">
        <f>(I65-I39)/I39</f>
        <v>8.6727978542000095</v>
      </c>
      <c r="K66" s="6"/>
      <c r="R66" s="7"/>
    </row>
    <row r="67" spans="1:19" x14ac:dyDescent="0.2">
      <c r="A67" s="1" t="s">
        <v>80</v>
      </c>
      <c r="I67" s="29">
        <f>STDEV(L40:L64)</f>
        <v>0.18235862167717848</v>
      </c>
    </row>
    <row r="68" spans="1:19" x14ac:dyDescent="0.2">
      <c r="A68" s="1" t="s">
        <v>81</v>
      </c>
      <c r="I68" s="13">
        <f>((1+I66)^(1/I73))-1</f>
        <v>9.5020083330725313E-2</v>
      </c>
    </row>
    <row r="69" spans="1:19" x14ac:dyDescent="0.2">
      <c r="A69" s="1" t="s">
        <v>82</v>
      </c>
      <c r="I69" s="31">
        <f>J60</f>
        <v>70829.810440617322</v>
      </c>
    </row>
    <row r="70" spans="1:19" x14ac:dyDescent="0.2">
      <c r="A70" s="1" t="s">
        <v>83</v>
      </c>
      <c r="I70" s="32">
        <f>K60</f>
        <v>0.14909999999999993</v>
      </c>
    </row>
    <row r="71" spans="1:19" x14ac:dyDescent="0.2">
      <c r="A71" s="3" t="s">
        <v>84</v>
      </c>
      <c r="I71" s="33">
        <f>I64-I65</f>
        <v>0</v>
      </c>
    </row>
    <row r="72" spans="1:19" x14ac:dyDescent="0.2">
      <c r="A72" s="3" t="s">
        <v>148</v>
      </c>
      <c r="I72" s="33">
        <f>((SUM(J40:J64))-(I65-I39))</f>
        <v>0</v>
      </c>
    </row>
    <row r="73" spans="1:19" x14ac:dyDescent="0.2">
      <c r="A73" s="3" t="s">
        <v>159</v>
      </c>
      <c r="I73" s="3">
        <f>COUNTA(I40:I64)</f>
        <v>25</v>
      </c>
    </row>
    <row r="74" spans="1:19" x14ac:dyDescent="0.2">
      <c r="B74" s="63"/>
      <c r="C74" s="63"/>
      <c r="D74" s="63"/>
      <c r="E74" s="63"/>
      <c r="G74" s="63"/>
      <c r="H74" s="63"/>
      <c r="I74" s="63"/>
    </row>
    <row r="75" spans="1:19" x14ac:dyDescent="0.2">
      <c r="B75" s="2"/>
      <c r="D75" s="2"/>
      <c r="E75" s="2"/>
      <c r="G75" s="2"/>
      <c r="H75" s="2"/>
      <c r="I75" s="2"/>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6" baseType="variant">
      <vt:variant>
        <vt:lpstr>Worksheets</vt:lpstr>
      </vt:variant>
      <vt:variant>
        <vt:i4>17</vt:i4>
      </vt:variant>
      <vt:variant>
        <vt:lpstr>Charts</vt:lpstr>
      </vt:variant>
      <vt:variant>
        <vt:i4>1</vt:i4>
      </vt:variant>
      <vt:variant>
        <vt:lpstr>Named Ranges</vt:lpstr>
      </vt:variant>
      <vt:variant>
        <vt:i4>1</vt:i4>
      </vt:variant>
    </vt:vector>
  </HeadingPairs>
  <TitlesOfParts>
    <vt:vector size="19" baseType="lpstr">
      <vt:lpstr>Instructions</vt:lpstr>
      <vt:lpstr>Notes</vt:lpstr>
      <vt:lpstr>Summary</vt:lpstr>
      <vt:lpstr>Non-Rebalanced Portfolio</vt:lpstr>
      <vt:lpstr>Rebalanced Portfolio</vt:lpstr>
      <vt:lpstr>Annual Rebalance Portfolio</vt:lpstr>
      <vt:lpstr>Panic Portfolio</vt:lpstr>
      <vt:lpstr>60-40 Portfolio</vt:lpstr>
      <vt:lpstr>SP500 Only</vt:lpstr>
      <vt:lpstr>4.5% Withdrawals-No Rebalancing</vt:lpstr>
      <vt:lpstr>4.5% Withdrawals-Rebalanced</vt:lpstr>
      <vt:lpstr>4.5% Withdrawals-Annual Rebal</vt:lpstr>
      <vt:lpstr>4.5% Withdrawals-Panic</vt:lpstr>
      <vt:lpstr>4.5% 60-40 Portfolio</vt:lpstr>
      <vt:lpstr>4.5% SP500</vt:lpstr>
      <vt:lpstr>Chart Data</vt:lpstr>
      <vt:lpstr>Panic Chart</vt:lpstr>
      <vt:lpstr>Chart2</vt:lpstr>
      <vt:lpstr>Summary!Print_Area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Rotblut</dc:creator>
  <cp:lastModifiedBy>Charles Rotblut</cp:lastModifiedBy>
  <cp:lastPrinted>2017-01-23T22:13:14Z</cp:lastPrinted>
  <dcterms:created xsi:type="dcterms:W3CDTF">2014-01-10T23:26:08Z</dcterms:created>
  <dcterms:modified xsi:type="dcterms:W3CDTF">2018-03-18T21:32:32Z</dcterms:modified>
</cp:coreProperties>
</file>