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029"/>
  <workbookPr autoCompressPictures="0" defaultThemeVersion="124226"/>
  <mc:AlternateContent xmlns:mc="http://schemas.openxmlformats.org/markup-compatibility/2006">
    <mc:Choice Requires="x15">
      <x15ac:absPath xmlns:x15ac="http://schemas.microsoft.com/office/spreadsheetml/2010/11/ac" url="C:\Users\charles.AAIILOCAL\Documents\My Dropbox\AAII\Rebalancing\"/>
    </mc:Choice>
  </mc:AlternateContent>
  <xr:revisionPtr revIDLastSave="0" documentId="13_ncr:1_{FE28BF4C-F103-4072-A30C-A0510A3F333E}" xr6:coauthVersionLast="28" xr6:coauthVersionMax="28" xr10:uidLastSave="{00000000-0000-0000-0000-000000000000}"/>
  <bookViews>
    <workbookView xWindow="14820" yWindow="3165" windowWidth="33060" windowHeight="21060" tabRatio="892" firstSheet="1" activeTab="2" xr2:uid="{00000000-000D-0000-FFFF-FFFF00000000}"/>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Chart2" sheetId="16" r:id="rId16"/>
    <sheet name="Chart Data" sheetId="14" r:id="rId17"/>
    <sheet name="Panic Chart" sheetId="18" r:id="rId18"/>
  </sheets>
  <definedNames>
    <definedName name="_xlnm.Print_Area" localSheetId="2">Summary!$A$1:$D$29</definedName>
  </definedNames>
  <calcPr calcId="171027"/>
  <extLst>
    <ext xmlns:mx="http://schemas.microsoft.com/office/mac/excel/2008/main" uri="http://schemas.microsoft.com/office/mac/excel/2008/main">
      <mx:ArchID Flags="2"/>
    </ext>
  </extLst>
</workbook>
</file>

<file path=xl/calcChain.xml><?xml version="1.0" encoding="utf-8"?>
<calcChain xmlns="http://schemas.openxmlformats.org/spreadsheetml/2006/main">
  <c r="E47" i="4" l="1"/>
  <c r="D47" i="4"/>
  <c r="I29" i="8" l="1"/>
  <c r="I28" i="8"/>
  <c r="I27" i="8"/>
  <c r="I26" i="8"/>
  <c r="I25" i="8"/>
  <c r="I24" i="8"/>
  <c r="I23" i="8"/>
  <c r="I22" i="8"/>
  <c r="I21" i="8"/>
  <c r="I77" i="23"/>
  <c r="I76" i="23"/>
  <c r="I78" i="23" s="1"/>
  <c r="I77" i="24"/>
  <c r="I76" i="24"/>
  <c r="I78" i="24" s="1"/>
  <c r="D29" i="8"/>
  <c r="D27" i="8"/>
  <c r="D26" i="8"/>
  <c r="D25" i="8"/>
  <c r="D24" i="8"/>
  <c r="D23" i="8"/>
  <c r="D22" i="8"/>
  <c r="D21" i="8"/>
  <c r="C29" i="8"/>
  <c r="C28" i="8"/>
  <c r="C27" i="8"/>
  <c r="C26" i="8"/>
  <c r="C25" i="8"/>
  <c r="C24" i="8"/>
  <c r="C23" i="8"/>
  <c r="C22" i="8"/>
  <c r="C21" i="8"/>
  <c r="I77" i="22"/>
  <c r="I76" i="22"/>
  <c r="I78" i="22" s="1"/>
  <c r="B29" i="8"/>
  <c r="B27" i="8"/>
  <c r="B26" i="8"/>
  <c r="B25" i="8"/>
  <c r="B24" i="8"/>
  <c r="B23" i="8"/>
  <c r="B22" i="8"/>
  <c r="B21" i="8"/>
  <c r="I13" i="8"/>
  <c r="I12" i="8"/>
  <c r="I75" i="7"/>
  <c r="I74" i="7"/>
  <c r="I76" i="7" s="1"/>
  <c r="D13" i="8"/>
  <c r="I75" i="25"/>
  <c r="I74" i="25"/>
  <c r="I76" i="25" s="1"/>
  <c r="I75" i="28"/>
  <c r="I74" i="28"/>
  <c r="I76" i="28" s="1"/>
  <c r="C13" i="8"/>
  <c r="C12" i="8"/>
  <c r="I75" i="19"/>
  <c r="I74" i="19"/>
  <c r="I76" i="19" s="1"/>
  <c r="I77" i="21"/>
  <c r="I76" i="21"/>
  <c r="I78" i="21" s="1"/>
  <c r="I75" i="1"/>
  <c r="I74" i="1"/>
  <c r="I76" i="1" s="1"/>
  <c r="D28" i="8" l="1"/>
  <c r="B28" i="8"/>
  <c r="D12" i="8"/>
  <c r="AS46" i="4"/>
  <c r="AR46" i="4"/>
  <c r="AP46" i="4"/>
  <c r="AO46" i="4"/>
  <c r="AM46" i="4"/>
  <c r="AS45" i="4"/>
  <c r="AR45" i="4"/>
  <c r="AN45" i="4"/>
  <c r="AM45" i="4"/>
  <c r="AS44" i="4"/>
  <c r="AQ44" i="4"/>
  <c r="AN44" i="4"/>
  <c r="AM44" i="4"/>
  <c r="AH45" i="19"/>
  <c r="AH46" i="19"/>
  <c r="AF50" i="19"/>
  <c r="AE50" i="19"/>
  <c r="AF49" i="19"/>
  <c r="AE49" i="19"/>
  <c r="AF48" i="19"/>
  <c r="AE48" i="19"/>
  <c r="AF47" i="19"/>
  <c r="AE47" i="19"/>
  <c r="AL49" i="21"/>
  <c r="AL48" i="21"/>
  <c r="AL47" i="21"/>
  <c r="AL46" i="21"/>
  <c r="AL45" i="21"/>
  <c r="AJ50" i="21"/>
  <c r="AI50" i="21"/>
  <c r="AJ49" i="21"/>
  <c r="AI49" i="21"/>
  <c r="AJ48" i="21"/>
  <c r="AI48" i="21"/>
  <c r="AJ47" i="21"/>
  <c r="AI47" i="21"/>
  <c r="BD66" i="22"/>
  <c r="BJ57" i="22"/>
  <c r="BI57" i="22"/>
  <c r="BG57" i="22"/>
  <c r="BF57" i="22"/>
  <c r="BD57" i="22"/>
  <c r="BJ55" i="22"/>
  <c r="BI55" i="22"/>
  <c r="BG55" i="22"/>
  <c r="BF55" i="22"/>
  <c r="BD55" i="22"/>
  <c r="BJ54" i="22"/>
  <c r="BI54" i="22"/>
  <c r="BG54" i="22"/>
  <c r="BF54" i="22"/>
  <c r="BD54" i="22"/>
  <c r="AM48" i="23"/>
  <c r="AM47" i="23"/>
  <c r="AM46" i="23"/>
  <c r="AM45" i="23"/>
  <c r="AK53" i="23"/>
  <c r="AJ53" i="23"/>
  <c r="AK52" i="23"/>
  <c r="AJ52" i="23"/>
  <c r="AK51" i="23"/>
  <c r="AJ51" i="23"/>
  <c r="AK50" i="23"/>
  <c r="AJ50" i="23"/>
  <c r="AK49" i="23"/>
  <c r="AJ49" i="23"/>
  <c r="AK48" i="23"/>
  <c r="AJ48" i="23"/>
  <c r="AK47" i="23"/>
  <c r="AJ47" i="23"/>
  <c r="Y47" i="24" l="1"/>
  <c r="AY45" i="24"/>
  <c r="G46" i="24"/>
  <c r="X46" i="24" s="1"/>
  <c r="AY46" i="24" s="1"/>
  <c r="AW47" i="24"/>
  <c r="AV47" i="24"/>
  <c r="AT49" i="24"/>
  <c r="X45" i="24"/>
  <c r="S47" i="24"/>
  <c r="V47" i="24"/>
  <c r="U47" i="24"/>
  <c r="G45" i="24"/>
  <c r="E51" i="24"/>
  <c r="V51" i="24" s="1"/>
  <c r="D51" i="24"/>
  <c r="U51" i="24" s="1"/>
  <c r="E48" i="24"/>
  <c r="V48" i="24" s="1"/>
  <c r="AW48" i="24" s="1"/>
  <c r="E49" i="24" s="1"/>
  <c r="V49" i="24" s="1"/>
  <c r="AW49" i="24" s="1"/>
  <c r="E50" i="24" s="1"/>
  <c r="V50" i="24" s="1"/>
  <c r="D48" i="24"/>
  <c r="U48" i="24" s="1"/>
  <c r="AV48" i="24" s="1"/>
  <c r="D49" i="24" s="1"/>
  <c r="U49" i="24" s="1"/>
  <c r="AV49" i="24" s="1"/>
  <c r="D50" i="24" s="1"/>
  <c r="U50" i="24" s="1"/>
  <c r="E47" i="24"/>
  <c r="D47" i="24"/>
  <c r="X50" i="23"/>
  <c r="Y47" i="23"/>
  <c r="X47" i="23"/>
  <c r="S47" i="23"/>
  <c r="BI45" i="23"/>
  <c r="X45" i="23"/>
  <c r="G46" i="23"/>
  <c r="X46" i="23" s="1"/>
  <c r="G45" i="23"/>
  <c r="BJ52" i="22"/>
  <c r="BI52" i="22"/>
  <c r="BG52" i="22"/>
  <c r="BF52" i="22"/>
  <c r="BD52" i="22"/>
  <c r="AW50" i="22"/>
  <c r="AV50" i="22"/>
  <c r="AW49" i="22"/>
  <c r="AV49" i="22"/>
  <c r="AW48" i="22"/>
  <c r="AV48" i="22"/>
  <c r="AW47" i="22"/>
  <c r="AV47" i="22"/>
  <c r="AY45" i="22"/>
  <c r="BJ44" i="22"/>
  <c r="BH44" i="22"/>
  <c r="BE44" i="22"/>
  <c r="BD44" i="22"/>
  <c r="AX41" i="22"/>
  <c r="BJ42" i="22"/>
  <c r="BH42" i="22"/>
  <c r="BE42" i="22"/>
  <c r="BD42" i="22"/>
  <c r="BJ41" i="22"/>
  <c r="BH41" i="22"/>
  <c r="BE41" i="22"/>
  <c r="BD41" i="22"/>
  <c r="X47" i="21"/>
  <c r="Y47" i="21"/>
  <c r="X45" i="21"/>
  <c r="G46" i="21"/>
  <c r="X46" i="21" s="1"/>
  <c r="S47" i="21"/>
  <c r="V47" i="21"/>
  <c r="U47" i="21"/>
  <c r="D48" i="21" s="1"/>
  <c r="U48" i="21" s="1"/>
  <c r="E48" i="21"/>
  <c r="V48" i="21" s="1"/>
  <c r="AH50" i="7" l="1"/>
  <c r="AG45" i="7"/>
  <c r="AE47" i="7"/>
  <c r="AD47" i="7"/>
  <c r="G46" i="7"/>
  <c r="G45" i="7"/>
  <c r="E48" i="7"/>
  <c r="D48" i="7"/>
  <c r="E47" i="7"/>
  <c r="D47" i="7"/>
  <c r="AP47" i="19"/>
  <c r="E48" i="19" s="1"/>
  <c r="AO47" i="19"/>
  <c r="AR45" i="19"/>
  <c r="G46" i="19" s="1"/>
  <c r="G45" i="19"/>
  <c r="D48" i="19"/>
  <c r="AS41" i="4"/>
  <c r="AQ41" i="4"/>
  <c r="AN41" i="4"/>
  <c r="AM41" i="4"/>
  <c r="G45" i="1"/>
  <c r="G46" i="1" s="1"/>
  <c r="E47" i="1"/>
  <c r="E48" i="1" s="1"/>
  <c r="D47" i="1"/>
  <c r="D48" i="1" s="1"/>
  <c r="H5" i="24" l="1"/>
  <c r="H6" i="24"/>
  <c r="H7" i="24"/>
  <c r="H8" i="24"/>
  <c r="H9" i="24"/>
  <c r="H10" i="24"/>
  <c r="H11" i="24"/>
  <c r="H12" i="24"/>
  <c r="H13" i="24"/>
  <c r="H14" i="24"/>
  <c r="H15" i="24"/>
  <c r="H16" i="24"/>
  <c r="H17" i="24"/>
  <c r="H18" i="24"/>
  <c r="H19" i="24"/>
  <c r="H20" i="24"/>
  <c r="H21" i="24"/>
  <c r="H22" i="24"/>
  <c r="H23" i="24"/>
  <c r="H24" i="24"/>
  <c r="H25" i="24"/>
  <c r="H26" i="24"/>
  <c r="H27" i="24"/>
  <c r="H28" i="24"/>
  <c r="H29" i="24"/>
  <c r="H30" i="24"/>
  <c r="H31" i="24"/>
  <c r="H32" i="24"/>
  <c r="H33" i="24"/>
  <c r="G33" i="24"/>
  <c r="G32" i="24"/>
  <c r="G31" i="24"/>
  <c r="G30" i="24"/>
  <c r="G29" i="24"/>
  <c r="G28" i="24"/>
  <c r="G27" i="24"/>
  <c r="G26" i="24"/>
  <c r="G25" i="24"/>
  <c r="G24" i="24"/>
  <c r="G23" i="24"/>
  <c r="G22" i="24"/>
  <c r="G21" i="24"/>
  <c r="G20" i="24"/>
  <c r="G19" i="24"/>
  <c r="G18" i="24"/>
  <c r="G17" i="24"/>
  <c r="G16" i="24"/>
  <c r="G15" i="24"/>
  <c r="G14" i="24"/>
  <c r="G13" i="24"/>
  <c r="G12" i="24"/>
  <c r="G11" i="24"/>
  <c r="G10" i="24"/>
  <c r="F5" i="24"/>
  <c r="F6" i="24"/>
  <c r="F7" i="24"/>
  <c r="F8" i="24"/>
  <c r="F9" i="24"/>
  <c r="E33" i="24"/>
  <c r="D33" i="24"/>
  <c r="E32" i="24"/>
  <c r="D32" i="24"/>
  <c r="E31" i="24"/>
  <c r="D31" i="24"/>
  <c r="E30" i="24"/>
  <c r="D30" i="24"/>
  <c r="E29" i="24"/>
  <c r="D29" i="24"/>
  <c r="E28" i="24"/>
  <c r="D28" i="24"/>
  <c r="E27" i="24"/>
  <c r="D27" i="24"/>
  <c r="E26" i="24"/>
  <c r="D26" i="24"/>
  <c r="E25" i="24"/>
  <c r="D25" i="24"/>
  <c r="E24" i="24"/>
  <c r="D24" i="24"/>
  <c r="E23" i="24"/>
  <c r="D23" i="24"/>
  <c r="E22" i="24"/>
  <c r="D22" i="24"/>
  <c r="E21" i="24"/>
  <c r="D21" i="24"/>
  <c r="E20" i="24"/>
  <c r="D20" i="24"/>
  <c r="E19" i="24"/>
  <c r="D19" i="24"/>
  <c r="E18" i="24"/>
  <c r="D18" i="24"/>
  <c r="E17" i="24"/>
  <c r="D17" i="24"/>
  <c r="E16" i="24"/>
  <c r="D16" i="24"/>
  <c r="E15" i="24"/>
  <c r="D15" i="24"/>
  <c r="E14" i="24"/>
  <c r="D14" i="24"/>
  <c r="E13" i="24"/>
  <c r="D13" i="24"/>
  <c r="E12" i="24"/>
  <c r="D12" i="24"/>
  <c r="C5" i="24"/>
  <c r="C6" i="24"/>
  <c r="C7" i="24"/>
  <c r="C8" i="24"/>
  <c r="C9" i="24"/>
  <c r="C10" i="24"/>
  <c r="C11" i="24"/>
  <c r="C12" i="24"/>
  <c r="C13" i="24"/>
  <c r="C14" i="24"/>
  <c r="C15" i="24"/>
  <c r="C16" i="24"/>
  <c r="B5" i="24"/>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G11" i="23"/>
  <c r="G10" i="23"/>
  <c r="F5" i="23"/>
  <c r="F6" i="23"/>
  <c r="F7" i="23"/>
  <c r="F8" i="23"/>
  <c r="F9" i="23"/>
  <c r="A42" i="1"/>
  <c r="O32" i="22"/>
  <c r="N32" i="22"/>
  <c r="O31" i="22"/>
  <c r="N31" i="22"/>
  <c r="O30" i="22"/>
  <c r="N30" i="22"/>
  <c r="O29" i="22"/>
  <c r="N29" i="22"/>
  <c r="O28" i="22"/>
  <c r="N28" i="22"/>
  <c r="O27" i="22"/>
  <c r="N27" i="22"/>
  <c r="O26" i="22"/>
  <c r="N26" i="22"/>
  <c r="O25" i="22"/>
  <c r="N25" i="22"/>
  <c r="O24" i="22"/>
  <c r="N24" i="22"/>
  <c r="O23" i="22"/>
  <c r="N23" i="22"/>
  <c r="O22" i="22"/>
  <c r="N22" i="22"/>
  <c r="O21" i="22"/>
  <c r="N21" i="22"/>
  <c r="O20" i="22"/>
  <c r="N20" i="22"/>
  <c r="O19" i="22"/>
  <c r="N19" i="22"/>
  <c r="O18" i="22"/>
  <c r="N18" i="22"/>
  <c r="O17" i="22"/>
  <c r="N17" i="22"/>
  <c r="O16" i="22"/>
  <c r="N16" i="22"/>
  <c r="O15" i="22"/>
  <c r="N15" i="22"/>
  <c r="O14" i="22"/>
  <c r="N14" i="22"/>
  <c r="O13" i="22"/>
  <c r="N13" i="22"/>
  <c r="O12" i="22"/>
  <c r="N12" i="22"/>
  <c r="O11" i="22"/>
  <c r="N11" i="22"/>
  <c r="O10" i="22"/>
  <c r="N10" i="22"/>
  <c r="O9" i="22"/>
  <c r="N9" i="22"/>
  <c r="O8" i="22"/>
  <c r="N8" i="22"/>
  <c r="O7" i="22"/>
  <c r="N7" i="22"/>
  <c r="O6" i="22"/>
  <c r="N6" i="22"/>
  <c r="O5" i="22"/>
  <c r="N5" i="22"/>
  <c r="O4" i="22"/>
  <c r="N4" i="22"/>
  <c r="E13" i="21" l="1"/>
  <c r="D13" i="21"/>
  <c r="E14" i="22"/>
  <c r="D14" i="22"/>
  <c r="E13" i="22"/>
  <c r="D13" i="22"/>
  <c r="G11" i="22"/>
  <c r="G12" i="22"/>
  <c r="G11" i="21"/>
  <c r="E11" i="28" l="1"/>
  <c r="D11" i="28"/>
  <c r="E10" i="28"/>
  <c r="D10" i="28"/>
  <c r="E13" i="28"/>
  <c r="D13" i="28"/>
  <c r="E12" i="28"/>
  <c r="D12" i="28"/>
  <c r="G9" i="25"/>
  <c r="G10" i="25"/>
  <c r="G11" i="25"/>
  <c r="E11" i="25"/>
  <c r="D11" i="25"/>
  <c r="E12" i="25"/>
  <c r="D12" i="25"/>
  <c r="E13" i="25"/>
  <c r="D13" i="25"/>
  <c r="G9" i="7"/>
  <c r="G10" i="7"/>
  <c r="G11" i="7"/>
  <c r="E11" i="7"/>
  <c r="D11" i="7"/>
  <c r="E12" i="7"/>
  <c r="D12" i="7"/>
  <c r="E13" i="7"/>
  <c r="D13" i="7"/>
  <c r="G10" i="19"/>
  <c r="G11" i="19"/>
  <c r="E11" i="19"/>
  <c r="D11" i="19"/>
  <c r="E12" i="19"/>
  <c r="D12" i="19"/>
  <c r="E13" i="19"/>
  <c r="D13" i="19"/>
  <c r="G9" i="4"/>
  <c r="G10" i="4"/>
  <c r="E11" i="4"/>
  <c r="D11" i="4"/>
  <c r="E12" i="4"/>
  <c r="D12" i="4"/>
  <c r="G11" i="4"/>
  <c r="E13" i="4"/>
  <c r="D13" i="4"/>
  <c r="G12" i="29" l="1"/>
  <c r="E14" i="29"/>
  <c r="D14" i="29"/>
  <c r="G12" i="26" l="1"/>
  <c r="E14" i="26"/>
  <c r="D14" i="26"/>
  <c r="G12" i="23"/>
  <c r="E14" i="23"/>
  <c r="D14" i="23"/>
  <c r="G12" i="21"/>
  <c r="E14" i="21"/>
  <c r="D14" i="21"/>
  <c r="G12" i="28"/>
  <c r="E14" i="28"/>
  <c r="D14" i="28"/>
  <c r="G12" i="25"/>
  <c r="E14" i="25"/>
  <c r="D14" i="25"/>
  <c r="G12" i="7"/>
  <c r="E14" i="7"/>
  <c r="D14" i="7"/>
  <c r="G12" i="19"/>
  <c r="E14" i="19"/>
  <c r="D14" i="19"/>
  <c r="G12"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5" i="4"/>
  <c r="H4" i="4"/>
  <c r="G33" i="4"/>
  <c r="G32" i="4"/>
  <c r="G31" i="4"/>
  <c r="G30" i="4"/>
  <c r="G29" i="4"/>
  <c r="G28" i="4"/>
  <c r="G27" i="4"/>
  <c r="G26" i="4"/>
  <c r="G25" i="4"/>
  <c r="G24" i="4"/>
  <c r="G23" i="4"/>
  <c r="G22" i="4"/>
  <c r="G21" i="4"/>
  <c r="G20" i="4"/>
  <c r="G19" i="4"/>
  <c r="G18" i="4"/>
  <c r="G17" i="4"/>
  <c r="G16" i="4"/>
  <c r="G15" i="4"/>
  <c r="G14" i="4"/>
  <c r="G13" i="4"/>
  <c r="F11" i="4"/>
  <c r="F10" i="4"/>
  <c r="F9" i="4"/>
  <c r="F8" i="4"/>
  <c r="F7" i="4"/>
  <c r="F6" i="4"/>
  <c r="F5" i="4"/>
  <c r="F4" i="4"/>
  <c r="C13" i="4"/>
  <c r="C12" i="4"/>
  <c r="C11" i="4"/>
  <c r="C10" i="4"/>
  <c r="C9" i="4"/>
  <c r="C8" i="4"/>
  <c r="C7" i="4"/>
  <c r="C6" i="4"/>
  <c r="C5" i="4"/>
  <c r="C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E14" i="4"/>
  <c r="D14" i="4"/>
  <c r="I5" i="1" l="1"/>
  <c r="I6" i="1" s="1"/>
  <c r="I7" i="1" s="1"/>
  <c r="I8" i="1" s="1"/>
  <c r="I9" i="1" s="1"/>
  <c r="I10" i="1" s="1"/>
  <c r="I11" i="1" s="1"/>
  <c r="I12" i="1" s="1"/>
  <c r="I13" i="1" s="1"/>
  <c r="I14" i="1" s="1"/>
  <c r="I15" i="1" s="1"/>
  <c r="I16" i="1" s="1"/>
  <c r="I17" i="1" s="1"/>
  <c r="I18" i="1" s="1"/>
  <c r="I19" i="1" s="1"/>
  <c r="I20" i="1" s="1"/>
  <c r="I21" i="1" s="1"/>
  <c r="I22" i="1" s="1"/>
  <c r="I23" i="1" s="1"/>
  <c r="I24" i="1" s="1"/>
  <c r="I25" i="1" s="1"/>
  <c r="I26" i="1" s="1"/>
  <c r="I27" i="1" s="1"/>
  <c r="I28" i="1" s="1"/>
  <c r="O33" i="29" l="1"/>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Y39" i="29"/>
  <c r="X39" i="29"/>
  <c r="W39" i="29"/>
  <c r="V39" i="29"/>
  <c r="U39" i="29"/>
  <c r="T39" i="29"/>
  <c r="S39" i="29"/>
  <c r="R39" i="29"/>
  <c r="I39" i="29"/>
  <c r="Z39" i="29" s="1"/>
  <c r="AM39" i="29" s="1"/>
  <c r="Z38" i="29"/>
  <c r="R38" i="29"/>
  <c r="H33" i="29"/>
  <c r="G33" i="29"/>
  <c r="E33" i="29"/>
  <c r="D33" i="29"/>
  <c r="B33" i="29"/>
  <c r="A33" i="29"/>
  <c r="H32" i="29"/>
  <c r="G32" i="29"/>
  <c r="E32" i="29"/>
  <c r="D32" i="29"/>
  <c r="B32" i="29"/>
  <c r="A32" i="29"/>
  <c r="H31" i="29"/>
  <c r="G31" i="29"/>
  <c r="E31" i="29"/>
  <c r="D31" i="29"/>
  <c r="B31" i="29"/>
  <c r="A31" i="29"/>
  <c r="H30" i="29"/>
  <c r="G30" i="29"/>
  <c r="E30" i="29"/>
  <c r="D30" i="29"/>
  <c r="B30" i="29"/>
  <c r="A30" i="29"/>
  <c r="H29" i="29"/>
  <c r="G29" i="29"/>
  <c r="E29" i="29"/>
  <c r="D29" i="29"/>
  <c r="B29" i="29"/>
  <c r="A29" i="29"/>
  <c r="H28" i="29"/>
  <c r="G28" i="29"/>
  <c r="E28" i="29"/>
  <c r="D28" i="29"/>
  <c r="B28" i="29"/>
  <c r="A28" i="29"/>
  <c r="A64" i="29" s="1"/>
  <c r="H27" i="29"/>
  <c r="G27" i="29"/>
  <c r="E27" i="29"/>
  <c r="D27" i="29"/>
  <c r="B27" i="29"/>
  <c r="A27" i="29"/>
  <c r="A63" i="29" s="1"/>
  <c r="H26" i="29"/>
  <c r="G26" i="29"/>
  <c r="E26" i="29"/>
  <c r="D26" i="29"/>
  <c r="B26" i="29"/>
  <c r="A26" i="29"/>
  <c r="A62" i="29" s="1"/>
  <c r="H25" i="29"/>
  <c r="G25" i="29"/>
  <c r="E25" i="29"/>
  <c r="D25" i="29"/>
  <c r="B25" i="29"/>
  <c r="A25" i="29"/>
  <c r="A61" i="29" s="1"/>
  <c r="H24" i="29"/>
  <c r="G24" i="29"/>
  <c r="E24" i="29"/>
  <c r="D24" i="29"/>
  <c r="B24" i="29"/>
  <c r="A24" i="29"/>
  <c r="A60" i="29" s="1"/>
  <c r="H23" i="29"/>
  <c r="G23" i="29"/>
  <c r="E23" i="29"/>
  <c r="D23" i="29"/>
  <c r="B23" i="29"/>
  <c r="A23" i="29"/>
  <c r="A59" i="29" s="1"/>
  <c r="H22" i="29"/>
  <c r="G22" i="29"/>
  <c r="E22" i="29"/>
  <c r="D22" i="29"/>
  <c r="B22" i="29"/>
  <c r="A22" i="29"/>
  <c r="A58" i="29" s="1"/>
  <c r="H21" i="29"/>
  <c r="G21" i="29"/>
  <c r="E21" i="29"/>
  <c r="D21" i="29"/>
  <c r="B21" i="29"/>
  <c r="A21" i="29"/>
  <c r="A57" i="29" s="1"/>
  <c r="H20" i="29"/>
  <c r="G20" i="29"/>
  <c r="E20" i="29"/>
  <c r="D20" i="29"/>
  <c r="B20" i="29"/>
  <c r="A20" i="29"/>
  <c r="A56" i="29" s="1"/>
  <c r="H19" i="29"/>
  <c r="G19" i="29"/>
  <c r="E19" i="29"/>
  <c r="D19" i="29"/>
  <c r="B19" i="29"/>
  <c r="A19" i="29"/>
  <c r="A55" i="29" s="1"/>
  <c r="H18" i="29"/>
  <c r="G18" i="29"/>
  <c r="E18" i="29"/>
  <c r="D18" i="29"/>
  <c r="B18" i="29"/>
  <c r="A18" i="29"/>
  <c r="A54" i="29" s="1"/>
  <c r="H17" i="29"/>
  <c r="G17" i="29"/>
  <c r="E17" i="29"/>
  <c r="D17" i="29"/>
  <c r="B17" i="29"/>
  <c r="A17" i="29"/>
  <c r="A53" i="29" s="1"/>
  <c r="H16" i="29"/>
  <c r="G16" i="29"/>
  <c r="E16" i="29"/>
  <c r="D16" i="29"/>
  <c r="B16" i="29"/>
  <c r="A16" i="29"/>
  <c r="A52" i="29" s="1"/>
  <c r="H15" i="29"/>
  <c r="G15" i="29"/>
  <c r="E15" i="29"/>
  <c r="D15" i="29"/>
  <c r="B15" i="29"/>
  <c r="A15" i="29"/>
  <c r="A51" i="29" s="1"/>
  <c r="H14" i="29"/>
  <c r="G14" i="29"/>
  <c r="C14" i="29"/>
  <c r="B14" i="29"/>
  <c r="A14" i="29"/>
  <c r="A50" i="29" s="1"/>
  <c r="R50" i="29" s="1"/>
  <c r="H13" i="29"/>
  <c r="G13" i="29"/>
  <c r="C13" i="29"/>
  <c r="B13" i="29"/>
  <c r="A13" i="29"/>
  <c r="A49" i="29" s="1"/>
  <c r="H12" i="29"/>
  <c r="F12" i="29"/>
  <c r="C12" i="29"/>
  <c r="B12" i="29"/>
  <c r="A12" i="29"/>
  <c r="A48" i="29" s="1"/>
  <c r="R48" i="29" s="1"/>
  <c r="H11" i="29"/>
  <c r="F11" i="29"/>
  <c r="C11" i="29"/>
  <c r="B11" i="29"/>
  <c r="A11" i="29"/>
  <c r="A47" i="29" s="1"/>
  <c r="H10" i="29"/>
  <c r="F10" i="29"/>
  <c r="C10" i="29"/>
  <c r="B10" i="29"/>
  <c r="A10" i="29"/>
  <c r="A46" i="29" s="1"/>
  <c r="H9" i="29"/>
  <c r="F9" i="29"/>
  <c r="C9" i="29"/>
  <c r="B9" i="29"/>
  <c r="A9" i="29"/>
  <c r="A45" i="29" s="1"/>
  <c r="H8" i="29"/>
  <c r="F8" i="29"/>
  <c r="C8" i="29"/>
  <c r="B8" i="29"/>
  <c r="A8" i="29"/>
  <c r="A44" i="29" s="1"/>
  <c r="H7" i="29"/>
  <c r="F7" i="29"/>
  <c r="C7" i="29"/>
  <c r="B7" i="29"/>
  <c r="A7" i="29"/>
  <c r="A43" i="29" s="1"/>
  <c r="H6" i="29"/>
  <c r="F6" i="29"/>
  <c r="C6" i="29"/>
  <c r="B6" i="29"/>
  <c r="A6" i="29"/>
  <c r="A42" i="29" s="1"/>
  <c r="H5" i="29"/>
  <c r="F5" i="29"/>
  <c r="C5" i="29"/>
  <c r="B5" i="29"/>
  <c r="A5" i="29"/>
  <c r="A41" i="29" s="1"/>
  <c r="H4" i="29"/>
  <c r="H40" i="29" s="1"/>
  <c r="Y40" i="29" s="1"/>
  <c r="F4" i="29"/>
  <c r="F40" i="29" s="1"/>
  <c r="W40" i="29" s="1"/>
  <c r="C4" i="29"/>
  <c r="C40" i="29" s="1"/>
  <c r="T40" i="29" s="1"/>
  <c r="B4" i="29"/>
  <c r="B40" i="29" s="1"/>
  <c r="A4" i="29"/>
  <c r="A40" i="29" s="1"/>
  <c r="H3" i="29"/>
  <c r="H38" i="29" s="1"/>
  <c r="G3" i="29"/>
  <c r="G38" i="29" s="1"/>
  <c r="F3" i="29"/>
  <c r="F38" i="29" s="1"/>
  <c r="AK38" i="29" s="1"/>
  <c r="E3" i="29"/>
  <c r="E38" i="29" s="1"/>
  <c r="D3" i="29"/>
  <c r="D38" i="29" s="1"/>
  <c r="C3" i="29"/>
  <c r="C38" i="29" s="1"/>
  <c r="B3" i="29"/>
  <c r="B38" i="29" s="1"/>
  <c r="AG38" i="29" s="1"/>
  <c r="A3" i="29"/>
  <c r="H2" i="29"/>
  <c r="H37" i="29" s="1"/>
  <c r="G2" i="29"/>
  <c r="G37" i="29" s="1"/>
  <c r="F2" i="29"/>
  <c r="F37" i="29" s="1"/>
  <c r="E2" i="29"/>
  <c r="E37" i="29" s="1"/>
  <c r="D2" i="29"/>
  <c r="D37" i="29" s="1"/>
  <c r="C2" i="29"/>
  <c r="C37" i="29" s="1"/>
  <c r="B2" i="29"/>
  <c r="B37" i="29" s="1"/>
  <c r="H33" i="28"/>
  <c r="G33" i="28"/>
  <c r="E33" i="28"/>
  <c r="D33" i="28"/>
  <c r="B33" i="28"/>
  <c r="A33" i="28"/>
  <c r="H32" i="28"/>
  <c r="G32" i="28"/>
  <c r="E32" i="28"/>
  <c r="D32" i="28"/>
  <c r="B32" i="28"/>
  <c r="A32" i="28"/>
  <c r="H31" i="28"/>
  <c r="G31" i="28"/>
  <c r="E31" i="28"/>
  <c r="D31" i="28"/>
  <c r="B31" i="28"/>
  <c r="A31" i="28"/>
  <c r="H30" i="28"/>
  <c r="G30" i="28"/>
  <c r="E30" i="28"/>
  <c r="D30" i="28"/>
  <c r="B30" i="28"/>
  <c r="A30" i="28"/>
  <c r="H29" i="28"/>
  <c r="G29" i="28"/>
  <c r="E29" i="28"/>
  <c r="D29" i="28"/>
  <c r="B29" i="28"/>
  <c r="A29" i="28"/>
  <c r="H28" i="28"/>
  <c r="G28" i="28"/>
  <c r="E28" i="28"/>
  <c r="D28" i="28"/>
  <c r="B28" i="28"/>
  <c r="A28" i="28"/>
  <c r="H27" i="28"/>
  <c r="G27" i="28"/>
  <c r="E27" i="28"/>
  <c r="D27" i="28"/>
  <c r="B27" i="28"/>
  <c r="A27" i="28"/>
  <c r="H26" i="28"/>
  <c r="G26" i="28"/>
  <c r="E26" i="28"/>
  <c r="D26" i="28"/>
  <c r="B26" i="28"/>
  <c r="A26" i="28"/>
  <c r="A62" i="28" s="1"/>
  <c r="O62" i="28" s="1"/>
  <c r="H25" i="28"/>
  <c r="G25" i="28"/>
  <c r="E25" i="28"/>
  <c r="D25" i="28"/>
  <c r="B25" i="28"/>
  <c r="A25" i="28"/>
  <c r="A61" i="28" s="1"/>
  <c r="O61" i="28" s="1"/>
  <c r="H24" i="28"/>
  <c r="G24" i="28"/>
  <c r="E24" i="28"/>
  <c r="D24" i="28"/>
  <c r="B24" i="28"/>
  <c r="A24" i="28"/>
  <c r="A60" i="28" s="1"/>
  <c r="O60" i="28" s="1"/>
  <c r="H23" i="28"/>
  <c r="G23" i="28"/>
  <c r="E23" i="28"/>
  <c r="D23" i="28"/>
  <c r="B23" i="28"/>
  <c r="A23" i="28"/>
  <c r="H22" i="28"/>
  <c r="G22" i="28"/>
  <c r="E22" i="28"/>
  <c r="D22" i="28"/>
  <c r="B22" i="28"/>
  <c r="A22" i="28"/>
  <c r="A58" i="28" s="1"/>
  <c r="O58" i="28" s="1"/>
  <c r="H21" i="28"/>
  <c r="G21" i="28"/>
  <c r="E21" i="28"/>
  <c r="D21" i="28"/>
  <c r="B21" i="28"/>
  <c r="A21" i="28"/>
  <c r="H20" i="28"/>
  <c r="G20" i="28"/>
  <c r="E20" i="28"/>
  <c r="D20" i="28"/>
  <c r="B20" i="28"/>
  <c r="A20" i="28"/>
  <c r="H19" i="28"/>
  <c r="G19" i="28"/>
  <c r="E19" i="28"/>
  <c r="D19" i="28"/>
  <c r="B19" i="28"/>
  <c r="A19" i="28"/>
  <c r="A55" i="28" s="1"/>
  <c r="O55" i="28" s="1"/>
  <c r="H18" i="28"/>
  <c r="G18" i="28"/>
  <c r="E18" i="28"/>
  <c r="D18" i="28"/>
  <c r="B18" i="28"/>
  <c r="A18" i="28"/>
  <c r="A54" i="28" s="1"/>
  <c r="O54" i="28" s="1"/>
  <c r="H17" i="28"/>
  <c r="G17" i="28"/>
  <c r="E17" i="28"/>
  <c r="D17" i="28"/>
  <c r="B17" i="28"/>
  <c r="A17" i="28"/>
  <c r="H16" i="28"/>
  <c r="G16" i="28"/>
  <c r="E16" i="28"/>
  <c r="D16" i="28"/>
  <c r="B16" i="28"/>
  <c r="A16" i="28"/>
  <c r="A52" i="28" s="1"/>
  <c r="O52" i="28" s="1"/>
  <c r="H15" i="28"/>
  <c r="G15" i="28"/>
  <c r="E15" i="28"/>
  <c r="D15" i="28"/>
  <c r="B15" i="28"/>
  <c r="A15" i="28"/>
  <c r="H14" i="28"/>
  <c r="G14" i="28"/>
  <c r="C14" i="28"/>
  <c r="B14" i="28"/>
  <c r="A14" i="28"/>
  <c r="A50" i="28" s="1"/>
  <c r="O50" i="28" s="1"/>
  <c r="H13" i="28"/>
  <c r="G13" i="28"/>
  <c r="C13" i="28"/>
  <c r="B13" i="28"/>
  <c r="A13" i="28"/>
  <c r="A49" i="28" s="1"/>
  <c r="O49" i="28" s="1"/>
  <c r="H12" i="28"/>
  <c r="F12" i="28"/>
  <c r="C12" i="28"/>
  <c r="B12" i="28"/>
  <c r="A12" i="28"/>
  <c r="A48" i="28" s="1"/>
  <c r="O48" i="28" s="1"/>
  <c r="H11" i="28"/>
  <c r="F11" i="28"/>
  <c r="C11" i="28"/>
  <c r="B11" i="28"/>
  <c r="A11" i="28"/>
  <c r="H10" i="28"/>
  <c r="F10" i="28"/>
  <c r="C10" i="28"/>
  <c r="B10" i="28"/>
  <c r="A10" i="28"/>
  <c r="A46" i="28" s="1"/>
  <c r="O46" i="28" s="1"/>
  <c r="H9" i="28"/>
  <c r="F9" i="28"/>
  <c r="C9" i="28"/>
  <c r="B9" i="28"/>
  <c r="A9" i="28"/>
  <c r="A45" i="28" s="1"/>
  <c r="O45" i="28" s="1"/>
  <c r="H8" i="28"/>
  <c r="F8" i="28"/>
  <c r="C8" i="28"/>
  <c r="B8" i="28"/>
  <c r="A8" i="28"/>
  <c r="A44" i="28" s="1"/>
  <c r="O44" i="28" s="1"/>
  <c r="H7" i="28"/>
  <c r="F7" i="28"/>
  <c r="C7" i="28"/>
  <c r="B7" i="28"/>
  <c r="A7" i="28"/>
  <c r="A43" i="28" s="1"/>
  <c r="O43" i="28" s="1"/>
  <c r="H6" i="28"/>
  <c r="F6" i="28"/>
  <c r="C6" i="28"/>
  <c r="B6" i="28"/>
  <c r="A6" i="28"/>
  <c r="A42" i="28" s="1"/>
  <c r="O42" i="28" s="1"/>
  <c r="H5" i="28"/>
  <c r="F5" i="28"/>
  <c r="C5" i="28"/>
  <c r="B5" i="28"/>
  <c r="A5" i="28"/>
  <c r="A41" i="28" s="1"/>
  <c r="O41" i="28" s="1"/>
  <c r="H4" i="28"/>
  <c r="H40" i="28" s="1"/>
  <c r="F4" i="28"/>
  <c r="C4" i="28"/>
  <c r="C40" i="28" s="1"/>
  <c r="C41" i="28" s="1"/>
  <c r="B4" i="28"/>
  <c r="B40" i="28" s="1"/>
  <c r="A4" i="28"/>
  <c r="A40" i="28" s="1"/>
  <c r="O40" i="28" s="1"/>
  <c r="H3" i="28"/>
  <c r="G3" i="28"/>
  <c r="F3" i="28"/>
  <c r="F38" i="28" s="1"/>
  <c r="T38" i="28" s="1"/>
  <c r="E3" i="28"/>
  <c r="D3" i="28"/>
  <c r="C3" i="28"/>
  <c r="C38" i="28" s="1"/>
  <c r="Q38" i="28" s="1"/>
  <c r="B3" i="28"/>
  <c r="B38" i="28" s="1"/>
  <c r="P38" i="28" s="1"/>
  <c r="A3" i="28"/>
  <c r="H2" i="28"/>
  <c r="G2" i="28"/>
  <c r="G37" i="28" s="1"/>
  <c r="U37" i="28" s="1"/>
  <c r="F2" i="28"/>
  <c r="F37" i="28" s="1"/>
  <c r="T37" i="28" s="1"/>
  <c r="E2" i="28"/>
  <c r="E37" i="28" s="1"/>
  <c r="S37" i="28" s="1"/>
  <c r="D2" i="28"/>
  <c r="C2" i="28"/>
  <c r="C37" i="28" s="1"/>
  <c r="Q37" i="28" s="1"/>
  <c r="B2" i="28"/>
  <c r="B37" i="28" s="1"/>
  <c r="P37" i="28" s="1"/>
  <c r="A64" i="28"/>
  <c r="O64" i="28" s="1"/>
  <c r="A63" i="28"/>
  <c r="O63" i="28" s="1"/>
  <c r="A59" i="28"/>
  <c r="O59" i="28" s="1"/>
  <c r="A57" i="28"/>
  <c r="O57" i="28" s="1"/>
  <c r="A56" i="28"/>
  <c r="O56" i="28" s="1"/>
  <c r="A53" i="28"/>
  <c r="O53" i="28" s="1"/>
  <c r="A51" i="28"/>
  <c r="O51" i="28" s="1"/>
  <c r="A47" i="28"/>
  <c r="O47" i="28" s="1"/>
  <c r="F40" i="28"/>
  <c r="I39" i="28"/>
  <c r="W39" i="28" s="1"/>
  <c r="H38" i="28"/>
  <c r="V38" i="28" s="1"/>
  <c r="G38" i="28"/>
  <c r="U38" i="28" s="1"/>
  <c r="E38" i="28"/>
  <c r="S38" i="28" s="1"/>
  <c r="D38" i="28"/>
  <c r="R38" i="28" s="1"/>
  <c r="H37" i="28"/>
  <c r="V37" i="28" s="1"/>
  <c r="D37" i="28"/>
  <c r="R37" i="28" s="1"/>
  <c r="F41" i="28" l="1"/>
  <c r="B41" i="28"/>
  <c r="AG39" i="29"/>
  <c r="AK39" i="29"/>
  <c r="AH39" i="29"/>
  <c r="AI37" i="29"/>
  <c r="U37" i="29"/>
  <c r="R47" i="29"/>
  <c r="AF47" i="29"/>
  <c r="N47" i="29"/>
  <c r="AJ37" i="29"/>
  <c r="V37" i="29"/>
  <c r="AJ38" i="29"/>
  <c r="V38" i="29"/>
  <c r="AF40" i="29"/>
  <c r="N40" i="29"/>
  <c r="R40" i="29"/>
  <c r="AF44" i="29"/>
  <c r="N44" i="29"/>
  <c r="R44" i="29"/>
  <c r="AM37" i="29"/>
  <c r="Y37" i="29"/>
  <c r="AM38" i="29"/>
  <c r="Y38" i="29"/>
  <c r="S37" i="29"/>
  <c r="AG37" i="29"/>
  <c r="W37" i="29"/>
  <c r="AK37" i="29"/>
  <c r="I40" i="29"/>
  <c r="O40" i="29" s="1"/>
  <c r="S40" i="29" s="1"/>
  <c r="R41" i="29"/>
  <c r="AF41" i="29"/>
  <c r="N41" i="29"/>
  <c r="R45" i="29"/>
  <c r="N45" i="29"/>
  <c r="AF45" i="29"/>
  <c r="AI38" i="29"/>
  <c r="U38" i="29"/>
  <c r="AF43" i="29"/>
  <c r="N43" i="29"/>
  <c r="R43" i="29"/>
  <c r="T37" i="29"/>
  <c r="AH37" i="29"/>
  <c r="X37" i="29"/>
  <c r="AL37" i="29"/>
  <c r="AH38" i="29"/>
  <c r="T38" i="29"/>
  <c r="AL38" i="29"/>
  <c r="X38" i="29"/>
  <c r="R42" i="29"/>
  <c r="AF42" i="29"/>
  <c r="N42" i="29"/>
  <c r="AF46" i="29"/>
  <c r="R46" i="29"/>
  <c r="N46" i="29"/>
  <c r="S38" i="29"/>
  <c r="AF53" i="29"/>
  <c r="N53" i="29"/>
  <c r="AF54" i="29"/>
  <c r="N54" i="29"/>
  <c r="N55" i="29"/>
  <c r="R55" i="29"/>
  <c r="AF55" i="29"/>
  <c r="N57" i="29"/>
  <c r="R57" i="29"/>
  <c r="AF57" i="29"/>
  <c r="N59" i="29"/>
  <c r="R59" i="29"/>
  <c r="AF59" i="29"/>
  <c r="N61" i="29"/>
  <c r="AF61" i="29"/>
  <c r="R61" i="29"/>
  <c r="N63" i="29"/>
  <c r="AF63" i="29"/>
  <c r="R63" i="29"/>
  <c r="AN39" i="29"/>
  <c r="AF51" i="29"/>
  <c r="N51" i="29"/>
  <c r="AF52" i="29"/>
  <c r="N52" i="29"/>
  <c r="AF48" i="29"/>
  <c r="N48" i="29"/>
  <c r="AF50" i="29"/>
  <c r="W38" i="29"/>
  <c r="AF49" i="29"/>
  <c r="N49" i="29"/>
  <c r="R49" i="29"/>
  <c r="N56" i="29"/>
  <c r="R56" i="29"/>
  <c r="AF56" i="29"/>
  <c r="N58" i="29"/>
  <c r="R58" i="29"/>
  <c r="AF58" i="29"/>
  <c r="N60" i="29"/>
  <c r="AF60" i="29"/>
  <c r="R60" i="29"/>
  <c r="N62" i="29"/>
  <c r="AF62" i="29"/>
  <c r="R62" i="29"/>
  <c r="N64" i="29"/>
  <c r="AF64" i="29"/>
  <c r="R64" i="29"/>
  <c r="N50" i="29"/>
  <c r="R51" i="29"/>
  <c r="R52" i="29"/>
  <c r="R53" i="29"/>
  <c r="R54" i="29"/>
  <c r="Q39" i="28"/>
  <c r="C42" i="28"/>
  <c r="F42" i="28"/>
  <c r="B42" i="28"/>
  <c r="H41" i="28"/>
  <c r="I41" i="28" s="1"/>
  <c r="T39" i="28"/>
  <c r="I40" i="28"/>
  <c r="Q40" i="28" s="1"/>
  <c r="V39" i="28"/>
  <c r="P39" i="28"/>
  <c r="AY39" i="26"/>
  <c r="BI39" i="26" s="1"/>
  <c r="AW39" i="26"/>
  <c r="BG39" i="26" s="1"/>
  <c r="AV39" i="26"/>
  <c r="BF39" i="26" s="1"/>
  <c r="AS39" i="26"/>
  <c r="BC39" i="26" s="1"/>
  <c r="Y39" i="26"/>
  <c r="X39" i="26"/>
  <c r="W39" i="26"/>
  <c r="V39" i="26"/>
  <c r="U39" i="26"/>
  <c r="T39" i="26"/>
  <c r="S39" i="26"/>
  <c r="R39" i="26"/>
  <c r="I39" i="26"/>
  <c r="Z39" i="26" s="1"/>
  <c r="AO39" i="26" s="1"/>
  <c r="BA39" i="26" s="1"/>
  <c r="BK39" i="26" s="1"/>
  <c r="BA38" i="26"/>
  <c r="BK38" i="26" s="1"/>
  <c r="AS38" i="26"/>
  <c r="Z38" i="26"/>
  <c r="R38" i="26"/>
  <c r="O33" i="26"/>
  <c r="N33" i="26"/>
  <c r="H33" i="26"/>
  <c r="G33" i="26"/>
  <c r="E33" i="26"/>
  <c r="D33" i="26"/>
  <c r="B33" i="26"/>
  <c r="A33" i="26"/>
  <c r="O32" i="26"/>
  <c r="N32" i="26"/>
  <c r="H32" i="26"/>
  <c r="G32" i="26"/>
  <c r="E32" i="26"/>
  <c r="D32" i="26"/>
  <c r="B32" i="26"/>
  <c r="A32" i="26"/>
  <c r="O31" i="26"/>
  <c r="N31" i="26"/>
  <c r="H31" i="26"/>
  <c r="G31" i="26"/>
  <c r="E31" i="26"/>
  <c r="D31" i="26"/>
  <c r="B31" i="26"/>
  <c r="A31" i="26"/>
  <c r="O30" i="26"/>
  <c r="N30" i="26"/>
  <c r="H30" i="26"/>
  <c r="G30" i="26"/>
  <c r="E30" i="26"/>
  <c r="D30" i="26"/>
  <c r="B30" i="26"/>
  <c r="A30" i="26"/>
  <c r="O29" i="26"/>
  <c r="N29" i="26"/>
  <c r="H29" i="26"/>
  <c r="G29" i="26"/>
  <c r="E29" i="26"/>
  <c r="D29" i="26"/>
  <c r="B29" i="26"/>
  <c r="A29" i="26"/>
  <c r="O28" i="26"/>
  <c r="N28" i="26"/>
  <c r="H28" i="26"/>
  <c r="G28" i="26"/>
  <c r="E28" i="26"/>
  <c r="D28" i="26"/>
  <c r="B28" i="26"/>
  <c r="A28" i="26"/>
  <c r="A64" i="26" s="1"/>
  <c r="O27" i="26"/>
  <c r="N27" i="26"/>
  <c r="H27" i="26"/>
  <c r="G27" i="26"/>
  <c r="E27" i="26"/>
  <c r="D27" i="26"/>
  <c r="B27" i="26"/>
  <c r="A27" i="26"/>
  <c r="A63" i="26" s="1"/>
  <c r="O26" i="26"/>
  <c r="N26" i="26"/>
  <c r="H26" i="26"/>
  <c r="G26" i="26"/>
  <c r="E26" i="26"/>
  <c r="D26" i="26"/>
  <c r="B26" i="26"/>
  <c r="A26" i="26"/>
  <c r="A62" i="26" s="1"/>
  <c r="O25" i="26"/>
  <c r="N25" i="26"/>
  <c r="H25" i="26"/>
  <c r="G25" i="26"/>
  <c r="E25" i="26"/>
  <c r="D25" i="26"/>
  <c r="B25" i="26"/>
  <c r="A25" i="26"/>
  <c r="A61" i="26" s="1"/>
  <c r="O24" i="26"/>
  <c r="N24" i="26"/>
  <c r="H24" i="26"/>
  <c r="G24" i="26"/>
  <c r="E24" i="26"/>
  <c r="D24" i="26"/>
  <c r="B24" i="26"/>
  <c r="A24" i="26"/>
  <c r="A60" i="26" s="1"/>
  <c r="O23" i="26"/>
  <c r="N23" i="26"/>
  <c r="H23" i="26"/>
  <c r="G23" i="26"/>
  <c r="E23" i="26"/>
  <c r="D23" i="26"/>
  <c r="B23" i="26"/>
  <c r="A23" i="26"/>
  <c r="A59" i="26" s="1"/>
  <c r="O22" i="26"/>
  <c r="N22" i="26"/>
  <c r="H22" i="26"/>
  <c r="G22" i="26"/>
  <c r="E22" i="26"/>
  <c r="D22" i="26"/>
  <c r="B22" i="26"/>
  <c r="A22" i="26"/>
  <c r="A58" i="26" s="1"/>
  <c r="O21" i="26"/>
  <c r="N21" i="26"/>
  <c r="H21" i="26"/>
  <c r="G21" i="26"/>
  <c r="E21" i="26"/>
  <c r="D21" i="26"/>
  <c r="B21" i="26"/>
  <c r="A21" i="26"/>
  <c r="A57" i="26" s="1"/>
  <c r="O20" i="26"/>
  <c r="N20" i="26"/>
  <c r="H20" i="26"/>
  <c r="G20" i="26"/>
  <c r="E20" i="26"/>
  <c r="D20" i="26"/>
  <c r="B20" i="26"/>
  <c r="A20" i="26"/>
  <c r="A56" i="26" s="1"/>
  <c r="O19" i="26"/>
  <c r="N19" i="26"/>
  <c r="H19" i="26"/>
  <c r="G19" i="26"/>
  <c r="E19" i="26"/>
  <c r="D19" i="26"/>
  <c r="B19" i="26"/>
  <c r="A19" i="26"/>
  <c r="A55" i="26" s="1"/>
  <c r="O18" i="26"/>
  <c r="N18" i="26"/>
  <c r="H18" i="26"/>
  <c r="G18" i="26"/>
  <c r="E18" i="26"/>
  <c r="D18" i="26"/>
  <c r="B18" i="26"/>
  <c r="A18" i="26"/>
  <c r="A54" i="26" s="1"/>
  <c r="O17" i="26"/>
  <c r="N17" i="26"/>
  <c r="H17" i="26"/>
  <c r="G17" i="26"/>
  <c r="E17" i="26"/>
  <c r="D17" i="26"/>
  <c r="B17" i="26"/>
  <c r="A17" i="26"/>
  <c r="A53" i="26" s="1"/>
  <c r="O16" i="26"/>
  <c r="N16" i="26"/>
  <c r="H16" i="26"/>
  <c r="G16" i="26"/>
  <c r="E16" i="26"/>
  <c r="D16" i="26"/>
  <c r="B16" i="26"/>
  <c r="A16" i="26"/>
  <c r="A52" i="26" s="1"/>
  <c r="O15" i="26"/>
  <c r="N15" i="26"/>
  <c r="H15" i="26"/>
  <c r="G15" i="26"/>
  <c r="E15" i="26"/>
  <c r="D15" i="26"/>
  <c r="B15" i="26"/>
  <c r="A15" i="26"/>
  <c r="A51" i="26" s="1"/>
  <c r="O14" i="26"/>
  <c r="N14" i="26"/>
  <c r="H14" i="26"/>
  <c r="G14" i="26"/>
  <c r="C14" i="26"/>
  <c r="B14" i="26"/>
  <c r="A14" i="26"/>
  <c r="A50" i="26" s="1"/>
  <c r="R50" i="26" s="1"/>
  <c r="O13" i="26"/>
  <c r="N13" i="26"/>
  <c r="H13" i="26"/>
  <c r="G13" i="26"/>
  <c r="C13" i="26"/>
  <c r="B13" i="26"/>
  <c r="A13" i="26"/>
  <c r="A49" i="26" s="1"/>
  <c r="R49" i="26" s="1"/>
  <c r="O12" i="26"/>
  <c r="N12" i="26"/>
  <c r="H12" i="26"/>
  <c r="F12" i="26"/>
  <c r="C12" i="26"/>
  <c r="B12" i="26"/>
  <c r="A12" i="26"/>
  <c r="A48" i="26" s="1"/>
  <c r="O11" i="26"/>
  <c r="N11" i="26"/>
  <c r="H11" i="26"/>
  <c r="F11" i="26"/>
  <c r="C11" i="26"/>
  <c r="B11" i="26"/>
  <c r="A11" i="26"/>
  <c r="A47" i="26" s="1"/>
  <c r="R47" i="26" s="1"/>
  <c r="O10" i="26"/>
  <c r="N10" i="26"/>
  <c r="H10" i="26"/>
  <c r="F10" i="26"/>
  <c r="C10" i="26"/>
  <c r="B10" i="26"/>
  <c r="A10" i="26"/>
  <c r="A46" i="26" s="1"/>
  <c r="O9" i="26"/>
  <c r="N9" i="26"/>
  <c r="H9" i="26"/>
  <c r="F9" i="26"/>
  <c r="C9" i="26"/>
  <c r="B9" i="26"/>
  <c r="A9" i="26"/>
  <c r="A45" i="26" s="1"/>
  <c r="O8" i="26"/>
  <c r="N8" i="26"/>
  <c r="H8" i="26"/>
  <c r="F8" i="26"/>
  <c r="C8" i="26"/>
  <c r="B8" i="26"/>
  <c r="A8" i="26"/>
  <c r="A44" i="26" s="1"/>
  <c r="O7" i="26"/>
  <c r="N7" i="26"/>
  <c r="H7" i="26"/>
  <c r="F7" i="26"/>
  <c r="C7" i="26"/>
  <c r="B7" i="26"/>
  <c r="A7" i="26"/>
  <c r="A43" i="26" s="1"/>
  <c r="O6" i="26"/>
  <c r="N6" i="26"/>
  <c r="H6" i="26"/>
  <c r="F6" i="26"/>
  <c r="C6" i="26"/>
  <c r="B6" i="26"/>
  <c r="A6" i="26"/>
  <c r="A42" i="26" s="1"/>
  <c r="O5" i="26"/>
  <c r="N5" i="26"/>
  <c r="H5" i="26"/>
  <c r="F5" i="26"/>
  <c r="C5" i="26"/>
  <c r="B5" i="26"/>
  <c r="A5" i="26"/>
  <c r="A41" i="26" s="1"/>
  <c r="R41" i="26" s="1"/>
  <c r="O4" i="26"/>
  <c r="N4" i="26"/>
  <c r="H4" i="26"/>
  <c r="H40" i="26" s="1"/>
  <c r="F4" i="26"/>
  <c r="F40" i="26" s="1"/>
  <c r="C4" i="26"/>
  <c r="C40" i="26" s="1"/>
  <c r="B4" i="26"/>
  <c r="B40" i="26" s="1"/>
  <c r="A4" i="26"/>
  <c r="A40" i="26" s="1"/>
  <c r="O3" i="26"/>
  <c r="N3" i="26"/>
  <c r="H3" i="26"/>
  <c r="H38" i="26" s="1"/>
  <c r="G3" i="26"/>
  <c r="G38" i="26" s="1"/>
  <c r="F3" i="26"/>
  <c r="F38" i="26" s="1"/>
  <c r="E3" i="26"/>
  <c r="E38" i="26" s="1"/>
  <c r="D3" i="26"/>
  <c r="D38" i="26" s="1"/>
  <c r="C3" i="26"/>
  <c r="C38" i="26" s="1"/>
  <c r="B3" i="26"/>
  <c r="B38" i="26" s="1"/>
  <c r="A3" i="26"/>
  <c r="H2" i="26"/>
  <c r="H37" i="26" s="1"/>
  <c r="G2" i="26"/>
  <c r="G37" i="26" s="1"/>
  <c r="X37" i="26" s="1"/>
  <c r="F2" i="26"/>
  <c r="F37" i="26" s="1"/>
  <c r="AL37" i="26" s="1"/>
  <c r="AX37" i="26" s="1"/>
  <c r="BH37" i="26" s="1"/>
  <c r="E2" i="26"/>
  <c r="E37" i="26" s="1"/>
  <c r="D2" i="26"/>
  <c r="D37" i="26" s="1"/>
  <c r="C2" i="26"/>
  <c r="C37" i="26" s="1"/>
  <c r="T37" i="26" s="1"/>
  <c r="B2" i="26"/>
  <c r="B37" i="26" s="1"/>
  <c r="AH37" i="26" s="1"/>
  <c r="AT37" i="26" s="1"/>
  <c r="BD37" i="26" s="1"/>
  <c r="AH39" i="25"/>
  <c r="AR39" i="25" s="1"/>
  <c r="AB39" i="25"/>
  <c r="AL39" i="25" s="1"/>
  <c r="AF39" i="25"/>
  <c r="AP39" i="25" s="1"/>
  <c r="AE39" i="25"/>
  <c r="AO39" i="25" s="1"/>
  <c r="AJ38" i="25"/>
  <c r="AT38" i="25" s="1"/>
  <c r="AB38" i="25"/>
  <c r="H33" i="25"/>
  <c r="G33" i="25"/>
  <c r="E33" i="25"/>
  <c r="D33" i="25"/>
  <c r="B33" i="25"/>
  <c r="A33" i="25"/>
  <c r="H32" i="25"/>
  <c r="G32" i="25"/>
  <c r="E32" i="25"/>
  <c r="D32" i="25"/>
  <c r="B32" i="25"/>
  <c r="A32" i="25"/>
  <c r="H31" i="25"/>
  <c r="G31" i="25"/>
  <c r="E31" i="25"/>
  <c r="D31" i="25"/>
  <c r="B31" i="25"/>
  <c r="A31" i="25"/>
  <c r="H30" i="25"/>
  <c r="G30" i="25"/>
  <c r="E30" i="25"/>
  <c r="D30" i="25"/>
  <c r="B30" i="25"/>
  <c r="A30" i="25"/>
  <c r="H29" i="25"/>
  <c r="G29" i="25"/>
  <c r="E29" i="25"/>
  <c r="D29" i="25"/>
  <c r="B29" i="25"/>
  <c r="A29" i="25"/>
  <c r="H28" i="25"/>
  <c r="G28" i="25"/>
  <c r="E28" i="25"/>
  <c r="D28" i="25"/>
  <c r="B28" i="25"/>
  <c r="A28" i="25"/>
  <c r="A64" i="25" s="1"/>
  <c r="H27" i="25"/>
  <c r="G27" i="25"/>
  <c r="E27" i="25"/>
  <c r="D27" i="25"/>
  <c r="B27" i="25"/>
  <c r="A27" i="25"/>
  <c r="A63" i="25" s="1"/>
  <c r="H26" i="25"/>
  <c r="G26" i="25"/>
  <c r="E26" i="25"/>
  <c r="D26" i="25"/>
  <c r="B26" i="25"/>
  <c r="A26" i="25"/>
  <c r="A62" i="25" s="1"/>
  <c r="O62" i="25" s="1"/>
  <c r="AB62" i="25" s="1"/>
  <c r="H25" i="25"/>
  <c r="G25" i="25"/>
  <c r="E25" i="25"/>
  <c r="D25" i="25"/>
  <c r="B25" i="25"/>
  <c r="A25" i="25"/>
  <c r="A61" i="25" s="1"/>
  <c r="H24" i="25"/>
  <c r="G24" i="25"/>
  <c r="E24" i="25"/>
  <c r="D24" i="25"/>
  <c r="B24" i="25"/>
  <c r="A24" i="25"/>
  <c r="A60" i="25" s="1"/>
  <c r="AL60" i="25" s="1"/>
  <c r="H23" i="25"/>
  <c r="G23" i="25"/>
  <c r="E23" i="25"/>
  <c r="D23" i="25"/>
  <c r="B23" i="25"/>
  <c r="A23" i="25"/>
  <c r="A59" i="25" s="1"/>
  <c r="H22" i="25"/>
  <c r="G22" i="25"/>
  <c r="E22" i="25"/>
  <c r="D22" i="25"/>
  <c r="B22" i="25"/>
  <c r="A22" i="25"/>
  <c r="A58" i="25" s="1"/>
  <c r="H21" i="25"/>
  <c r="G21" i="25"/>
  <c r="E21" i="25"/>
  <c r="D21" i="25"/>
  <c r="B21" i="25"/>
  <c r="A21" i="25"/>
  <c r="A57" i="25" s="1"/>
  <c r="H20" i="25"/>
  <c r="G20" i="25"/>
  <c r="E20" i="25"/>
  <c r="D20" i="25"/>
  <c r="B20" i="25"/>
  <c r="A20" i="25"/>
  <c r="A56" i="25" s="1"/>
  <c r="O56" i="25" s="1"/>
  <c r="AB56" i="25" s="1"/>
  <c r="H19" i="25"/>
  <c r="G19" i="25"/>
  <c r="E19" i="25"/>
  <c r="D19" i="25"/>
  <c r="B19" i="25"/>
  <c r="A19" i="25"/>
  <c r="A55" i="25" s="1"/>
  <c r="H18" i="25"/>
  <c r="G18" i="25"/>
  <c r="E18" i="25"/>
  <c r="D18" i="25"/>
  <c r="B18" i="25"/>
  <c r="A18" i="25"/>
  <c r="A54" i="25" s="1"/>
  <c r="AL54" i="25" s="1"/>
  <c r="H17" i="25"/>
  <c r="G17" i="25"/>
  <c r="E17" i="25"/>
  <c r="D17" i="25"/>
  <c r="B17" i="25"/>
  <c r="A17" i="25"/>
  <c r="A53" i="25" s="1"/>
  <c r="H16" i="25"/>
  <c r="G16" i="25"/>
  <c r="E16" i="25"/>
  <c r="D16" i="25"/>
  <c r="B16" i="25"/>
  <c r="A16" i="25"/>
  <c r="A52" i="25" s="1"/>
  <c r="H15" i="25"/>
  <c r="G15" i="25"/>
  <c r="E15" i="25"/>
  <c r="D15" i="25"/>
  <c r="B15" i="25"/>
  <c r="A15" i="25"/>
  <c r="A51" i="25" s="1"/>
  <c r="AL51" i="25" s="1"/>
  <c r="H14" i="25"/>
  <c r="G14" i="25"/>
  <c r="G50" i="25" s="1"/>
  <c r="C14" i="25"/>
  <c r="B14" i="25"/>
  <c r="A14" i="25"/>
  <c r="A50" i="25" s="1"/>
  <c r="H13" i="25"/>
  <c r="G13" i="25"/>
  <c r="C13" i="25"/>
  <c r="B13" i="25"/>
  <c r="A13" i="25"/>
  <c r="A49" i="25" s="1"/>
  <c r="AL49" i="25" s="1"/>
  <c r="H12" i="25"/>
  <c r="F12" i="25"/>
  <c r="C12" i="25"/>
  <c r="B12" i="25"/>
  <c r="A12" i="25"/>
  <c r="A48" i="25" s="1"/>
  <c r="O48" i="25" s="1"/>
  <c r="AB48" i="25" s="1"/>
  <c r="H11" i="25"/>
  <c r="F11" i="25"/>
  <c r="C11" i="25"/>
  <c r="B11" i="25"/>
  <c r="A11" i="25"/>
  <c r="A47" i="25" s="1"/>
  <c r="AL47" i="25" s="1"/>
  <c r="H10" i="25"/>
  <c r="F10" i="25"/>
  <c r="C10" i="25"/>
  <c r="B10" i="25"/>
  <c r="A10" i="25"/>
  <c r="A46" i="25" s="1"/>
  <c r="H9" i="25"/>
  <c r="F9" i="25"/>
  <c r="C9" i="25"/>
  <c r="B9" i="25"/>
  <c r="A9" i="25"/>
  <c r="A45" i="25" s="1"/>
  <c r="AL45" i="25" s="1"/>
  <c r="H8" i="25"/>
  <c r="F8" i="25"/>
  <c r="C8" i="25"/>
  <c r="B8" i="25"/>
  <c r="A8" i="25"/>
  <c r="A44" i="25" s="1"/>
  <c r="O44" i="25" s="1"/>
  <c r="AB44" i="25" s="1"/>
  <c r="H7" i="25"/>
  <c r="F7" i="25"/>
  <c r="C7" i="25"/>
  <c r="B7" i="25"/>
  <c r="A7" i="25"/>
  <c r="A43" i="25" s="1"/>
  <c r="AL43" i="25" s="1"/>
  <c r="H6" i="25"/>
  <c r="F6" i="25"/>
  <c r="C6" i="25"/>
  <c r="B6" i="25"/>
  <c r="A6" i="25"/>
  <c r="A42" i="25" s="1"/>
  <c r="H5" i="25"/>
  <c r="F5" i="25"/>
  <c r="C5" i="25"/>
  <c r="B5" i="25"/>
  <c r="A5" i="25"/>
  <c r="A41" i="25" s="1"/>
  <c r="AL41" i="25" s="1"/>
  <c r="H4" i="25"/>
  <c r="F4" i="25"/>
  <c r="F40" i="25" s="1"/>
  <c r="C4" i="25"/>
  <c r="C40" i="25" s="1"/>
  <c r="B4" i="25"/>
  <c r="B40" i="25" s="1"/>
  <c r="A4" i="25"/>
  <c r="A40" i="25" s="1"/>
  <c r="O40" i="25" s="1"/>
  <c r="AB40" i="25" s="1"/>
  <c r="H3" i="25"/>
  <c r="H38" i="25" s="1"/>
  <c r="V38" i="25" s="1"/>
  <c r="AI38" i="25" s="1"/>
  <c r="AS38" i="25" s="1"/>
  <c r="G3" i="25"/>
  <c r="G38" i="25" s="1"/>
  <c r="U38" i="25" s="1"/>
  <c r="AH38" i="25" s="1"/>
  <c r="AR38" i="25" s="1"/>
  <c r="F3" i="25"/>
  <c r="F38" i="25" s="1"/>
  <c r="T38" i="25" s="1"/>
  <c r="AG38" i="25" s="1"/>
  <c r="AQ38" i="25" s="1"/>
  <c r="E3" i="25"/>
  <c r="E38" i="25" s="1"/>
  <c r="S38" i="25" s="1"/>
  <c r="AF38" i="25" s="1"/>
  <c r="AP38" i="25" s="1"/>
  <c r="D3" i="25"/>
  <c r="D38" i="25" s="1"/>
  <c r="R38" i="25" s="1"/>
  <c r="AE38" i="25" s="1"/>
  <c r="AO38" i="25" s="1"/>
  <c r="C3" i="25"/>
  <c r="C38" i="25" s="1"/>
  <c r="Q38" i="25" s="1"/>
  <c r="AD38" i="25" s="1"/>
  <c r="AN38" i="25" s="1"/>
  <c r="B3" i="25"/>
  <c r="B38" i="25" s="1"/>
  <c r="P38" i="25" s="1"/>
  <c r="AC38" i="25" s="1"/>
  <c r="AM38" i="25" s="1"/>
  <c r="A3" i="25"/>
  <c r="H2" i="25"/>
  <c r="H37" i="25" s="1"/>
  <c r="V37" i="25" s="1"/>
  <c r="AI37" i="25" s="1"/>
  <c r="AS37" i="25" s="1"/>
  <c r="G2" i="25"/>
  <c r="G37" i="25" s="1"/>
  <c r="U37" i="25" s="1"/>
  <c r="AH37" i="25" s="1"/>
  <c r="AR37" i="25" s="1"/>
  <c r="F2" i="25"/>
  <c r="F37" i="25" s="1"/>
  <c r="T37" i="25" s="1"/>
  <c r="AG37" i="25" s="1"/>
  <c r="AQ37" i="25" s="1"/>
  <c r="E2" i="25"/>
  <c r="E37" i="25" s="1"/>
  <c r="S37" i="25" s="1"/>
  <c r="AF37" i="25" s="1"/>
  <c r="AP37" i="25" s="1"/>
  <c r="D2" i="25"/>
  <c r="D37" i="25" s="1"/>
  <c r="R37" i="25" s="1"/>
  <c r="AE37" i="25" s="1"/>
  <c r="AO37" i="25" s="1"/>
  <c r="C2" i="25"/>
  <c r="C37" i="25" s="1"/>
  <c r="Q37" i="25" s="1"/>
  <c r="AD37" i="25" s="1"/>
  <c r="AN37" i="25" s="1"/>
  <c r="B2" i="25"/>
  <c r="B37" i="25" s="1"/>
  <c r="P37" i="25" s="1"/>
  <c r="AC37" i="25" s="1"/>
  <c r="AM37" i="25" s="1"/>
  <c r="S38" i="26" l="1"/>
  <c r="AH38" i="26"/>
  <c r="AT38" i="26" s="1"/>
  <c r="BD38" i="26" s="1"/>
  <c r="W38" i="26"/>
  <c r="AL38" i="26"/>
  <c r="AX38" i="26" s="1"/>
  <c r="BH38" i="26" s="1"/>
  <c r="AL56" i="25"/>
  <c r="AL62" i="25"/>
  <c r="AG47" i="26"/>
  <c r="AS47" i="26" s="1"/>
  <c r="BC47" i="26" s="1"/>
  <c r="O60" i="25"/>
  <c r="AB60" i="25" s="1"/>
  <c r="J40" i="29"/>
  <c r="K40" i="29" s="1"/>
  <c r="L40" i="29" s="1"/>
  <c r="J41" i="28"/>
  <c r="K41" i="28" s="1"/>
  <c r="L41" i="28" s="1"/>
  <c r="Q41" i="28"/>
  <c r="P41" i="28"/>
  <c r="T41" i="28"/>
  <c r="J40" i="28"/>
  <c r="K40" i="28" s="1"/>
  <c r="L40" i="28" s="1"/>
  <c r="T40" i="28"/>
  <c r="F43" i="28"/>
  <c r="C43" i="28"/>
  <c r="H42" i="28"/>
  <c r="I42" i="28" s="1"/>
  <c r="V41" i="28"/>
  <c r="P40" i="28"/>
  <c r="V40" i="28"/>
  <c r="B43" i="28"/>
  <c r="AL39" i="26"/>
  <c r="AX39" i="26" s="1"/>
  <c r="BH39" i="26" s="1"/>
  <c r="AG48" i="26"/>
  <c r="AS48" i="26" s="1"/>
  <c r="BC48" i="26" s="1"/>
  <c r="N48" i="26"/>
  <c r="R48" i="26"/>
  <c r="AI37" i="26"/>
  <c r="AU37" i="26" s="1"/>
  <c r="BE37" i="26" s="1"/>
  <c r="AK38" i="26"/>
  <c r="AW38" i="26" s="1"/>
  <c r="BG38" i="26" s="1"/>
  <c r="V38" i="26"/>
  <c r="AG42" i="26"/>
  <c r="AS42" i="26" s="1"/>
  <c r="BC42" i="26" s="1"/>
  <c r="N42" i="26"/>
  <c r="S37" i="26"/>
  <c r="AI39" i="26"/>
  <c r="AU39" i="26" s="1"/>
  <c r="BE39" i="26" s="1"/>
  <c r="N41" i="26"/>
  <c r="AI38" i="26"/>
  <c r="AU38" i="26" s="1"/>
  <c r="BE38" i="26" s="1"/>
  <c r="T38" i="26"/>
  <c r="AG40" i="26"/>
  <c r="AS40" i="26" s="1"/>
  <c r="BC40" i="26" s="1"/>
  <c r="N40" i="26"/>
  <c r="AG44" i="26"/>
  <c r="AS44" i="26" s="1"/>
  <c r="BC44" i="26" s="1"/>
  <c r="N44" i="26"/>
  <c r="R44" i="26"/>
  <c r="R45" i="26"/>
  <c r="AG45" i="26"/>
  <c r="AS45" i="26" s="1"/>
  <c r="BC45" i="26" s="1"/>
  <c r="N45" i="26"/>
  <c r="W37" i="26"/>
  <c r="AN39" i="26"/>
  <c r="AZ39" i="26" s="1"/>
  <c r="BJ39" i="26" s="1"/>
  <c r="AM38" i="26"/>
  <c r="AY38" i="26" s="1"/>
  <c r="BI38" i="26" s="1"/>
  <c r="X38" i="26"/>
  <c r="R40" i="26"/>
  <c r="U37" i="26"/>
  <c r="AJ37" i="26"/>
  <c r="AV37" i="26" s="1"/>
  <c r="BF37" i="26" s="1"/>
  <c r="Y37" i="26"/>
  <c r="AN37" i="26"/>
  <c r="AZ37" i="26" s="1"/>
  <c r="BJ37" i="26" s="1"/>
  <c r="AJ38" i="26"/>
  <c r="AV38" i="26" s="1"/>
  <c r="BF38" i="26" s="1"/>
  <c r="U38" i="26"/>
  <c r="AN38" i="26"/>
  <c r="AZ38" i="26" s="1"/>
  <c r="BJ38" i="26" s="1"/>
  <c r="Y38" i="26"/>
  <c r="I40" i="26"/>
  <c r="O40" i="26" s="1"/>
  <c r="Y40" i="26" s="1"/>
  <c r="AG43" i="26"/>
  <c r="AS43" i="26" s="1"/>
  <c r="BC43" i="26" s="1"/>
  <c r="R43" i="26"/>
  <c r="N43" i="26"/>
  <c r="AG58" i="26"/>
  <c r="AS58" i="26" s="1"/>
  <c r="BC58" i="26" s="1"/>
  <c r="R58" i="26"/>
  <c r="N58" i="26"/>
  <c r="V37" i="26"/>
  <c r="AK37" i="26"/>
  <c r="AW37" i="26" s="1"/>
  <c r="BG37" i="26" s="1"/>
  <c r="AM37" i="26"/>
  <c r="AY37" i="26" s="1"/>
  <c r="BI37" i="26" s="1"/>
  <c r="AH39" i="26"/>
  <c r="AT39" i="26" s="1"/>
  <c r="BD39" i="26" s="1"/>
  <c r="AG41" i="26"/>
  <c r="AS41" i="26" s="1"/>
  <c r="BC41" i="26" s="1"/>
  <c r="R42" i="26"/>
  <c r="AG54" i="26"/>
  <c r="AS54" i="26" s="1"/>
  <c r="BC54" i="26" s="1"/>
  <c r="N54" i="26"/>
  <c r="R51" i="26"/>
  <c r="AG51" i="26"/>
  <c r="AS51" i="26" s="1"/>
  <c r="BC51" i="26" s="1"/>
  <c r="N51" i="26"/>
  <c r="R52" i="26"/>
  <c r="AG52" i="26"/>
  <c r="AS52" i="26" s="1"/>
  <c r="BC52" i="26" s="1"/>
  <c r="N53" i="26"/>
  <c r="R53" i="26"/>
  <c r="R55" i="26"/>
  <c r="AG55" i="26"/>
  <c r="AS55" i="26" s="1"/>
  <c r="BC55" i="26" s="1"/>
  <c r="N55" i="26"/>
  <c r="R56" i="26"/>
  <c r="AG56" i="26"/>
  <c r="AS56" i="26" s="1"/>
  <c r="BC56" i="26" s="1"/>
  <c r="N57" i="26"/>
  <c r="R57" i="26"/>
  <c r="N59" i="26"/>
  <c r="AG59" i="26"/>
  <c r="AS59" i="26" s="1"/>
  <c r="BC59" i="26" s="1"/>
  <c r="R59" i="26"/>
  <c r="AG60" i="26"/>
  <c r="AS60" i="26" s="1"/>
  <c r="BC60" i="26" s="1"/>
  <c r="N60" i="26"/>
  <c r="R61" i="26"/>
  <c r="AG61" i="26"/>
  <c r="AS61" i="26" s="1"/>
  <c r="BC61" i="26" s="1"/>
  <c r="N61" i="26"/>
  <c r="R62" i="26"/>
  <c r="AG62" i="26"/>
  <c r="AS62" i="26" s="1"/>
  <c r="BC62" i="26" s="1"/>
  <c r="N62" i="26"/>
  <c r="AG63" i="26"/>
  <c r="AS63" i="26" s="1"/>
  <c r="BC63" i="26" s="1"/>
  <c r="N63" i="26"/>
  <c r="R63" i="26"/>
  <c r="R64" i="26"/>
  <c r="AG64" i="26"/>
  <c r="AS64" i="26" s="1"/>
  <c r="BC64" i="26" s="1"/>
  <c r="N64" i="26"/>
  <c r="N47" i="26"/>
  <c r="AG49" i="26"/>
  <c r="AS49" i="26" s="1"/>
  <c r="BC49" i="26" s="1"/>
  <c r="AG57" i="26"/>
  <c r="AS57" i="26" s="1"/>
  <c r="BC57" i="26" s="1"/>
  <c r="R60" i="26"/>
  <c r="AG46" i="26"/>
  <c r="AS46" i="26" s="1"/>
  <c r="BC46" i="26" s="1"/>
  <c r="N46" i="26"/>
  <c r="AG50" i="26"/>
  <c r="AS50" i="26" s="1"/>
  <c r="BC50" i="26" s="1"/>
  <c r="N50" i="26"/>
  <c r="N49" i="26"/>
  <c r="AG53" i="26"/>
  <c r="AS53" i="26" s="1"/>
  <c r="BC53" i="26" s="1"/>
  <c r="N56" i="26"/>
  <c r="R46" i="26"/>
  <c r="N52" i="26"/>
  <c r="R54" i="26"/>
  <c r="O46" i="25"/>
  <c r="AB46" i="25" s="1"/>
  <c r="AL46" i="25"/>
  <c r="O50" i="25"/>
  <c r="AB50" i="25" s="1"/>
  <c r="AL50" i="25"/>
  <c r="O42" i="25"/>
  <c r="AB42" i="25" s="1"/>
  <c r="AL42" i="25"/>
  <c r="AL53" i="25"/>
  <c r="O53" i="25"/>
  <c r="AB53" i="25" s="1"/>
  <c r="AL58" i="25"/>
  <c r="O58" i="25"/>
  <c r="AB58" i="25" s="1"/>
  <c r="AL59" i="25"/>
  <c r="O59" i="25"/>
  <c r="AB59" i="25" s="1"/>
  <c r="H40" i="25"/>
  <c r="O51" i="25"/>
  <c r="AB51" i="25" s="1"/>
  <c r="AL52" i="25"/>
  <c r="O52" i="25"/>
  <c r="AB52" i="25" s="1"/>
  <c r="AL57" i="25"/>
  <c r="O57" i="25"/>
  <c r="AB57" i="25" s="1"/>
  <c r="AL55" i="25"/>
  <c r="O55" i="25"/>
  <c r="AB55" i="25" s="1"/>
  <c r="AL61" i="25"/>
  <c r="O61" i="25"/>
  <c r="AB61" i="25" s="1"/>
  <c r="O63" i="25"/>
  <c r="AB63" i="25" s="1"/>
  <c r="AL63" i="25"/>
  <c r="O43" i="25"/>
  <c r="AB43" i="25" s="1"/>
  <c r="O47" i="25"/>
  <c r="AB47" i="25" s="1"/>
  <c r="AL40" i="25"/>
  <c r="O41" i="25"/>
  <c r="AB41" i="25" s="1"/>
  <c r="AL44" i="25"/>
  <c r="O45" i="25"/>
  <c r="AB45" i="25" s="1"/>
  <c r="AL48" i="25"/>
  <c r="O49" i="25"/>
  <c r="AB49" i="25" s="1"/>
  <c r="I39" i="25"/>
  <c r="P39" i="25" s="1"/>
  <c r="AL64" i="25"/>
  <c r="O64" i="25"/>
  <c r="AB64" i="25" s="1"/>
  <c r="O54" i="25"/>
  <c r="AB54" i="25" s="1"/>
  <c r="N32" i="24"/>
  <c r="O31" i="23"/>
  <c r="N30" i="24"/>
  <c r="N28" i="24"/>
  <c r="O27" i="23"/>
  <c r="N26" i="24"/>
  <c r="N24" i="24"/>
  <c r="O23" i="23"/>
  <c r="N22" i="24"/>
  <c r="N20" i="24"/>
  <c r="O19" i="23"/>
  <c r="N18" i="24"/>
  <c r="N16" i="24"/>
  <c r="O15" i="23"/>
  <c r="N14" i="24"/>
  <c r="O12" i="23"/>
  <c r="N12" i="23"/>
  <c r="O11" i="23"/>
  <c r="O10" i="24"/>
  <c r="N10" i="23"/>
  <c r="O7" i="24"/>
  <c r="N6" i="24"/>
  <c r="O4" i="23"/>
  <c r="N4" i="23"/>
  <c r="O3" i="23"/>
  <c r="BT39" i="24"/>
  <c r="AY39" i="24" s="1"/>
  <c r="BR39" i="24"/>
  <c r="BQ39" i="24"/>
  <c r="AV39" i="24" s="1"/>
  <c r="BN39" i="24"/>
  <c r="AW39" i="24"/>
  <c r="AN39" i="24"/>
  <c r="BU39" i="24" s="1"/>
  <c r="AZ39" i="24" s="1"/>
  <c r="Y39" i="24"/>
  <c r="X39" i="24"/>
  <c r="W39" i="24"/>
  <c r="V39" i="24"/>
  <c r="U39" i="24"/>
  <c r="T39" i="24"/>
  <c r="S39" i="24"/>
  <c r="R39" i="24"/>
  <c r="AS39" i="24" s="1"/>
  <c r="I39" i="24"/>
  <c r="Z39" i="24" s="1"/>
  <c r="AO39" i="24" s="1"/>
  <c r="BV39" i="24" s="1"/>
  <c r="BA39" i="24" s="1"/>
  <c r="BV38" i="24"/>
  <c r="BN38" i="24"/>
  <c r="BA38" i="24"/>
  <c r="Z38" i="24"/>
  <c r="R38" i="24"/>
  <c r="O33" i="24"/>
  <c r="N33" i="24"/>
  <c r="A33" i="24"/>
  <c r="O32" i="24"/>
  <c r="A32" i="24"/>
  <c r="O31" i="24"/>
  <c r="N31" i="24"/>
  <c r="A31" i="24"/>
  <c r="O30" i="24"/>
  <c r="A30" i="24"/>
  <c r="O29" i="24"/>
  <c r="N29" i="24"/>
  <c r="A29" i="24"/>
  <c r="O28" i="24"/>
  <c r="A28" i="24"/>
  <c r="A64" i="24" s="1"/>
  <c r="AG64" i="24" s="1"/>
  <c r="BN64" i="24" s="1"/>
  <c r="O27" i="24"/>
  <c r="N27" i="24"/>
  <c r="A27" i="24"/>
  <c r="A63" i="24" s="1"/>
  <c r="O26" i="24"/>
  <c r="A26" i="24"/>
  <c r="A62" i="24" s="1"/>
  <c r="O25" i="24"/>
  <c r="N25" i="24"/>
  <c r="A25" i="24"/>
  <c r="A61" i="24" s="1"/>
  <c r="O24" i="24"/>
  <c r="A24" i="24"/>
  <c r="A60" i="24" s="1"/>
  <c r="N60" i="24" s="1"/>
  <c r="O23" i="24"/>
  <c r="N23" i="24"/>
  <c r="A23" i="24"/>
  <c r="A59" i="24" s="1"/>
  <c r="N59" i="24" s="1"/>
  <c r="O22" i="24"/>
  <c r="A22" i="24"/>
  <c r="A58" i="24" s="1"/>
  <c r="O21" i="24"/>
  <c r="N21" i="24"/>
  <c r="A21" i="24"/>
  <c r="A57" i="24" s="1"/>
  <c r="O20" i="24"/>
  <c r="A20" i="24"/>
  <c r="A56" i="24" s="1"/>
  <c r="O19" i="24"/>
  <c r="N19" i="24"/>
  <c r="A19" i="24"/>
  <c r="A55" i="24" s="1"/>
  <c r="R55" i="24" s="1"/>
  <c r="O18" i="24"/>
  <c r="A18" i="24"/>
  <c r="A54" i="24" s="1"/>
  <c r="AG54" i="24" s="1"/>
  <c r="BN54" i="24" s="1"/>
  <c r="O17" i="24"/>
  <c r="N17" i="24"/>
  <c r="A17" i="24"/>
  <c r="A53" i="24" s="1"/>
  <c r="R53" i="24" s="1"/>
  <c r="O16" i="24"/>
  <c r="A16" i="24"/>
  <c r="A52" i="24" s="1"/>
  <c r="O15" i="24"/>
  <c r="N15" i="24"/>
  <c r="A15" i="24"/>
  <c r="A51" i="24" s="1"/>
  <c r="AG51" i="24" s="1"/>
  <c r="BN51" i="24" s="1"/>
  <c r="O14" i="24"/>
  <c r="A14" i="24"/>
  <c r="A50" i="24" s="1"/>
  <c r="AG50" i="24" s="1"/>
  <c r="BN50" i="24" s="1"/>
  <c r="O13" i="24"/>
  <c r="N13" i="24"/>
  <c r="A13" i="24"/>
  <c r="A49" i="24" s="1"/>
  <c r="AG49" i="24" s="1"/>
  <c r="BN49" i="24" s="1"/>
  <c r="O12" i="24"/>
  <c r="N12" i="24"/>
  <c r="A12" i="24"/>
  <c r="A48" i="24" s="1"/>
  <c r="AG48" i="24" s="1"/>
  <c r="BN48" i="24" s="1"/>
  <c r="N11" i="24"/>
  <c r="A11" i="24"/>
  <c r="A47" i="24" s="1"/>
  <c r="A10" i="24"/>
  <c r="A46" i="24" s="1"/>
  <c r="O9" i="24"/>
  <c r="N9" i="24"/>
  <c r="A9" i="24"/>
  <c r="A45" i="24" s="1"/>
  <c r="O8" i="24"/>
  <c r="N8" i="24"/>
  <c r="A8" i="24"/>
  <c r="A44" i="24" s="1"/>
  <c r="AS44" i="24" s="1"/>
  <c r="N7" i="24"/>
  <c r="A7" i="24"/>
  <c r="A43" i="24" s="1"/>
  <c r="AS43" i="24" s="1"/>
  <c r="O6" i="24"/>
  <c r="A6" i="24"/>
  <c r="A42" i="24" s="1"/>
  <c r="O5" i="24"/>
  <c r="N5" i="24"/>
  <c r="A5" i="24"/>
  <c r="A41" i="24" s="1"/>
  <c r="O4" i="24"/>
  <c r="N4" i="24"/>
  <c r="H4" i="24"/>
  <c r="H40" i="24" s="1"/>
  <c r="F4" i="24"/>
  <c r="F40" i="24" s="1"/>
  <c r="C4" i="24"/>
  <c r="C40" i="24" s="1"/>
  <c r="B4" i="24"/>
  <c r="B40" i="24" s="1"/>
  <c r="A4" i="24"/>
  <c r="A40" i="24" s="1"/>
  <c r="N3" i="24"/>
  <c r="H3" i="24"/>
  <c r="H38" i="24" s="1"/>
  <c r="Y38" i="24" s="1"/>
  <c r="G3" i="24"/>
  <c r="G38" i="24" s="1"/>
  <c r="F3" i="24"/>
  <c r="F38" i="24" s="1"/>
  <c r="E3" i="24"/>
  <c r="E38" i="24" s="1"/>
  <c r="D3" i="24"/>
  <c r="D38" i="24" s="1"/>
  <c r="C3" i="24"/>
  <c r="C38" i="24" s="1"/>
  <c r="B3" i="24"/>
  <c r="B38" i="24" s="1"/>
  <c r="A3" i="24"/>
  <c r="H2" i="24"/>
  <c r="H37" i="24" s="1"/>
  <c r="G2" i="24"/>
  <c r="G37" i="24" s="1"/>
  <c r="X37" i="24" s="1"/>
  <c r="F2" i="24"/>
  <c r="F37" i="24" s="1"/>
  <c r="E2" i="24"/>
  <c r="E37" i="24" s="1"/>
  <c r="D2" i="24"/>
  <c r="D37" i="24" s="1"/>
  <c r="AJ37" i="24" s="1"/>
  <c r="BQ37" i="24" s="1"/>
  <c r="AV37" i="24" s="1"/>
  <c r="C2" i="24"/>
  <c r="C37" i="24" s="1"/>
  <c r="T37" i="24" s="1"/>
  <c r="B2" i="24"/>
  <c r="B37" i="24" s="1"/>
  <c r="BG39" i="23"/>
  <c r="AY39" i="23"/>
  <c r="BI39" i="23" s="1"/>
  <c r="AW39" i="23"/>
  <c r="AV39" i="23"/>
  <c r="BF39" i="23" s="1"/>
  <c r="AS39" i="23"/>
  <c r="BC39" i="23" s="1"/>
  <c r="Y39" i="23"/>
  <c r="X39" i="23"/>
  <c r="W39" i="23"/>
  <c r="V39" i="23"/>
  <c r="U39" i="23"/>
  <c r="T39" i="23"/>
  <c r="S39" i="23"/>
  <c r="R39" i="23"/>
  <c r="I39" i="23"/>
  <c r="Z39" i="23" s="1"/>
  <c r="BA38" i="23"/>
  <c r="BK38" i="23" s="1"/>
  <c r="AS38" i="23"/>
  <c r="Z38" i="23"/>
  <c r="R38" i="23"/>
  <c r="O33" i="23"/>
  <c r="N33" i="23"/>
  <c r="H33" i="23"/>
  <c r="G33" i="23"/>
  <c r="E33" i="23"/>
  <c r="D33" i="23"/>
  <c r="B33" i="23"/>
  <c r="A33" i="23"/>
  <c r="O32" i="23"/>
  <c r="N32" i="23"/>
  <c r="H32" i="23"/>
  <c r="G32" i="23"/>
  <c r="E32" i="23"/>
  <c r="D32" i="23"/>
  <c r="B32" i="23"/>
  <c r="A32" i="23"/>
  <c r="N31" i="23"/>
  <c r="H31" i="23"/>
  <c r="G31" i="23"/>
  <c r="E31" i="23"/>
  <c r="D31" i="23"/>
  <c r="B31" i="23"/>
  <c r="A31" i="23"/>
  <c r="O30" i="23"/>
  <c r="N30" i="23"/>
  <c r="H30" i="23"/>
  <c r="G30" i="23"/>
  <c r="E30" i="23"/>
  <c r="D30" i="23"/>
  <c r="B30" i="23"/>
  <c r="A30" i="23"/>
  <c r="O29" i="23"/>
  <c r="N29" i="23"/>
  <c r="H29" i="23"/>
  <c r="G29" i="23"/>
  <c r="E29" i="23"/>
  <c r="D29" i="23"/>
  <c r="B29" i="23"/>
  <c r="A29" i="23"/>
  <c r="O28" i="23"/>
  <c r="N28" i="23"/>
  <c r="H28" i="23"/>
  <c r="G28" i="23"/>
  <c r="E28" i="23"/>
  <c r="D28" i="23"/>
  <c r="B28" i="23"/>
  <c r="A28" i="23"/>
  <c r="A64" i="23" s="1"/>
  <c r="N27" i="23"/>
  <c r="H27" i="23"/>
  <c r="G27" i="23"/>
  <c r="E27" i="23"/>
  <c r="D27" i="23"/>
  <c r="B27" i="23"/>
  <c r="A27" i="23"/>
  <c r="A63" i="23" s="1"/>
  <c r="O26" i="23"/>
  <c r="N26" i="23"/>
  <c r="H26" i="23"/>
  <c r="G26" i="23"/>
  <c r="E26" i="23"/>
  <c r="D26" i="23"/>
  <c r="B26" i="23"/>
  <c r="A26" i="23"/>
  <c r="A62" i="23" s="1"/>
  <c r="O25" i="23"/>
  <c r="N25" i="23"/>
  <c r="H25" i="23"/>
  <c r="G25" i="23"/>
  <c r="E25" i="23"/>
  <c r="D25" i="23"/>
  <c r="B25" i="23"/>
  <c r="A25" i="23"/>
  <c r="A61" i="23" s="1"/>
  <c r="O24" i="23"/>
  <c r="N24" i="23"/>
  <c r="H24" i="23"/>
  <c r="G24" i="23"/>
  <c r="E24" i="23"/>
  <c r="D24" i="23"/>
  <c r="B24" i="23"/>
  <c r="A24" i="23"/>
  <c r="A60" i="23" s="1"/>
  <c r="N23" i="23"/>
  <c r="H23" i="23"/>
  <c r="G23" i="23"/>
  <c r="E23" i="23"/>
  <c r="D23" i="23"/>
  <c r="B23" i="23"/>
  <c r="A23" i="23"/>
  <c r="A59" i="23" s="1"/>
  <c r="O22" i="23"/>
  <c r="N22" i="23"/>
  <c r="H22" i="23"/>
  <c r="G22" i="23"/>
  <c r="E22" i="23"/>
  <c r="D22" i="23"/>
  <c r="B22" i="23"/>
  <c r="A22" i="23"/>
  <c r="A58" i="23" s="1"/>
  <c r="O21" i="23"/>
  <c r="N21" i="23"/>
  <c r="H21" i="23"/>
  <c r="G21" i="23"/>
  <c r="E21" i="23"/>
  <c r="D21" i="23"/>
  <c r="B21" i="23"/>
  <c r="A21" i="23"/>
  <c r="A57" i="23" s="1"/>
  <c r="O20" i="23"/>
  <c r="N20" i="23"/>
  <c r="H20" i="23"/>
  <c r="G20" i="23"/>
  <c r="E20" i="23"/>
  <c r="D20" i="23"/>
  <c r="B20" i="23"/>
  <c r="A20" i="23"/>
  <c r="A56" i="23" s="1"/>
  <c r="N19" i="23"/>
  <c r="H19" i="23"/>
  <c r="G19" i="23"/>
  <c r="E19" i="23"/>
  <c r="D19" i="23"/>
  <c r="B19" i="23"/>
  <c r="A19" i="23"/>
  <c r="A55" i="23" s="1"/>
  <c r="O18" i="23"/>
  <c r="N18" i="23"/>
  <c r="H18" i="23"/>
  <c r="G18" i="23"/>
  <c r="E18" i="23"/>
  <c r="D18" i="23"/>
  <c r="B18" i="23"/>
  <c r="A18" i="23"/>
  <c r="A54" i="23" s="1"/>
  <c r="O17" i="23"/>
  <c r="N17" i="23"/>
  <c r="H17" i="23"/>
  <c r="G17" i="23"/>
  <c r="E17" i="23"/>
  <c r="D17" i="23"/>
  <c r="B17" i="23"/>
  <c r="A17" i="23"/>
  <c r="A53" i="23" s="1"/>
  <c r="O16" i="23"/>
  <c r="N16" i="23"/>
  <c r="H16" i="23"/>
  <c r="G16" i="23"/>
  <c r="E16" i="23"/>
  <c r="D16" i="23"/>
  <c r="B16" i="23"/>
  <c r="A16" i="23"/>
  <c r="A52" i="23" s="1"/>
  <c r="N15" i="23"/>
  <c r="H15" i="23"/>
  <c r="G15" i="23"/>
  <c r="E15" i="23"/>
  <c r="D15" i="23"/>
  <c r="B15" i="23"/>
  <c r="A15" i="23"/>
  <c r="A51" i="23" s="1"/>
  <c r="O14" i="23"/>
  <c r="N14" i="23"/>
  <c r="H14" i="23"/>
  <c r="G14" i="23"/>
  <c r="C14" i="23"/>
  <c r="B14" i="23"/>
  <c r="A14" i="23"/>
  <c r="A50" i="23" s="1"/>
  <c r="O13" i="23"/>
  <c r="N13" i="23"/>
  <c r="H13" i="23"/>
  <c r="G13" i="23"/>
  <c r="C13" i="23"/>
  <c r="B13" i="23"/>
  <c r="A13" i="23"/>
  <c r="A49" i="23" s="1"/>
  <c r="H12" i="23"/>
  <c r="C12" i="23"/>
  <c r="B12" i="23"/>
  <c r="A12" i="23"/>
  <c r="A48" i="23" s="1"/>
  <c r="N11" i="23"/>
  <c r="H11" i="23"/>
  <c r="C11" i="23"/>
  <c r="B11" i="23"/>
  <c r="A11" i="23"/>
  <c r="A47" i="23" s="1"/>
  <c r="O10" i="23"/>
  <c r="H10" i="23"/>
  <c r="C10" i="23"/>
  <c r="B10" i="23"/>
  <c r="A10" i="23"/>
  <c r="A46" i="23" s="1"/>
  <c r="AG46" i="23" s="1"/>
  <c r="AS46" i="23" s="1"/>
  <c r="BC46" i="23" s="1"/>
  <c r="O9" i="23"/>
  <c r="N9" i="23"/>
  <c r="H9" i="23"/>
  <c r="C9" i="23"/>
  <c r="B9" i="23"/>
  <c r="A9" i="23"/>
  <c r="A45" i="23" s="1"/>
  <c r="H8" i="23"/>
  <c r="C8" i="23"/>
  <c r="B8" i="23"/>
  <c r="A8" i="23"/>
  <c r="A44" i="23" s="1"/>
  <c r="N44" i="23" s="1"/>
  <c r="O7" i="23"/>
  <c r="N7" i="23"/>
  <c r="H7" i="23"/>
  <c r="C7" i="23"/>
  <c r="B7" i="23"/>
  <c r="A7" i="23"/>
  <c r="A43" i="23" s="1"/>
  <c r="O6" i="23"/>
  <c r="N6" i="23"/>
  <c r="H6" i="23"/>
  <c r="C6" i="23"/>
  <c r="B6" i="23"/>
  <c r="A6" i="23"/>
  <c r="A42" i="23" s="1"/>
  <c r="O5" i="23"/>
  <c r="N5" i="23"/>
  <c r="H5" i="23"/>
  <c r="C5" i="23"/>
  <c r="B5" i="23"/>
  <c r="A5" i="23"/>
  <c r="A41" i="23" s="1"/>
  <c r="H4" i="23"/>
  <c r="H40" i="23" s="1"/>
  <c r="F4" i="23"/>
  <c r="F40" i="23" s="1"/>
  <c r="C4" i="23"/>
  <c r="C40" i="23" s="1"/>
  <c r="B4" i="23"/>
  <c r="B40" i="23" s="1"/>
  <c r="A4" i="23"/>
  <c r="A40" i="23" s="1"/>
  <c r="N3" i="23"/>
  <c r="H3" i="23"/>
  <c r="H38" i="23" s="1"/>
  <c r="Y38" i="23" s="1"/>
  <c r="G3" i="23"/>
  <c r="G38" i="23" s="1"/>
  <c r="F3" i="23"/>
  <c r="F38" i="23" s="1"/>
  <c r="W38" i="23" s="1"/>
  <c r="E3" i="23"/>
  <c r="E38" i="23" s="1"/>
  <c r="D3" i="23"/>
  <c r="D38" i="23" s="1"/>
  <c r="C3" i="23"/>
  <c r="C38" i="23" s="1"/>
  <c r="AI38" i="23" s="1"/>
  <c r="AU38" i="23" s="1"/>
  <c r="BE38" i="23" s="1"/>
  <c r="B3" i="23"/>
  <c r="B38" i="23" s="1"/>
  <c r="A3" i="23"/>
  <c r="H2" i="23"/>
  <c r="H37" i="23" s="1"/>
  <c r="G2" i="23"/>
  <c r="G37" i="23" s="1"/>
  <c r="AM37" i="23" s="1"/>
  <c r="AY37" i="23" s="1"/>
  <c r="BI37" i="23" s="1"/>
  <c r="F2" i="23"/>
  <c r="F37" i="23" s="1"/>
  <c r="E2" i="23"/>
  <c r="E37" i="23" s="1"/>
  <c r="AK37" i="23" s="1"/>
  <c r="AW37" i="23" s="1"/>
  <c r="BG37" i="23" s="1"/>
  <c r="D2" i="23"/>
  <c r="D37" i="23" s="1"/>
  <c r="U37" i="23" s="1"/>
  <c r="C2" i="23"/>
  <c r="C37" i="23" s="1"/>
  <c r="B2" i="23"/>
  <c r="B37" i="23" s="1"/>
  <c r="AY39" i="22"/>
  <c r="BI39" i="22" s="1"/>
  <c r="AW39" i="22"/>
  <c r="BG39" i="22" s="1"/>
  <c r="AV39" i="22"/>
  <c r="BF39" i="22" s="1"/>
  <c r="AS39" i="22"/>
  <c r="BC39" i="22" s="1"/>
  <c r="Y39" i="22"/>
  <c r="X39" i="22"/>
  <c r="W39" i="22"/>
  <c r="V39" i="22"/>
  <c r="U39" i="22"/>
  <c r="T39" i="22"/>
  <c r="S39" i="22"/>
  <c r="R39" i="22"/>
  <c r="I39" i="22"/>
  <c r="Z39" i="22" s="1"/>
  <c r="AH39" i="22" s="1"/>
  <c r="AT39" i="22" s="1"/>
  <c r="BD39" i="22" s="1"/>
  <c r="BA38" i="22"/>
  <c r="BK38" i="22" s="1"/>
  <c r="AS38" i="22"/>
  <c r="Z38" i="22"/>
  <c r="R38" i="22"/>
  <c r="O33" i="22"/>
  <c r="N33" i="22"/>
  <c r="H33" i="22"/>
  <c r="G33" i="22"/>
  <c r="E33" i="22"/>
  <c r="D33" i="22"/>
  <c r="B33" i="22"/>
  <c r="A33" i="22"/>
  <c r="H32" i="22"/>
  <c r="G32" i="22"/>
  <c r="E32" i="22"/>
  <c r="D32" i="22"/>
  <c r="B32" i="22"/>
  <c r="A32" i="22"/>
  <c r="H31" i="22"/>
  <c r="G31" i="22"/>
  <c r="E31" i="22"/>
  <c r="D31" i="22"/>
  <c r="B31" i="22"/>
  <c r="A31" i="22"/>
  <c r="H30" i="22"/>
  <c r="G30" i="22"/>
  <c r="E30" i="22"/>
  <c r="D30" i="22"/>
  <c r="B30" i="22"/>
  <c r="A30" i="22"/>
  <c r="H29" i="22"/>
  <c r="G29" i="22"/>
  <c r="E29" i="22"/>
  <c r="D29" i="22"/>
  <c r="B29" i="22"/>
  <c r="A29" i="22"/>
  <c r="H28" i="22"/>
  <c r="G28" i="22"/>
  <c r="E28" i="22"/>
  <c r="D28" i="22"/>
  <c r="B28" i="22"/>
  <c r="A28" i="22"/>
  <c r="A64" i="22" s="1"/>
  <c r="H27" i="22"/>
  <c r="G27" i="22"/>
  <c r="E27" i="22"/>
  <c r="D27" i="22"/>
  <c r="B27" i="22"/>
  <c r="A27" i="22"/>
  <c r="A63" i="22" s="1"/>
  <c r="H26" i="22"/>
  <c r="G26" i="22"/>
  <c r="E26" i="22"/>
  <c r="D26" i="22"/>
  <c r="B26" i="22"/>
  <c r="A26" i="22"/>
  <c r="A62" i="22" s="1"/>
  <c r="H25" i="22"/>
  <c r="G25" i="22"/>
  <c r="E25" i="22"/>
  <c r="D25" i="22"/>
  <c r="B25" i="22"/>
  <c r="A25" i="22"/>
  <c r="A61" i="22" s="1"/>
  <c r="R61" i="22" s="1"/>
  <c r="H24" i="22"/>
  <c r="G24" i="22"/>
  <c r="E24" i="22"/>
  <c r="D24" i="22"/>
  <c r="B24" i="22"/>
  <c r="A24" i="22"/>
  <c r="A60" i="22" s="1"/>
  <c r="H23" i="22"/>
  <c r="G23" i="22"/>
  <c r="E23" i="22"/>
  <c r="D23" i="22"/>
  <c r="B23" i="22"/>
  <c r="A23" i="22"/>
  <c r="A59" i="22" s="1"/>
  <c r="H22" i="22"/>
  <c r="G22" i="22"/>
  <c r="E22" i="22"/>
  <c r="D22" i="22"/>
  <c r="B22" i="22"/>
  <c r="A22" i="22"/>
  <c r="A58" i="22" s="1"/>
  <c r="H21" i="22"/>
  <c r="G21" i="22"/>
  <c r="E21" i="22"/>
  <c r="D21" i="22"/>
  <c r="B21" i="22"/>
  <c r="A21" i="22"/>
  <c r="A57" i="22" s="1"/>
  <c r="AG57" i="22" s="1"/>
  <c r="AS57" i="22" s="1"/>
  <c r="BC57" i="22" s="1"/>
  <c r="H20" i="22"/>
  <c r="G20" i="22"/>
  <c r="E20" i="22"/>
  <c r="D20" i="22"/>
  <c r="B20" i="22"/>
  <c r="A20" i="22"/>
  <c r="A56" i="22" s="1"/>
  <c r="H19" i="22"/>
  <c r="G19" i="22"/>
  <c r="E19" i="22"/>
  <c r="D19" i="22"/>
  <c r="B19" i="22"/>
  <c r="A19" i="22"/>
  <c r="A55" i="22" s="1"/>
  <c r="H18" i="22"/>
  <c r="G18" i="22"/>
  <c r="E18" i="22"/>
  <c r="D18" i="22"/>
  <c r="B18" i="22"/>
  <c r="A18" i="22"/>
  <c r="A54" i="22" s="1"/>
  <c r="H17" i="22"/>
  <c r="G17" i="22"/>
  <c r="E17" i="22"/>
  <c r="D17" i="22"/>
  <c r="B17" i="22"/>
  <c r="A17" i="22"/>
  <c r="A53" i="22" s="1"/>
  <c r="H16" i="22"/>
  <c r="G16" i="22"/>
  <c r="E16" i="22"/>
  <c r="D16" i="22"/>
  <c r="B16" i="22"/>
  <c r="A16" i="22"/>
  <c r="A52" i="22" s="1"/>
  <c r="H15" i="22"/>
  <c r="G15" i="22"/>
  <c r="E15" i="22"/>
  <c r="D15" i="22"/>
  <c r="B15" i="22"/>
  <c r="A15" i="22"/>
  <c r="A51" i="22" s="1"/>
  <c r="R51" i="22" s="1"/>
  <c r="H14" i="22"/>
  <c r="G14" i="22"/>
  <c r="B14" i="22"/>
  <c r="A14" i="22"/>
  <c r="A50" i="22" s="1"/>
  <c r="H13" i="22"/>
  <c r="G13" i="22"/>
  <c r="B13" i="22"/>
  <c r="A13" i="22"/>
  <c r="A49" i="22" s="1"/>
  <c r="N49" i="22" s="1"/>
  <c r="H12" i="22"/>
  <c r="F12" i="22"/>
  <c r="C12" i="22"/>
  <c r="B12" i="22"/>
  <c r="A12" i="22"/>
  <c r="A48" i="22" s="1"/>
  <c r="AG48" i="22" s="1"/>
  <c r="AS48" i="22" s="1"/>
  <c r="BC48" i="22" s="1"/>
  <c r="H11" i="22"/>
  <c r="F11" i="22"/>
  <c r="C11" i="22"/>
  <c r="B11" i="22"/>
  <c r="A11" i="22"/>
  <c r="A47" i="22" s="1"/>
  <c r="H10" i="22"/>
  <c r="F10" i="22"/>
  <c r="C10" i="22"/>
  <c r="B10" i="22"/>
  <c r="A10" i="22"/>
  <c r="A46" i="22" s="1"/>
  <c r="H9" i="22"/>
  <c r="F9" i="22"/>
  <c r="C9" i="22"/>
  <c r="B9" i="22"/>
  <c r="A9" i="22"/>
  <c r="A45" i="22" s="1"/>
  <c r="N45" i="22" s="1"/>
  <c r="H8" i="22"/>
  <c r="F8" i="22"/>
  <c r="C8" i="22"/>
  <c r="B8" i="22"/>
  <c r="A8" i="22"/>
  <c r="A44" i="22" s="1"/>
  <c r="H7" i="22"/>
  <c r="F7" i="22"/>
  <c r="C7" i="22"/>
  <c r="B7" i="22"/>
  <c r="A7" i="22"/>
  <c r="A43" i="22" s="1"/>
  <c r="H6" i="22"/>
  <c r="F6" i="22"/>
  <c r="C6" i="22"/>
  <c r="B6" i="22"/>
  <c r="A6" i="22"/>
  <c r="A42" i="22" s="1"/>
  <c r="AG42" i="22" s="1"/>
  <c r="AS42" i="22" s="1"/>
  <c r="BC42" i="22" s="1"/>
  <c r="H5" i="22"/>
  <c r="F5" i="22"/>
  <c r="C5" i="22"/>
  <c r="B5" i="22"/>
  <c r="A5" i="22"/>
  <c r="A41" i="22" s="1"/>
  <c r="N41" i="22" s="1"/>
  <c r="H4" i="22"/>
  <c r="H40" i="22" s="1"/>
  <c r="F4" i="22"/>
  <c r="F40" i="22" s="1"/>
  <c r="C4" i="22"/>
  <c r="C40" i="22" s="1"/>
  <c r="B4" i="22"/>
  <c r="B40" i="22" s="1"/>
  <c r="A4" i="22"/>
  <c r="A40" i="22" s="1"/>
  <c r="AG40" i="22" s="1"/>
  <c r="AS40" i="22" s="1"/>
  <c r="BC40" i="22" s="1"/>
  <c r="N3" i="22"/>
  <c r="H3" i="22"/>
  <c r="H38" i="22" s="1"/>
  <c r="G3" i="22"/>
  <c r="G38" i="22" s="1"/>
  <c r="AM38" i="22" s="1"/>
  <c r="AY38" i="22" s="1"/>
  <c r="BI38" i="22" s="1"/>
  <c r="F3" i="22"/>
  <c r="F38" i="22" s="1"/>
  <c r="E3" i="22"/>
  <c r="E38" i="22" s="1"/>
  <c r="D3" i="22"/>
  <c r="D38" i="22" s="1"/>
  <c r="C3" i="22"/>
  <c r="C38" i="22" s="1"/>
  <c r="B3" i="22"/>
  <c r="B38" i="22" s="1"/>
  <c r="A3" i="22"/>
  <c r="H2" i="22"/>
  <c r="H37" i="22" s="1"/>
  <c r="AN37" i="22" s="1"/>
  <c r="AZ37" i="22" s="1"/>
  <c r="BJ37" i="22" s="1"/>
  <c r="G2" i="22"/>
  <c r="G37" i="22" s="1"/>
  <c r="F2" i="22"/>
  <c r="F37" i="22" s="1"/>
  <c r="E2" i="22"/>
  <c r="E37" i="22" s="1"/>
  <c r="AK37" i="22" s="1"/>
  <c r="AW37" i="22" s="1"/>
  <c r="BG37" i="22" s="1"/>
  <c r="D2" i="22"/>
  <c r="D37" i="22" s="1"/>
  <c r="U37" i="22" s="1"/>
  <c r="C2" i="22"/>
  <c r="C37" i="22" s="1"/>
  <c r="T37" i="22" s="1"/>
  <c r="B2" i="22"/>
  <c r="B37" i="22" s="1"/>
  <c r="Y39" i="21"/>
  <c r="X39" i="21"/>
  <c r="W39" i="21"/>
  <c r="V39" i="21"/>
  <c r="U39" i="21"/>
  <c r="T39" i="21"/>
  <c r="S39" i="21"/>
  <c r="R39" i="21"/>
  <c r="I39" i="21"/>
  <c r="Z39" i="21" s="1"/>
  <c r="AN39" i="21" s="1"/>
  <c r="Z38" i="21"/>
  <c r="R38" i="21"/>
  <c r="H33" i="21"/>
  <c r="G33" i="21"/>
  <c r="E33" i="21"/>
  <c r="D33" i="21"/>
  <c r="B33" i="21"/>
  <c r="A33" i="21"/>
  <c r="H32" i="21"/>
  <c r="G32" i="21"/>
  <c r="E32" i="21"/>
  <c r="D32" i="21"/>
  <c r="B32" i="21"/>
  <c r="A32" i="21"/>
  <c r="H31" i="21"/>
  <c r="G31" i="21"/>
  <c r="E31" i="21"/>
  <c r="D31" i="21"/>
  <c r="B31" i="21"/>
  <c r="A31" i="21"/>
  <c r="H30" i="21"/>
  <c r="G30" i="21"/>
  <c r="E30" i="21"/>
  <c r="D30" i="21"/>
  <c r="B30" i="21"/>
  <c r="A30" i="21"/>
  <c r="H29" i="21"/>
  <c r="G29" i="21"/>
  <c r="E29" i="21"/>
  <c r="D29" i="21"/>
  <c r="B29" i="21"/>
  <c r="A29" i="21"/>
  <c r="H28" i="21"/>
  <c r="G28" i="21"/>
  <c r="E28" i="21"/>
  <c r="D28" i="21"/>
  <c r="B28" i="21"/>
  <c r="A28" i="21"/>
  <c r="A64" i="21" s="1"/>
  <c r="H27" i="21"/>
  <c r="G27" i="21"/>
  <c r="E27" i="21"/>
  <c r="D27" i="21"/>
  <c r="B27" i="21"/>
  <c r="A27" i="21"/>
  <c r="A63" i="21" s="1"/>
  <c r="H26" i="21"/>
  <c r="G26" i="21"/>
  <c r="E26" i="21"/>
  <c r="D26" i="21"/>
  <c r="B26" i="21"/>
  <c r="A26" i="21"/>
  <c r="A62" i="21" s="1"/>
  <c r="H25" i="21"/>
  <c r="G25" i="21"/>
  <c r="E25" i="21"/>
  <c r="D25" i="21"/>
  <c r="B25" i="21"/>
  <c r="A25" i="21"/>
  <c r="A61" i="21" s="1"/>
  <c r="H24" i="21"/>
  <c r="G24" i="21"/>
  <c r="E24" i="21"/>
  <c r="D24" i="21"/>
  <c r="B24" i="21"/>
  <c r="A24" i="21"/>
  <c r="A60" i="21" s="1"/>
  <c r="H23" i="21"/>
  <c r="G23" i="21"/>
  <c r="E23" i="21"/>
  <c r="D23" i="21"/>
  <c r="B23" i="21"/>
  <c r="A23" i="21"/>
  <c r="A59" i="21" s="1"/>
  <c r="H22" i="21"/>
  <c r="G22" i="21"/>
  <c r="E22" i="21"/>
  <c r="D22" i="21"/>
  <c r="B22" i="21"/>
  <c r="A22" i="21"/>
  <c r="A58" i="21" s="1"/>
  <c r="H21" i="21"/>
  <c r="G21" i="21"/>
  <c r="E21" i="21"/>
  <c r="D21" i="21"/>
  <c r="B21" i="21"/>
  <c r="A21" i="21"/>
  <c r="A57" i="21" s="1"/>
  <c r="H20" i="21"/>
  <c r="G20" i="21"/>
  <c r="E20" i="21"/>
  <c r="D20" i="21"/>
  <c r="B20" i="21"/>
  <c r="A20" i="21"/>
  <c r="A56" i="21" s="1"/>
  <c r="H19" i="21"/>
  <c r="G19" i="21"/>
  <c r="E19" i="21"/>
  <c r="D19" i="21"/>
  <c r="B19" i="21"/>
  <c r="A19" i="21"/>
  <c r="A55" i="21" s="1"/>
  <c r="H18" i="21"/>
  <c r="G18" i="21"/>
  <c r="E18" i="21"/>
  <c r="D18" i="21"/>
  <c r="B18" i="21"/>
  <c r="A18" i="21"/>
  <c r="A54" i="21" s="1"/>
  <c r="H17" i="21"/>
  <c r="G17" i="21"/>
  <c r="E17" i="21"/>
  <c r="D17" i="21"/>
  <c r="B17" i="21"/>
  <c r="A17" i="21"/>
  <c r="A53" i="21" s="1"/>
  <c r="H16" i="21"/>
  <c r="G16" i="21"/>
  <c r="E16" i="21"/>
  <c r="D16" i="21"/>
  <c r="B16" i="21"/>
  <c r="A16" i="21"/>
  <c r="A52" i="21" s="1"/>
  <c r="H15" i="21"/>
  <c r="G15" i="21"/>
  <c r="E15" i="21"/>
  <c r="D15" i="21"/>
  <c r="B15" i="21"/>
  <c r="A15" i="21"/>
  <c r="A51" i="21" s="1"/>
  <c r="R51" i="21" s="1"/>
  <c r="H14" i="21"/>
  <c r="G14" i="21"/>
  <c r="C14" i="21"/>
  <c r="B14" i="21"/>
  <c r="A14" i="21"/>
  <c r="A50" i="21" s="1"/>
  <c r="H13" i="21"/>
  <c r="G13" i="21"/>
  <c r="C13" i="21"/>
  <c r="B13" i="21"/>
  <c r="A13" i="21"/>
  <c r="A49" i="21" s="1"/>
  <c r="H12" i="21"/>
  <c r="F12" i="21"/>
  <c r="C12" i="21"/>
  <c r="B12" i="21"/>
  <c r="A12" i="21"/>
  <c r="A48" i="21" s="1"/>
  <c r="N48" i="21" s="1"/>
  <c r="H11" i="21"/>
  <c r="F11" i="21"/>
  <c r="C11" i="21"/>
  <c r="B11" i="21"/>
  <c r="A11" i="21"/>
  <c r="A47" i="21" s="1"/>
  <c r="H10" i="21"/>
  <c r="F10" i="21"/>
  <c r="C10" i="21"/>
  <c r="B10" i="21"/>
  <c r="A10" i="21"/>
  <c r="A46" i="21" s="1"/>
  <c r="AF46" i="21" s="1"/>
  <c r="H9" i="21"/>
  <c r="F9" i="21"/>
  <c r="C9" i="21"/>
  <c r="B9" i="21"/>
  <c r="A9" i="21"/>
  <c r="A45" i="21" s="1"/>
  <c r="H8" i="21"/>
  <c r="F8" i="21"/>
  <c r="C8" i="21"/>
  <c r="B8" i="21"/>
  <c r="A8" i="21"/>
  <c r="A44" i="21" s="1"/>
  <c r="H7" i="21"/>
  <c r="F7" i="21"/>
  <c r="C7" i="21"/>
  <c r="B7" i="21"/>
  <c r="A7" i="21"/>
  <c r="A43" i="21" s="1"/>
  <c r="H6" i="21"/>
  <c r="F6" i="21"/>
  <c r="C6" i="21"/>
  <c r="B6" i="21"/>
  <c r="A6" i="21"/>
  <c r="A42" i="21" s="1"/>
  <c r="H5" i="21"/>
  <c r="F5" i="21"/>
  <c r="C5" i="21"/>
  <c r="B5" i="21"/>
  <c r="A5" i="21"/>
  <c r="A41" i="21" s="1"/>
  <c r="N41" i="21" s="1"/>
  <c r="H4" i="21"/>
  <c r="H40" i="21" s="1"/>
  <c r="F4" i="21"/>
  <c r="F40" i="21" s="1"/>
  <c r="C4" i="21"/>
  <c r="C40" i="21" s="1"/>
  <c r="B4" i="21"/>
  <c r="B40" i="21" s="1"/>
  <c r="A4" i="21"/>
  <c r="A40" i="21" s="1"/>
  <c r="H3" i="21"/>
  <c r="H38" i="21" s="1"/>
  <c r="G3" i="21"/>
  <c r="G38" i="21" s="1"/>
  <c r="F3" i="21"/>
  <c r="F38" i="21" s="1"/>
  <c r="E3" i="21"/>
  <c r="E38" i="21" s="1"/>
  <c r="D3" i="21"/>
  <c r="D38" i="21" s="1"/>
  <c r="C3" i="21"/>
  <c r="C38" i="21" s="1"/>
  <c r="B3" i="21"/>
  <c r="B38" i="21" s="1"/>
  <c r="A3" i="21"/>
  <c r="H2" i="21"/>
  <c r="H37" i="21" s="1"/>
  <c r="Y37" i="21" s="1"/>
  <c r="G2" i="21"/>
  <c r="G37" i="21" s="1"/>
  <c r="X37" i="21" s="1"/>
  <c r="F2" i="21"/>
  <c r="F37" i="21" s="1"/>
  <c r="W37" i="21" s="1"/>
  <c r="E2" i="21"/>
  <c r="E37" i="21" s="1"/>
  <c r="AJ37" i="21" s="1"/>
  <c r="D2" i="21"/>
  <c r="D37" i="21" s="1"/>
  <c r="C2" i="21"/>
  <c r="C37" i="21" s="1"/>
  <c r="T37" i="21" s="1"/>
  <c r="B2" i="21"/>
  <c r="B37" i="21" s="1"/>
  <c r="AG37" i="21" s="1"/>
  <c r="A32" i="7"/>
  <c r="B32" i="7"/>
  <c r="D32" i="7"/>
  <c r="E32" i="7"/>
  <c r="G32" i="7"/>
  <c r="H32" i="7"/>
  <c r="A33" i="7"/>
  <c r="B33" i="7"/>
  <c r="D33" i="7"/>
  <c r="E33" i="7"/>
  <c r="G33" i="7"/>
  <c r="H33" i="7"/>
  <c r="A32" i="19"/>
  <c r="B32" i="19"/>
  <c r="D32" i="19"/>
  <c r="E32" i="19"/>
  <c r="G32" i="19"/>
  <c r="H32" i="19"/>
  <c r="A33" i="19"/>
  <c r="B33" i="19"/>
  <c r="D33" i="19"/>
  <c r="E33" i="19"/>
  <c r="G33" i="19"/>
  <c r="H33" i="19"/>
  <c r="A32" i="4"/>
  <c r="D32" i="4"/>
  <c r="E32" i="4"/>
  <c r="A33" i="4"/>
  <c r="D33" i="4"/>
  <c r="E33" i="4"/>
  <c r="Q40" i="26" l="1"/>
  <c r="P40" i="26"/>
  <c r="S40" i="26"/>
  <c r="AL39" i="24"/>
  <c r="BS39" i="24" s="1"/>
  <c r="AX39" i="24" s="1"/>
  <c r="AI39" i="24"/>
  <c r="BP39" i="24" s="1"/>
  <c r="AU39" i="24" s="1"/>
  <c r="Y38" i="21"/>
  <c r="AM38" i="21"/>
  <c r="S37" i="22"/>
  <c r="AH37" i="22"/>
  <c r="AT37" i="22" s="1"/>
  <c r="BD37" i="22" s="1"/>
  <c r="V37" i="24"/>
  <c r="AK37" i="24"/>
  <c r="BR37" i="24" s="1"/>
  <c r="AW37" i="24" s="1"/>
  <c r="V38" i="24"/>
  <c r="AK38" i="24"/>
  <c r="BR38" i="24" s="1"/>
  <c r="AW38" i="24" s="1"/>
  <c r="S38" i="21"/>
  <c r="AG38" i="21"/>
  <c r="AF45" i="21"/>
  <c r="R45" i="21"/>
  <c r="W37" i="23"/>
  <c r="AL37" i="23"/>
  <c r="AX37" i="23" s="1"/>
  <c r="BH37" i="23" s="1"/>
  <c r="N40" i="23"/>
  <c r="R40" i="23"/>
  <c r="AH37" i="24"/>
  <c r="BO37" i="24" s="1"/>
  <c r="AT37" i="24" s="1"/>
  <c r="S37" i="24"/>
  <c r="AH38" i="24"/>
  <c r="BO38" i="24" s="1"/>
  <c r="AT38" i="24" s="1"/>
  <c r="S38" i="24"/>
  <c r="X38" i="21"/>
  <c r="AL38" i="21"/>
  <c r="U38" i="22"/>
  <c r="AJ38" i="22"/>
  <c r="AV38" i="22" s="1"/>
  <c r="BF38" i="22" s="1"/>
  <c r="R43" i="21"/>
  <c r="AF43" i="21"/>
  <c r="N43" i="21"/>
  <c r="AG48" i="23"/>
  <c r="AS48" i="23" s="1"/>
  <c r="BC48" i="23" s="1"/>
  <c r="R48" i="23"/>
  <c r="N48" i="23"/>
  <c r="R48" i="21"/>
  <c r="X38" i="22"/>
  <c r="AG43" i="24"/>
  <c r="BN43" i="24" s="1"/>
  <c r="R49" i="24"/>
  <c r="S37" i="21"/>
  <c r="AF48" i="21"/>
  <c r="V37" i="22"/>
  <c r="AS49" i="24"/>
  <c r="N46" i="21"/>
  <c r="Y37" i="22"/>
  <c r="R40" i="22"/>
  <c r="N48" i="22"/>
  <c r="N57" i="22"/>
  <c r="V37" i="23"/>
  <c r="N54" i="24"/>
  <c r="R46" i="21"/>
  <c r="R48" i="22"/>
  <c r="R57" i="22"/>
  <c r="AM37" i="24"/>
  <c r="BT37" i="24" s="1"/>
  <c r="AY37" i="24" s="1"/>
  <c r="N49" i="24"/>
  <c r="O41" i="29"/>
  <c r="J42" i="28"/>
  <c r="K42" i="28" s="1"/>
  <c r="L42" i="28" s="1"/>
  <c r="T42" i="28"/>
  <c r="P42" i="28"/>
  <c r="Q42" i="28"/>
  <c r="W41" i="28"/>
  <c r="X41" i="28"/>
  <c r="F44" i="28"/>
  <c r="B44" i="28"/>
  <c r="X40" i="28"/>
  <c r="W40" i="28"/>
  <c r="C44" i="28"/>
  <c r="H43" i="28"/>
  <c r="I43" i="28" s="1"/>
  <c r="J43" i="28" s="1"/>
  <c r="K43" i="28" s="1"/>
  <c r="L43" i="28" s="1"/>
  <c r="V42" i="28"/>
  <c r="J40" i="26"/>
  <c r="K40" i="26" s="1"/>
  <c r="L40" i="26" s="1"/>
  <c r="I40" i="25"/>
  <c r="AJ40" i="25" s="1"/>
  <c r="AC39" i="25"/>
  <c r="AM39" i="25" s="1"/>
  <c r="W39" i="25"/>
  <c r="AJ39" i="25" s="1"/>
  <c r="AT39" i="25" s="1"/>
  <c r="Q39" i="25"/>
  <c r="AD39" i="25" s="1"/>
  <c r="AN39" i="25" s="1"/>
  <c r="T39" i="25"/>
  <c r="AG39" i="25" s="1"/>
  <c r="AQ39" i="25" s="1"/>
  <c r="V39" i="25"/>
  <c r="AI39" i="25" s="1"/>
  <c r="AS39" i="25" s="1"/>
  <c r="N8" i="23"/>
  <c r="O8" i="23"/>
  <c r="O3" i="22"/>
  <c r="O3" i="24"/>
  <c r="N10" i="24"/>
  <c r="O11" i="24"/>
  <c r="AF40" i="21"/>
  <c r="R40" i="21"/>
  <c r="N40" i="21"/>
  <c r="R54" i="22"/>
  <c r="N54" i="22"/>
  <c r="AG54" i="22"/>
  <c r="AS54" i="22" s="1"/>
  <c r="BC54" i="22" s="1"/>
  <c r="AH39" i="21"/>
  <c r="U37" i="21"/>
  <c r="AI37" i="21"/>
  <c r="AI38" i="21"/>
  <c r="U38" i="21"/>
  <c r="N57" i="21"/>
  <c r="AF57" i="21"/>
  <c r="R57" i="21"/>
  <c r="N61" i="21"/>
  <c r="AF61" i="21"/>
  <c r="R61" i="21"/>
  <c r="N44" i="21"/>
  <c r="R44" i="21"/>
  <c r="AF44" i="21"/>
  <c r="R49" i="21"/>
  <c r="N49" i="21"/>
  <c r="AF49" i="21"/>
  <c r="N52" i="21"/>
  <c r="AF52" i="21"/>
  <c r="R52" i="21"/>
  <c r="N56" i="21"/>
  <c r="AF56" i="21"/>
  <c r="R56" i="21"/>
  <c r="AH37" i="23"/>
  <c r="AT37" i="23" s="1"/>
  <c r="BD37" i="23" s="1"/>
  <c r="S37" i="23"/>
  <c r="W38" i="22"/>
  <c r="AL38" i="22"/>
  <c r="AX38" i="22" s="1"/>
  <c r="BH38" i="22" s="1"/>
  <c r="AH38" i="21"/>
  <c r="T38" i="21"/>
  <c r="AH37" i="21"/>
  <c r="N53" i="21"/>
  <c r="AF53" i="21"/>
  <c r="N62" i="21"/>
  <c r="AF62" i="21"/>
  <c r="R62" i="21"/>
  <c r="R47" i="21"/>
  <c r="AF47" i="21"/>
  <c r="N55" i="21"/>
  <c r="AF55" i="21"/>
  <c r="N47" i="22"/>
  <c r="R47" i="22"/>
  <c r="AG47" i="22"/>
  <c r="AS47" i="22" s="1"/>
  <c r="BC47" i="22" s="1"/>
  <c r="AL37" i="21"/>
  <c r="AM39" i="21"/>
  <c r="W37" i="22"/>
  <c r="AL37" i="22"/>
  <c r="AX37" i="22" s="1"/>
  <c r="BH37" i="22" s="1"/>
  <c r="N64" i="21"/>
  <c r="AF64" i="21"/>
  <c r="R64" i="21"/>
  <c r="AM37" i="21"/>
  <c r="R42" i="21"/>
  <c r="N42" i="21"/>
  <c r="N47" i="21"/>
  <c r="N59" i="21"/>
  <c r="AF59" i="21"/>
  <c r="X37" i="22"/>
  <c r="AM37" i="22"/>
  <c r="AY37" i="22" s="1"/>
  <c r="BI37" i="22" s="1"/>
  <c r="AG44" i="22"/>
  <c r="AS44" i="22" s="1"/>
  <c r="BC44" i="22" s="1"/>
  <c r="N44" i="22"/>
  <c r="N51" i="22"/>
  <c r="AG51" i="22"/>
  <c r="AS51" i="22" s="1"/>
  <c r="BC51" i="22" s="1"/>
  <c r="AJ37" i="23"/>
  <c r="AV37" i="23" s="1"/>
  <c r="BF37" i="23" s="1"/>
  <c r="V37" i="21"/>
  <c r="AG39" i="21"/>
  <c r="R53" i="21"/>
  <c r="AN38" i="22"/>
  <c r="AZ38" i="22" s="1"/>
  <c r="BJ38" i="22" s="1"/>
  <c r="Y38" i="22"/>
  <c r="N52" i="22"/>
  <c r="AG52" i="22"/>
  <c r="AS52" i="22" s="1"/>
  <c r="BC52" i="22" s="1"/>
  <c r="R52" i="22"/>
  <c r="R53" i="22"/>
  <c r="AG53" i="22"/>
  <c r="AS53" i="22" s="1"/>
  <c r="BC53" i="22" s="1"/>
  <c r="N53" i="22"/>
  <c r="R55" i="22"/>
  <c r="AG55" i="22"/>
  <c r="AS55" i="22" s="1"/>
  <c r="BC55" i="22" s="1"/>
  <c r="N55" i="22"/>
  <c r="AG56" i="22"/>
  <c r="AS56" i="22" s="1"/>
  <c r="BC56" i="22" s="1"/>
  <c r="R56" i="22"/>
  <c r="N56" i="22"/>
  <c r="R58" i="22"/>
  <c r="AG58" i="22"/>
  <c r="AS58" i="22" s="1"/>
  <c r="BC58" i="22" s="1"/>
  <c r="N58" i="22"/>
  <c r="AG59" i="22"/>
  <c r="AS59" i="22" s="1"/>
  <c r="BC59" i="22" s="1"/>
  <c r="N59" i="22"/>
  <c r="R59" i="22"/>
  <c r="AG60" i="22"/>
  <c r="AS60" i="22" s="1"/>
  <c r="BC60" i="22" s="1"/>
  <c r="R60" i="22"/>
  <c r="N60" i="22"/>
  <c r="N62" i="22"/>
  <c r="AG62" i="22"/>
  <c r="AS62" i="22" s="1"/>
  <c r="BC62" i="22" s="1"/>
  <c r="R62" i="22"/>
  <c r="AG63" i="22"/>
  <c r="AS63" i="22" s="1"/>
  <c r="BC63" i="22" s="1"/>
  <c r="N63" i="22"/>
  <c r="R63" i="22"/>
  <c r="AG64" i="22"/>
  <c r="AS64" i="22" s="1"/>
  <c r="BC64" i="22" s="1"/>
  <c r="R64" i="22"/>
  <c r="N64" i="22"/>
  <c r="AL38" i="23"/>
  <c r="AX38" i="23" s="1"/>
  <c r="BH38" i="23" s="1"/>
  <c r="AH38" i="23"/>
  <c r="AT38" i="23" s="1"/>
  <c r="BD38" i="23" s="1"/>
  <c r="S38" i="23"/>
  <c r="R49" i="23"/>
  <c r="AG49" i="23"/>
  <c r="AS49" i="23" s="1"/>
  <c r="BC49" i="23" s="1"/>
  <c r="N49" i="23"/>
  <c r="AK37" i="21"/>
  <c r="R46" i="22"/>
  <c r="N46" i="22"/>
  <c r="AG46" i="22"/>
  <c r="AS46" i="22" s="1"/>
  <c r="BC46" i="22" s="1"/>
  <c r="N43" i="22"/>
  <c r="AG43" i="22"/>
  <c r="AS43" i="22" s="1"/>
  <c r="BC43" i="22" s="1"/>
  <c r="R43" i="22"/>
  <c r="AJ38" i="21"/>
  <c r="V38" i="21"/>
  <c r="AN38" i="23"/>
  <c r="AZ38" i="23" s="1"/>
  <c r="BJ38" i="23" s="1"/>
  <c r="AF41" i="21"/>
  <c r="R44" i="22"/>
  <c r="AG61" i="22"/>
  <c r="AS61" i="22" s="1"/>
  <c r="BC61" i="22" s="1"/>
  <c r="N61" i="22"/>
  <c r="Y37" i="23"/>
  <c r="AN37" i="23"/>
  <c r="AZ37" i="23" s="1"/>
  <c r="BJ37" i="23" s="1"/>
  <c r="R43" i="23"/>
  <c r="N43" i="23"/>
  <c r="AG43" i="23"/>
  <c r="AS43" i="23" s="1"/>
  <c r="BC43" i="23" s="1"/>
  <c r="AG51" i="23"/>
  <c r="AS51" i="23" s="1"/>
  <c r="BC51" i="23" s="1"/>
  <c r="N51" i="23"/>
  <c r="R51" i="23"/>
  <c r="AG52" i="23"/>
  <c r="AS52" i="23" s="1"/>
  <c r="BC52" i="23" s="1"/>
  <c r="N52" i="23"/>
  <c r="R52" i="23"/>
  <c r="R53" i="23"/>
  <c r="N53" i="23"/>
  <c r="AG53" i="23"/>
  <c r="AS53" i="23" s="1"/>
  <c r="BC53" i="23" s="1"/>
  <c r="N54" i="23"/>
  <c r="AG54" i="23"/>
  <c r="AS54" i="23" s="1"/>
  <c r="BC54" i="23" s="1"/>
  <c r="R54" i="23"/>
  <c r="AG55" i="23"/>
  <c r="AS55" i="23" s="1"/>
  <c r="BC55" i="23" s="1"/>
  <c r="R55" i="23"/>
  <c r="N55" i="23"/>
  <c r="R56" i="23"/>
  <c r="N56" i="23"/>
  <c r="AG56" i="23"/>
  <c r="AS56" i="23" s="1"/>
  <c r="BC56" i="23" s="1"/>
  <c r="R57" i="23"/>
  <c r="AG57" i="23"/>
  <c r="AS57" i="23" s="1"/>
  <c r="BC57" i="23" s="1"/>
  <c r="AG58" i="23"/>
  <c r="AS58" i="23" s="1"/>
  <c r="BC58" i="23" s="1"/>
  <c r="R58" i="23"/>
  <c r="N58" i="23"/>
  <c r="AG59" i="23"/>
  <c r="AS59" i="23" s="1"/>
  <c r="BC59" i="23" s="1"/>
  <c r="N59" i="23"/>
  <c r="R59" i="23"/>
  <c r="AG60" i="23"/>
  <c r="AS60" i="23" s="1"/>
  <c r="BC60" i="23" s="1"/>
  <c r="N60" i="23"/>
  <c r="R60" i="23"/>
  <c r="N61" i="23"/>
  <c r="AG61" i="23"/>
  <c r="AS61" i="23" s="1"/>
  <c r="BC61" i="23" s="1"/>
  <c r="R61" i="23"/>
  <c r="N62" i="23"/>
  <c r="R62" i="23"/>
  <c r="AG62" i="23"/>
  <c r="AS62" i="23" s="1"/>
  <c r="BC62" i="23" s="1"/>
  <c r="R63" i="23"/>
  <c r="AG63" i="23"/>
  <c r="AS63" i="23" s="1"/>
  <c r="BC63" i="23" s="1"/>
  <c r="N63" i="23"/>
  <c r="R64" i="23"/>
  <c r="N64" i="23"/>
  <c r="AG64" i="23"/>
  <c r="AS64" i="23" s="1"/>
  <c r="BC64" i="23" s="1"/>
  <c r="R50" i="21"/>
  <c r="AF50" i="21"/>
  <c r="N50" i="21"/>
  <c r="AK39" i="21"/>
  <c r="N60" i="21"/>
  <c r="AF60" i="21"/>
  <c r="R60" i="21"/>
  <c r="R50" i="22"/>
  <c r="N50" i="22"/>
  <c r="AG50" i="22"/>
  <c r="AS50" i="22" s="1"/>
  <c r="BC50" i="22" s="1"/>
  <c r="AG41" i="23"/>
  <c r="AS41" i="23" s="1"/>
  <c r="BC41" i="23" s="1"/>
  <c r="R41" i="23"/>
  <c r="N41" i="23"/>
  <c r="X38" i="23"/>
  <c r="AM38" i="23"/>
  <c r="AY38" i="23" s="1"/>
  <c r="BI38" i="23" s="1"/>
  <c r="AO39" i="22"/>
  <c r="BA39" i="22" s="1"/>
  <c r="BK39" i="22" s="1"/>
  <c r="AN39" i="22"/>
  <c r="AZ39" i="22" s="1"/>
  <c r="BJ39" i="22" s="1"/>
  <c r="AL39" i="22"/>
  <c r="AX39" i="22" s="1"/>
  <c r="BH39" i="22" s="1"/>
  <c r="AI39" i="22"/>
  <c r="AU39" i="22" s="1"/>
  <c r="BE39" i="22" s="1"/>
  <c r="N63" i="21"/>
  <c r="AF63" i="21"/>
  <c r="AG45" i="22"/>
  <c r="AS45" i="22" s="1"/>
  <c r="BC45" i="22" s="1"/>
  <c r="R45" i="22"/>
  <c r="I40" i="22"/>
  <c r="AG47" i="23"/>
  <c r="AS47" i="23" s="1"/>
  <c r="BC47" i="23" s="1"/>
  <c r="R47" i="23"/>
  <c r="N47" i="23"/>
  <c r="AN39" i="23"/>
  <c r="AZ39" i="23" s="1"/>
  <c r="BJ39" i="23" s="1"/>
  <c r="AO39" i="23"/>
  <c r="BA39" i="23" s="1"/>
  <c r="BK39" i="23" s="1"/>
  <c r="AL39" i="23"/>
  <c r="AX39" i="23" s="1"/>
  <c r="BH39" i="23" s="1"/>
  <c r="AK38" i="21"/>
  <c r="W38" i="21"/>
  <c r="N54" i="21"/>
  <c r="AF54" i="21"/>
  <c r="R54" i="21"/>
  <c r="R55" i="21"/>
  <c r="R63" i="21"/>
  <c r="V38" i="22"/>
  <c r="AK38" i="22"/>
  <c r="AW38" i="22" s="1"/>
  <c r="BG38" i="22" s="1"/>
  <c r="I40" i="21"/>
  <c r="O40" i="21" s="1"/>
  <c r="R41" i="21"/>
  <c r="AF42" i="21"/>
  <c r="N45" i="21"/>
  <c r="N51" i="21"/>
  <c r="AF51" i="21"/>
  <c r="N58" i="21"/>
  <c r="AF58" i="21"/>
  <c r="R58" i="21"/>
  <c r="R59" i="21"/>
  <c r="AG42" i="23"/>
  <c r="AS42" i="23" s="1"/>
  <c r="BC42" i="23" s="1"/>
  <c r="R42" i="23"/>
  <c r="N42" i="23"/>
  <c r="N50" i="23"/>
  <c r="AG50" i="23"/>
  <c r="AS50" i="23" s="1"/>
  <c r="BC50" i="23" s="1"/>
  <c r="R50" i="23"/>
  <c r="T37" i="23"/>
  <c r="AI37" i="23"/>
  <c r="AU37" i="23" s="1"/>
  <c r="BE37" i="23" s="1"/>
  <c r="N57" i="23"/>
  <c r="AI37" i="22"/>
  <c r="AU37" i="22" s="1"/>
  <c r="BE37" i="22" s="1"/>
  <c r="AG41" i="22"/>
  <c r="AS41" i="22" s="1"/>
  <c r="BC41" i="22" s="1"/>
  <c r="R41" i="22"/>
  <c r="AH39" i="23"/>
  <c r="AT39" i="23" s="1"/>
  <c r="BD39" i="23" s="1"/>
  <c r="R45" i="23"/>
  <c r="AG45" i="23"/>
  <c r="AS45" i="23" s="1"/>
  <c r="BC45" i="23" s="1"/>
  <c r="N45" i="23"/>
  <c r="AH38" i="22"/>
  <c r="AT38" i="22" s="1"/>
  <c r="BD38" i="22" s="1"/>
  <c r="S38" i="22"/>
  <c r="AJ37" i="22"/>
  <c r="AV37" i="22" s="1"/>
  <c r="BF37" i="22" s="1"/>
  <c r="AJ38" i="23"/>
  <c r="AV38" i="23" s="1"/>
  <c r="BF38" i="23" s="1"/>
  <c r="U38" i="23"/>
  <c r="I40" i="23"/>
  <c r="T38" i="23"/>
  <c r="R47" i="24"/>
  <c r="N47" i="24"/>
  <c r="AG47" i="24"/>
  <c r="BN47" i="24" s="1"/>
  <c r="AS47" i="24"/>
  <c r="N40" i="22"/>
  <c r="R42" i="22"/>
  <c r="N42" i="22"/>
  <c r="X37" i="23"/>
  <c r="AI38" i="22"/>
  <c r="AU38" i="22" s="1"/>
  <c r="BE38" i="22" s="1"/>
  <c r="T38" i="22"/>
  <c r="AG49" i="22"/>
  <c r="AS49" i="22" s="1"/>
  <c r="BC49" i="22" s="1"/>
  <c r="R49" i="22"/>
  <c r="AG44" i="23"/>
  <c r="AS44" i="23" s="1"/>
  <c r="BC44" i="23" s="1"/>
  <c r="R44" i="23"/>
  <c r="AG40" i="23"/>
  <c r="AS40" i="23" s="1"/>
  <c r="BC40" i="23" s="1"/>
  <c r="AI37" i="24"/>
  <c r="BP37" i="24" s="1"/>
  <c r="AU37" i="24" s="1"/>
  <c r="AI39" i="23"/>
  <c r="AU39" i="23" s="1"/>
  <c r="BE39" i="23" s="1"/>
  <c r="AL37" i="24"/>
  <c r="BS37" i="24" s="1"/>
  <c r="AX37" i="24" s="1"/>
  <c r="W37" i="24"/>
  <c r="AL38" i="24"/>
  <c r="BS38" i="24" s="1"/>
  <c r="AX38" i="24" s="1"/>
  <c r="W38" i="24"/>
  <c r="AS45" i="24"/>
  <c r="AG45" i="24"/>
  <c r="BN45" i="24" s="1"/>
  <c r="R45" i="24"/>
  <c r="N45" i="24"/>
  <c r="AS41" i="24"/>
  <c r="AG41" i="24"/>
  <c r="BN41" i="24" s="1"/>
  <c r="R41" i="24"/>
  <c r="N41" i="24"/>
  <c r="AK38" i="23"/>
  <c r="AW38" i="23" s="1"/>
  <c r="BG38" i="23" s="1"/>
  <c r="V38" i="23"/>
  <c r="N46" i="23"/>
  <c r="R46" i="23"/>
  <c r="AS40" i="24"/>
  <c r="R40" i="24"/>
  <c r="N40" i="24"/>
  <c r="AG40" i="24"/>
  <c r="BN40" i="24" s="1"/>
  <c r="Y37" i="24"/>
  <c r="AN37" i="24"/>
  <c r="BU37" i="24" s="1"/>
  <c r="AZ37" i="24" s="1"/>
  <c r="N44" i="24"/>
  <c r="AG44" i="24"/>
  <c r="BN44" i="24" s="1"/>
  <c r="R44" i="24"/>
  <c r="AI38" i="24"/>
  <c r="BP38" i="24" s="1"/>
  <c r="AU38" i="24" s="1"/>
  <c r="T38" i="24"/>
  <c r="N48" i="24"/>
  <c r="AS48" i="24"/>
  <c r="R48" i="24"/>
  <c r="R63" i="24"/>
  <c r="AG63" i="24"/>
  <c r="BN63" i="24" s="1"/>
  <c r="N63" i="24"/>
  <c r="AS63" i="24"/>
  <c r="AJ38" i="24"/>
  <c r="BQ38" i="24" s="1"/>
  <c r="AV38" i="24" s="1"/>
  <c r="U38" i="24"/>
  <c r="I40" i="24"/>
  <c r="O40" i="24" s="1"/>
  <c r="U37" i="24"/>
  <c r="R42" i="24"/>
  <c r="N42" i="24"/>
  <c r="AS42" i="24"/>
  <c r="N50" i="24"/>
  <c r="AS50" i="24"/>
  <c r="R50" i="24"/>
  <c r="X38" i="24"/>
  <c r="AM38" i="24"/>
  <c r="BT38" i="24" s="1"/>
  <c r="AY38" i="24" s="1"/>
  <c r="AG42" i="24"/>
  <c r="BN42" i="24" s="1"/>
  <c r="AN38" i="24"/>
  <c r="BU38" i="24" s="1"/>
  <c r="AZ38" i="24" s="1"/>
  <c r="AS46" i="24"/>
  <c r="AG46" i="24"/>
  <c r="BN46" i="24" s="1"/>
  <c r="R46" i="24"/>
  <c r="AH39" i="24"/>
  <c r="BO39" i="24" s="1"/>
  <c r="AT39" i="24" s="1"/>
  <c r="N46" i="24"/>
  <c r="R43" i="24"/>
  <c r="N43" i="24"/>
  <c r="AS51" i="24"/>
  <c r="R51" i="24"/>
  <c r="N51" i="24"/>
  <c r="N52" i="24"/>
  <c r="AG52" i="24"/>
  <c r="BN52" i="24" s="1"/>
  <c r="R52" i="24"/>
  <c r="AS52" i="24"/>
  <c r="N53" i="24"/>
  <c r="AS53" i="24"/>
  <c r="R54" i="24"/>
  <c r="AS54" i="24"/>
  <c r="AG55" i="24"/>
  <c r="BN55" i="24" s="1"/>
  <c r="AS55" i="24"/>
  <c r="N55" i="24"/>
  <c r="R56" i="24"/>
  <c r="AS56" i="24"/>
  <c r="AG56" i="24"/>
  <c r="BN56" i="24" s="1"/>
  <c r="N56" i="24"/>
  <c r="AS57" i="24"/>
  <c r="AG57" i="24"/>
  <c r="BN57" i="24" s="1"/>
  <c r="R57" i="24"/>
  <c r="AG58" i="24"/>
  <c r="BN58" i="24" s="1"/>
  <c r="N58" i="24"/>
  <c r="R58" i="24"/>
  <c r="AS58" i="24"/>
  <c r="AS59" i="24"/>
  <c r="AG59" i="24"/>
  <c r="BN59" i="24" s="1"/>
  <c r="R59" i="24"/>
  <c r="AS60" i="24"/>
  <c r="R60" i="24"/>
  <c r="AG60" i="24"/>
  <c r="BN60" i="24" s="1"/>
  <c r="AS61" i="24"/>
  <c r="AG61" i="24"/>
  <c r="BN61" i="24" s="1"/>
  <c r="R61" i="24"/>
  <c r="N61" i="24"/>
  <c r="N62" i="24"/>
  <c r="R62" i="24"/>
  <c r="AG62" i="24"/>
  <c r="BN62" i="24" s="1"/>
  <c r="AS62" i="24"/>
  <c r="R64" i="24"/>
  <c r="AS64" i="24"/>
  <c r="N64" i="24"/>
  <c r="AG53" i="24"/>
  <c r="BN53" i="24" s="1"/>
  <c r="N57" i="24"/>
  <c r="I20" i="8"/>
  <c r="AL39" i="19"/>
  <c r="AB39" i="19"/>
  <c r="U39" i="19"/>
  <c r="AH39" i="19" s="1"/>
  <c r="AR39" i="19" s="1"/>
  <c r="S39" i="19"/>
  <c r="AF39" i="19" s="1"/>
  <c r="AP39" i="19" s="1"/>
  <c r="R39" i="19"/>
  <c r="AE39" i="19" s="1"/>
  <c r="AO39" i="19" s="1"/>
  <c r="H39" i="19"/>
  <c r="F39" i="19"/>
  <c r="C39" i="19"/>
  <c r="B39" i="19"/>
  <c r="AJ38" i="19"/>
  <c r="AT38" i="19" s="1"/>
  <c r="AB38" i="19"/>
  <c r="H31" i="19"/>
  <c r="G31" i="19"/>
  <c r="E31" i="19"/>
  <c r="D31" i="19"/>
  <c r="B31" i="19"/>
  <c r="A31" i="19"/>
  <c r="H30" i="19"/>
  <c r="G30" i="19"/>
  <c r="E30" i="19"/>
  <c r="D30" i="19"/>
  <c r="B30" i="19"/>
  <c r="A30" i="19"/>
  <c r="H29" i="19"/>
  <c r="G29" i="19"/>
  <c r="E29" i="19"/>
  <c r="D29" i="19"/>
  <c r="B29" i="19"/>
  <c r="A29" i="19"/>
  <c r="H28" i="19"/>
  <c r="G28" i="19"/>
  <c r="E28" i="19"/>
  <c r="D28" i="19"/>
  <c r="B28" i="19"/>
  <c r="A28" i="19"/>
  <c r="A64" i="19" s="1"/>
  <c r="H27" i="19"/>
  <c r="G27" i="19"/>
  <c r="E27" i="19"/>
  <c r="D27" i="19"/>
  <c r="B27" i="19"/>
  <c r="A27" i="19"/>
  <c r="A63" i="19" s="1"/>
  <c r="O63" i="19" s="1"/>
  <c r="AB63" i="19" s="1"/>
  <c r="H26" i="19"/>
  <c r="G26" i="19"/>
  <c r="E26" i="19"/>
  <c r="D26" i="19"/>
  <c r="B26" i="19"/>
  <c r="A26" i="19"/>
  <c r="A62" i="19" s="1"/>
  <c r="H25" i="19"/>
  <c r="G25" i="19"/>
  <c r="E25" i="19"/>
  <c r="D25" i="19"/>
  <c r="B25" i="19"/>
  <c r="A25" i="19"/>
  <c r="A61" i="19" s="1"/>
  <c r="H24" i="19"/>
  <c r="G24" i="19"/>
  <c r="E24" i="19"/>
  <c r="D24" i="19"/>
  <c r="B24" i="19"/>
  <c r="A24" i="19"/>
  <c r="A60" i="19" s="1"/>
  <c r="H23" i="19"/>
  <c r="G23" i="19"/>
  <c r="E23" i="19"/>
  <c r="D23" i="19"/>
  <c r="B23" i="19"/>
  <c r="A23" i="19"/>
  <c r="A59" i="19" s="1"/>
  <c r="AL59" i="19" s="1"/>
  <c r="H22" i="19"/>
  <c r="G22" i="19"/>
  <c r="E22" i="19"/>
  <c r="D22" i="19"/>
  <c r="B22" i="19"/>
  <c r="A22" i="19"/>
  <c r="A58" i="19" s="1"/>
  <c r="H21" i="19"/>
  <c r="G21" i="19"/>
  <c r="E21" i="19"/>
  <c r="D21" i="19"/>
  <c r="B21" i="19"/>
  <c r="A21" i="19"/>
  <c r="A57" i="19" s="1"/>
  <c r="H20" i="19"/>
  <c r="G20" i="19"/>
  <c r="E20" i="19"/>
  <c r="D20" i="19"/>
  <c r="B20" i="19"/>
  <c r="A20" i="19"/>
  <c r="A56" i="19" s="1"/>
  <c r="H19" i="19"/>
  <c r="G19" i="19"/>
  <c r="E19" i="19"/>
  <c r="D19" i="19"/>
  <c r="B19" i="19"/>
  <c r="A19" i="19"/>
  <c r="A55" i="19" s="1"/>
  <c r="O55" i="19" s="1"/>
  <c r="AB55" i="19" s="1"/>
  <c r="H18" i="19"/>
  <c r="G18" i="19"/>
  <c r="E18" i="19"/>
  <c r="D18" i="19"/>
  <c r="B18" i="19"/>
  <c r="A18" i="19"/>
  <c r="A54" i="19" s="1"/>
  <c r="H17" i="19"/>
  <c r="G17" i="19"/>
  <c r="E17" i="19"/>
  <c r="D17" i="19"/>
  <c r="B17" i="19"/>
  <c r="A17" i="19"/>
  <c r="A53" i="19" s="1"/>
  <c r="AL53" i="19" s="1"/>
  <c r="H16" i="19"/>
  <c r="G16" i="19"/>
  <c r="E16" i="19"/>
  <c r="D16" i="19"/>
  <c r="B16" i="19"/>
  <c r="A16" i="19"/>
  <c r="A52" i="19" s="1"/>
  <c r="H15" i="19"/>
  <c r="G15" i="19"/>
  <c r="E15" i="19"/>
  <c r="D15" i="19"/>
  <c r="B15" i="19"/>
  <c r="A15" i="19"/>
  <c r="A51" i="19" s="1"/>
  <c r="H14" i="19"/>
  <c r="G14" i="19"/>
  <c r="C14" i="19"/>
  <c r="B14" i="19"/>
  <c r="A14" i="19"/>
  <c r="A50" i="19" s="1"/>
  <c r="H13" i="19"/>
  <c r="G13" i="19"/>
  <c r="C13" i="19"/>
  <c r="B13" i="19"/>
  <c r="A13" i="19"/>
  <c r="A49" i="19" s="1"/>
  <c r="O49" i="19" s="1"/>
  <c r="AB49" i="19" s="1"/>
  <c r="H12" i="19"/>
  <c r="F12" i="19"/>
  <c r="C12" i="19"/>
  <c r="B12" i="19"/>
  <c r="A12" i="19"/>
  <c r="A48" i="19" s="1"/>
  <c r="AL48" i="19" s="1"/>
  <c r="H11" i="19"/>
  <c r="F11" i="19"/>
  <c r="C11" i="19"/>
  <c r="B11" i="19"/>
  <c r="A11" i="19"/>
  <c r="A47" i="19" s="1"/>
  <c r="H10" i="19"/>
  <c r="F10" i="19"/>
  <c r="C10" i="19"/>
  <c r="B10" i="19"/>
  <c r="A10" i="19"/>
  <c r="A46" i="19" s="1"/>
  <c r="H9" i="19"/>
  <c r="F9" i="19"/>
  <c r="C9" i="19"/>
  <c r="B9" i="19"/>
  <c r="A9" i="19"/>
  <c r="A45" i="19" s="1"/>
  <c r="O45" i="19" s="1"/>
  <c r="AB45" i="19" s="1"/>
  <c r="H8" i="19"/>
  <c r="F8" i="19"/>
  <c r="C8" i="19"/>
  <c r="B8" i="19"/>
  <c r="A8" i="19"/>
  <c r="A44" i="19" s="1"/>
  <c r="AL44" i="19" s="1"/>
  <c r="H7" i="19"/>
  <c r="F7" i="19"/>
  <c r="C7" i="19"/>
  <c r="B7" i="19"/>
  <c r="A7" i="19"/>
  <c r="A43" i="19" s="1"/>
  <c r="H6" i="19"/>
  <c r="F6" i="19"/>
  <c r="C6" i="19"/>
  <c r="B6" i="19"/>
  <c r="A6" i="19"/>
  <c r="A42" i="19" s="1"/>
  <c r="AL42" i="19" s="1"/>
  <c r="H5" i="19"/>
  <c r="F5" i="19"/>
  <c r="C5" i="19"/>
  <c r="B5" i="19"/>
  <c r="A5" i="19"/>
  <c r="A41" i="19" s="1"/>
  <c r="H4" i="19"/>
  <c r="F4" i="19"/>
  <c r="C4" i="19"/>
  <c r="B4" i="19"/>
  <c r="A4" i="19"/>
  <c r="A40" i="19" s="1"/>
  <c r="H3" i="19"/>
  <c r="H38" i="19" s="1"/>
  <c r="V38" i="19" s="1"/>
  <c r="AI38" i="19" s="1"/>
  <c r="AS38" i="19" s="1"/>
  <c r="G3" i="19"/>
  <c r="G38" i="19" s="1"/>
  <c r="U38" i="19" s="1"/>
  <c r="AH38" i="19" s="1"/>
  <c r="AR38" i="19" s="1"/>
  <c r="F3" i="19"/>
  <c r="F38" i="19" s="1"/>
  <c r="T38" i="19" s="1"/>
  <c r="AG38" i="19" s="1"/>
  <c r="AQ38" i="19" s="1"/>
  <c r="E3" i="19"/>
  <c r="E38" i="19" s="1"/>
  <c r="S38" i="19" s="1"/>
  <c r="AF38" i="19" s="1"/>
  <c r="AP38" i="19" s="1"/>
  <c r="D3" i="19"/>
  <c r="D38" i="19" s="1"/>
  <c r="R38" i="19" s="1"/>
  <c r="AE38" i="19" s="1"/>
  <c r="AO38" i="19" s="1"/>
  <c r="C3" i="19"/>
  <c r="C38" i="19" s="1"/>
  <c r="Q38" i="19" s="1"/>
  <c r="AD38" i="19" s="1"/>
  <c r="AN38" i="19" s="1"/>
  <c r="B3" i="19"/>
  <c r="B38" i="19" s="1"/>
  <c r="P38" i="19" s="1"/>
  <c r="AC38" i="19" s="1"/>
  <c r="AM38" i="19" s="1"/>
  <c r="A3" i="19"/>
  <c r="H2" i="19"/>
  <c r="H37" i="19" s="1"/>
  <c r="V37" i="19" s="1"/>
  <c r="AI37" i="19" s="1"/>
  <c r="AS37" i="19" s="1"/>
  <c r="G2" i="19"/>
  <c r="G37" i="19" s="1"/>
  <c r="U37" i="19" s="1"/>
  <c r="AH37" i="19" s="1"/>
  <c r="AR37" i="19" s="1"/>
  <c r="F2" i="19"/>
  <c r="F37" i="19" s="1"/>
  <c r="T37" i="19" s="1"/>
  <c r="AG37" i="19" s="1"/>
  <c r="AQ37" i="19" s="1"/>
  <c r="E2" i="19"/>
  <c r="E37" i="19" s="1"/>
  <c r="S37" i="19" s="1"/>
  <c r="AF37" i="19" s="1"/>
  <c r="AP37" i="19" s="1"/>
  <c r="D2" i="19"/>
  <c r="D37" i="19" s="1"/>
  <c r="R37" i="19" s="1"/>
  <c r="AE37" i="19" s="1"/>
  <c r="AO37" i="19" s="1"/>
  <c r="C2" i="19"/>
  <c r="C37" i="19" s="1"/>
  <c r="Q37" i="19" s="1"/>
  <c r="AD37" i="19" s="1"/>
  <c r="AN37" i="19" s="1"/>
  <c r="B2" i="19"/>
  <c r="B37" i="19" s="1"/>
  <c r="P37" i="19" s="1"/>
  <c r="AC37" i="19" s="1"/>
  <c r="AM37" i="19" s="1"/>
  <c r="O40" i="22" l="1"/>
  <c r="Q41" i="26"/>
  <c r="O42" i="29"/>
  <c r="O43" i="29" s="1"/>
  <c r="O44" i="29" s="1"/>
  <c r="O45" i="29" s="1"/>
  <c r="O46" i="29" s="1"/>
  <c r="O47" i="29" s="1"/>
  <c r="O48" i="29" s="1"/>
  <c r="O49" i="29" s="1"/>
  <c r="O50" i="29" s="1"/>
  <c r="O51" i="29" s="1"/>
  <c r="O52" i="29" s="1"/>
  <c r="O53" i="29" s="1"/>
  <c r="O54" i="29" s="1"/>
  <c r="O55" i="29" s="1"/>
  <c r="O56" i="29" s="1"/>
  <c r="O57" i="29" s="1"/>
  <c r="O58" i="29" s="1"/>
  <c r="O59" i="29" s="1"/>
  <c r="O60" i="29" s="1"/>
  <c r="O61" i="29" s="1"/>
  <c r="O62" i="29" s="1"/>
  <c r="O63" i="29" s="1"/>
  <c r="O64" i="29" s="1"/>
  <c r="O65" i="29" s="1"/>
  <c r="F41" i="29"/>
  <c r="W41" i="29" s="1"/>
  <c r="H41" i="29"/>
  <c r="Y41" i="29" s="1"/>
  <c r="C41" i="29"/>
  <c r="T41" i="29" s="1"/>
  <c r="B41" i="29"/>
  <c r="S41" i="29" s="1"/>
  <c r="Z40" i="29"/>
  <c r="AM40" i="29" s="1"/>
  <c r="Y40" i="28"/>
  <c r="Q43" i="28"/>
  <c r="X42" i="28"/>
  <c r="W42" i="28"/>
  <c r="C45" i="28"/>
  <c r="P43" i="28"/>
  <c r="F45" i="28"/>
  <c r="H44" i="28"/>
  <c r="I44" i="28" s="1"/>
  <c r="J44" i="28" s="1"/>
  <c r="K44" i="28" s="1"/>
  <c r="L44" i="28" s="1"/>
  <c r="V43" i="28"/>
  <c r="B45" i="28"/>
  <c r="Y41" i="28"/>
  <c r="T43" i="28"/>
  <c r="O41" i="26"/>
  <c r="O42" i="26" s="1"/>
  <c r="O43" i="26" s="1"/>
  <c r="O44" i="26" s="1"/>
  <c r="O45" i="26" s="1"/>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AN40" i="25"/>
  <c r="C41" i="25" s="1"/>
  <c r="AI40" i="25"/>
  <c r="AD40" i="25"/>
  <c r="AS40" i="25"/>
  <c r="H41" i="25" s="1"/>
  <c r="Q40" i="25"/>
  <c r="AM40" i="25"/>
  <c r="V40" i="25"/>
  <c r="AQ40" i="25"/>
  <c r="F41" i="25" s="1"/>
  <c r="P40" i="25"/>
  <c r="AG40" i="25"/>
  <c r="AC40" i="25"/>
  <c r="T40" i="25"/>
  <c r="J40" i="25"/>
  <c r="K40" i="25" s="1"/>
  <c r="L40" i="25" s="1"/>
  <c r="J40" i="24"/>
  <c r="K40" i="24" s="1"/>
  <c r="L40" i="24" s="1"/>
  <c r="O40" i="23"/>
  <c r="J40" i="23"/>
  <c r="K40" i="23" s="1"/>
  <c r="L40" i="23" s="1"/>
  <c r="J40" i="21"/>
  <c r="K40" i="21" s="1"/>
  <c r="L40" i="21" s="1"/>
  <c r="J40" i="22"/>
  <c r="K40" i="22" s="1"/>
  <c r="L40" i="22" s="1"/>
  <c r="B40" i="19"/>
  <c r="H40" i="19"/>
  <c r="O51" i="19"/>
  <c r="AB51" i="19" s="1"/>
  <c r="AL51" i="19"/>
  <c r="AL40" i="19"/>
  <c r="O40" i="19"/>
  <c r="AB40" i="19" s="1"/>
  <c r="O59" i="19"/>
  <c r="AB59" i="19" s="1"/>
  <c r="AL55" i="19"/>
  <c r="AL45" i="19"/>
  <c r="O53" i="19"/>
  <c r="AB53" i="19" s="1"/>
  <c r="O44" i="19"/>
  <c r="AB44" i="19" s="1"/>
  <c r="O42" i="19"/>
  <c r="AB42" i="19" s="1"/>
  <c r="O43" i="19"/>
  <c r="AB43" i="19" s="1"/>
  <c r="AL43" i="19"/>
  <c r="O47" i="19"/>
  <c r="AB47" i="19" s="1"/>
  <c r="AL47" i="19"/>
  <c r="O57" i="19"/>
  <c r="AB57" i="19" s="1"/>
  <c r="AL57" i="19"/>
  <c r="AL61" i="19"/>
  <c r="O61" i="19"/>
  <c r="AB61" i="19" s="1"/>
  <c r="I39" i="19"/>
  <c r="T39" i="19" s="1"/>
  <c r="AG39" i="19" s="1"/>
  <c r="AQ39" i="19" s="1"/>
  <c r="O56" i="19"/>
  <c r="AB56" i="19" s="1"/>
  <c r="AL56" i="19"/>
  <c r="O60" i="19"/>
  <c r="AB60" i="19" s="1"/>
  <c r="AL60" i="19"/>
  <c r="AL64" i="19"/>
  <c r="O64" i="19"/>
  <c r="AB64" i="19" s="1"/>
  <c r="AL49" i="19"/>
  <c r="AL46" i="19"/>
  <c r="O46" i="19"/>
  <c r="AB46" i="19" s="1"/>
  <c r="C40" i="19"/>
  <c r="O52" i="19"/>
  <c r="AB52" i="19" s="1"/>
  <c r="AL52" i="19"/>
  <c r="AL50" i="19"/>
  <c r="O50" i="19"/>
  <c r="AB50" i="19" s="1"/>
  <c r="AL54" i="19"/>
  <c r="O54" i="19"/>
  <c r="AB54" i="19" s="1"/>
  <c r="AL62" i="19"/>
  <c r="O62" i="19"/>
  <c r="AB62" i="19" s="1"/>
  <c r="F40" i="19"/>
  <c r="AL41" i="19"/>
  <c r="O41" i="19"/>
  <c r="AB41" i="19" s="1"/>
  <c r="O48" i="19"/>
  <c r="AB48" i="19" s="1"/>
  <c r="AL63" i="19"/>
  <c r="AL58" i="19"/>
  <c r="O58" i="19"/>
  <c r="AB58" i="19" s="1"/>
  <c r="Y42" i="28" l="1"/>
  <c r="O66" i="29"/>
  <c r="I71" i="29" s="1"/>
  <c r="I74" i="29" s="1"/>
  <c r="I41" i="29"/>
  <c r="H42" i="29"/>
  <c r="Y42" i="29" s="1"/>
  <c r="AA40" i="29"/>
  <c r="AB40" i="29" s="1"/>
  <c r="AC40" i="29" s="1"/>
  <c r="AD40" i="29"/>
  <c r="AH40" i="29"/>
  <c r="AK40" i="29"/>
  <c r="AG40" i="29"/>
  <c r="C42" i="29"/>
  <c r="T42" i="29" s="1"/>
  <c r="F42" i="29"/>
  <c r="W42" i="29" s="1"/>
  <c r="P44" i="28"/>
  <c r="T44" i="28"/>
  <c r="X43" i="28"/>
  <c r="W43" i="28"/>
  <c r="B46" i="28"/>
  <c r="H45" i="28"/>
  <c r="V44" i="28"/>
  <c r="Q44" i="28"/>
  <c r="F46" i="28"/>
  <c r="C46" i="28"/>
  <c r="Z40" i="26"/>
  <c r="AN40" i="26" s="1"/>
  <c r="AT40" i="25"/>
  <c r="AU40" i="25" s="1"/>
  <c r="B41" i="25"/>
  <c r="I41" i="25" s="1"/>
  <c r="AC41" i="25" s="1"/>
  <c r="X40" i="25"/>
  <c r="W40" i="25"/>
  <c r="T40" i="23"/>
  <c r="O41" i="23"/>
  <c r="O42" i="23" s="1"/>
  <c r="O43" i="23" s="1"/>
  <c r="O44" i="23" s="1"/>
  <c r="O45" i="23" s="1"/>
  <c r="O46" i="23" s="1"/>
  <c r="O47" i="23" s="1"/>
  <c r="O48" i="23" s="1"/>
  <c r="O49" i="23" s="1"/>
  <c r="O50" i="23" s="1"/>
  <c r="O51" i="23" s="1"/>
  <c r="O52" i="23" s="1"/>
  <c r="O53" i="23" s="1"/>
  <c r="O54" i="23" s="1"/>
  <c r="O55" i="23" s="1"/>
  <c r="O56" i="23" s="1"/>
  <c r="O57" i="23" s="1"/>
  <c r="O58" i="23" s="1"/>
  <c r="O59" i="23" s="1"/>
  <c r="O60" i="23" s="1"/>
  <c r="O61" i="23" s="1"/>
  <c r="O62" i="23" s="1"/>
  <c r="O63" i="23" s="1"/>
  <c r="O64" i="23" s="1"/>
  <c r="O65" i="23" s="1"/>
  <c r="W40" i="23"/>
  <c r="Y40" i="23"/>
  <c r="S40" i="23"/>
  <c r="O41" i="22"/>
  <c r="O42" i="22" s="1"/>
  <c r="O43" i="22" s="1"/>
  <c r="O44" i="22" s="1"/>
  <c r="O45" i="22" s="1"/>
  <c r="O46" i="22" s="1"/>
  <c r="O47" i="22" s="1"/>
  <c r="O48" i="22" s="1"/>
  <c r="O49" i="22" s="1"/>
  <c r="O50" i="22" s="1"/>
  <c r="O51" i="22" s="1"/>
  <c r="O52" i="22" s="1"/>
  <c r="O53" i="22" s="1"/>
  <c r="O54" i="22" s="1"/>
  <c r="O55" i="22" s="1"/>
  <c r="O56" i="22" s="1"/>
  <c r="O57" i="22" s="1"/>
  <c r="O58" i="22" s="1"/>
  <c r="O59" i="22" s="1"/>
  <c r="O60" i="22" s="1"/>
  <c r="O61" i="22" s="1"/>
  <c r="O62" i="22" s="1"/>
  <c r="O63" i="22" s="1"/>
  <c r="O64" i="22" s="1"/>
  <c r="O65" i="22" s="1"/>
  <c r="S40" i="22"/>
  <c r="T40" i="22"/>
  <c r="Y40" i="22"/>
  <c r="W40" i="22"/>
  <c r="O41" i="24"/>
  <c r="O42" i="24" s="1"/>
  <c r="O43" i="24" s="1"/>
  <c r="O44" i="24" s="1"/>
  <c r="O45" i="24" s="1"/>
  <c r="O46" i="24" s="1"/>
  <c r="O47" i="24" s="1"/>
  <c r="O48" i="24" s="1"/>
  <c r="O49" i="24" s="1"/>
  <c r="O50" i="24" s="1"/>
  <c r="O51" i="24" s="1"/>
  <c r="O52" i="24" s="1"/>
  <c r="T40" i="24"/>
  <c r="Y40" i="24"/>
  <c r="S40" i="24"/>
  <c r="W40" i="24"/>
  <c r="O41" i="21"/>
  <c r="O42" i="21" s="1"/>
  <c r="O43" i="21" s="1"/>
  <c r="O44" i="21" s="1"/>
  <c r="O45" i="21" s="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W40" i="21"/>
  <c r="T40" i="21"/>
  <c r="S40" i="21"/>
  <c r="Y40" i="21"/>
  <c r="P39" i="19"/>
  <c r="AC39" i="19" s="1"/>
  <c r="AM39" i="19" s="1"/>
  <c r="I40" i="19"/>
  <c r="Q40" i="19" s="1"/>
  <c r="V39" i="19"/>
  <c r="AI39" i="19" s="1"/>
  <c r="AS39" i="19" s="1"/>
  <c r="Q39" i="19"/>
  <c r="AD39" i="19" s="1"/>
  <c r="AN39" i="19" s="1"/>
  <c r="W39" i="19"/>
  <c r="AJ39" i="19" s="1"/>
  <c r="AT39" i="19" s="1"/>
  <c r="O53" i="24" l="1"/>
  <c r="O54" i="24" s="1"/>
  <c r="O55" i="24" s="1"/>
  <c r="O56" i="24" s="1"/>
  <c r="O57" i="24" s="1"/>
  <c r="O58" i="24" s="1"/>
  <c r="O59" i="24" s="1"/>
  <c r="O60" i="24" s="1"/>
  <c r="O61" i="24" s="1"/>
  <c r="O62" i="24" s="1"/>
  <c r="O63" i="24" s="1"/>
  <c r="O64" i="24" s="1"/>
  <c r="O65" i="24" s="1"/>
  <c r="Y40" i="25"/>
  <c r="W44" i="28"/>
  <c r="Y43" i="28"/>
  <c r="H43" i="29"/>
  <c r="Y43" i="29" s="1"/>
  <c r="C43" i="29"/>
  <c r="T43" i="29" s="1"/>
  <c r="J41" i="29"/>
  <c r="K41" i="29" s="1"/>
  <c r="L41" i="29" s="1"/>
  <c r="F43" i="29"/>
  <c r="W43" i="29" s="1"/>
  <c r="AO40" i="29"/>
  <c r="AN40" i="29"/>
  <c r="Z41" i="29"/>
  <c r="B42" i="29"/>
  <c r="S42" i="29" s="1"/>
  <c r="X44" i="28"/>
  <c r="B47" i="28"/>
  <c r="C47" i="28"/>
  <c r="H46" i="28"/>
  <c r="F47" i="28"/>
  <c r="I45" i="28"/>
  <c r="O66" i="26"/>
  <c r="I71" i="26" s="1"/>
  <c r="I74" i="26" s="1"/>
  <c r="AI40" i="26"/>
  <c r="BA40" i="26"/>
  <c r="AA40" i="26"/>
  <c r="AB40" i="26" s="1"/>
  <c r="AC40" i="26" s="1"/>
  <c r="BK40" i="26"/>
  <c r="AD40" i="26"/>
  <c r="AZ40" i="26"/>
  <c r="AU40" i="26"/>
  <c r="AH40" i="26"/>
  <c r="AL40" i="26"/>
  <c r="AT40" i="26"/>
  <c r="AX40" i="26"/>
  <c r="P41" i="25"/>
  <c r="AT41" i="25"/>
  <c r="AU41" i="25" s="1"/>
  <c r="AM41" i="25"/>
  <c r="B42" i="25" s="1"/>
  <c r="AS41" i="25"/>
  <c r="H42" i="25" s="1"/>
  <c r="AN41" i="25"/>
  <c r="C42" i="25" s="1"/>
  <c r="AQ41" i="25"/>
  <c r="F42" i="25" s="1"/>
  <c r="AJ41" i="25"/>
  <c r="J41" i="25"/>
  <c r="K41" i="25" s="1"/>
  <c r="L41" i="25" s="1"/>
  <c r="AD41" i="25"/>
  <c r="Q41" i="25"/>
  <c r="AI41" i="25"/>
  <c r="AG41" i="25"/>
  <c r="V41" i="25"/>
  <c r="T41" i="25"/>
  <c r="B41" i="21"/>
  <c r="Z40" i="21"/>
  <c r="AM40" i="21" s="1"/>
  <c r="AU40" i="24"/>
  <c r="C41" i="24" s="1"/>
  <c r="T41" i="24" s="1"/>
  <c r="C41" i="21"/>
  <c r="T41" i="21" s="1"/>
  <c r="Z40" i="23"/>
  <c r="AT40" i="23" s="1"/>
  <c r="F41" i="21"/>
  <c r="W41" i="21" s="1"/>
  <c r="O66" i="24"/>
  <c r="I71" i="24" s="1"/>
  <c r="I74" i="24" s="1"/>
  <c r="BH40" i="22"/>
  <c r="F41" i="22" s="1"/>
  <c r="W41" i="22" s="1"/>
  <c r="O66" i="21"/>
  <c r="I71" i="21" s="1"/>
  <c r="I74" i="21" s="1"/>
  <c r="AX40" i="24"/>
  <c r="F41" i="24" s="1"/>
  <c r="W41" i="24" s="1"/>
  <c r="BE40" i="22"/>
  <c r="C41" i="22" s="1"/>
  <c r="T41" i="22" s="1"/>
  <c r="H41" i="21"/>
  <c r="Y41" i="21" s="1"/>
  <c r="AZ40" i="24"/>
  <c r="H41" i="24" s="1"/>
  <c r="Y41" i="24" s="1"/>
  <c r="BJ40" i="22"/>
  <c r="H41" i="22" s="1"/>
  <c r="Y41" i="22" s="1"/>
  <c r="AT40" i="24"/>
  <c r="B41" i="24" s="1"/>
  <c r="Z40" i="24"/>
  <c r="AN40" i="24" s="1"/>
  <c r="Z40" i="22"/>
  <c r="AX40" i="22" s="1"/>
  <c r="BD40" i="22"/>
  <c r="B41" i="22" s="1"/>
  <c r="V40" i="19"/>
  <c r="AG40" i="19"/>
  <c r="P40" i="19"/>
  <c r="J40" i="19"/>
  <c r="K40" i="19" s="1"/>
  <c r="L40" i="19" s="1"/>
  <c r="AD40" i="19"/>
  <c r="AS40" i="19"/>
  <c r="AC40" i="19"/>
  <c r="AJ40" i="19"/>
  <c r="AM40" i="19"/>
  <c r="AI40" i="19"/>
  <c r="T40" i="19"/>
  <c r="AQ40" i="19"/>
  <c r="AN40" i="19"/>
  <c r="H31" i="7"/>
  <c r="G31" i="7"/>
  <c r="E31" i="7"/>
  <c r="D31" i="7"/>
  <c r="B31" i="7"/>
  <c r="A31" i="7"/>
  <c r="E31" i="4"/>
  <c r="D31" i="4"/>
  <c r="A31" i="4"/>
  <c r="Y44" i="28" l="1"/>
  <c r="BS40" i="24"/>
  <c r="AI40" i="23"/>
  <c r="AL40" i="23"/>
  <c r="O66" i="22"/>
  <c r="I71" i="22" s="1"/>
  <c r="I74" i="22" s="1"/>
  <c r="AX40" i="23"/>
  <c r="AU40" i="23"/>
  <c r="AT40" i="22"/>
  <c r="AH40" i="22"/>
  <c r="AN40" i="23"/>
  <c r="AP40" i="29"/>
  <c r="F44" i="29"/>
  <c r="W44" i="29" s="1"/>
  <c r="C44" i="29"/>
  <c r="T44" i="29" s="1"/>
  <c r="AD41" i="29"/>
  <c r="AA41" i="29"/>
  <c r="AB41" i="29" s="1"/>
  <c r="AC41" i="29" s="1"/>
  <c r="AK41" i="29"/>
  <c r="AH41" i="29"/>
  <c r="AM41" i="29"/>
  <c r="AG41" i="29"/>
  <c r="I42" i="29"/>
  <c r="H44" i="29"/>
  <c r="Y44" i="29" s="1"/>
  <c r="H47" i="28"/>
  <c r="I47" i="28" s="1"/>
  <c r="I46" i="28"/>
  <c r="J45" i="28"/>
  <c r="K45" i="28" s="1"/>
  <c r="L45" i="28" s="1"/>
  <c r="Q45" i="28"/>
  <c r="T45" i="28"/>
  <c r="P45" i="28"/>
  <c r="F48" i="28"/>
  <c r="C48" i="28"/>
  <c r="V45" i="28"/>
  <c r="B48" i="28"/>
  <c r="BH40" i="26"/>
  <c r="F41" i="26" s="1"/>
  <c r="BE40" i="26"/>
  <c r="C41" i="26" s="1"/>
  <c r="BD40" i="26"/>
  <c r="BJ40" i="26"/>
  <c r="H41" i="26" s="1"/>
  <c r="Y41" i="26" s="1"/>
  <c r="AO40" i="26"/>
  <c r="AP40" i="26"/>
  <c r="X41" i="25"/>
  <c r="I42" i="25"/>
  <c r="P42" i="25" s="1"/>
  <c r="W41" i="25"/>
  <c r="BP40" i="24"/>
  <c r="AZ40" i="22"/>
  <c r="AL40" i="22"/>
  <c r="AZ40" i="23"/>
  <c r="AI40" i="24"/>
  <c r="AH40" i="24"/>
  <c r="AZ41" i="24"/>
  <c r="H42" i="24" s="1"/>
  <c r="Y42" i="24" s="1"/>
  <c r="AI40" i="22"/>
  <c r="AH40" i="23"/>
  <c r="AU41" i="24"/>
  <c r="C42" i="24" s="1"/>
  <c r="T42" i="24" s="1"/>
  <c r="C42" i="21"/>
  <c r="T42" i="21" s="1"/>
  <c r="AA40" i="21"/>
  <c r="AB40" i="21" s="1"/>
  <c r="AC40" i="21" s="1"/>
  <c r="AD40" i="21"/>
  <c r="O66" i="23"/>
  <c r="I71" i="23" s="1"/>
  <c r="I74" i="23" s="1"/>
  <c r="BO40" i="24"/>
  <c r="AX41" i="24"/>
  <c r="F42" i="24" s="1"/>
  <c r="W42" i="24" s="1"/>
  <c r="F42" i="21"/>
  <c r="W42" i="21" s="1"/>
  <c r="AG40" i="21"/>
  <c r="BK40" i="22"/>
  <c r="BA40" i="22"/>
  <c r="AD40" i="22"/>
  <c r="AA40" i="22"/>
  <c r="AB40" i="22" s="1"/>
  <c r="AC40" i="22" s="1"/>
  <c r="BL40" i="22"/>
  <c r="AD40" i="24"/>
  <c r="BB40" i="24"/>
  <c r="AA40" i="24"/>
  <c r="AB40" i="24" s="1"/>
  <c r="AC40" i="24" s="1"/>
  <c r="BV40" i="24"/>
  <c r="BA40" i="24"/>
  <c r="I41" i="24"/>
  <c r="S41" i="24"/>
  <c r="BU40" i="24"/>
  <c r="AU40" i="22"/>
  <c r="BA40" i="23"/>
  <c r="AA40" i="23"/>
  <c r="AB40" i="23" s="1"/>
  <c r="AC40" i="23" s="1"/>
  <c r="AD40" i="23"/>
  <c r="BK40" i="23"/>
  <c r="I41" i="22"/>
  <c r="S41" i="22"/>
  <c r="AN40" i="22"/>
  <c r="H42" i="21"/>
  <c r="Y42" i="21" s="1"/>
  <c r="AL40" i="24"/>
  <c r="AK40" i="21"/>
  <c r="AH40" i="21"/>
  <c r="S41" i="21"/>
  <c r="I41" i="21"/>
  <c r="W40" i="19"/>
  <c r="X40" i="19"/>
  <c r="A5" i="7"/>
  <c r="A6" i="7"/>
  <c r="A7" i="7"/>
  <c r="A8" i="7"/>
  <c r="A9" i="7"/>
  <c r="A10" i="7"/>
  <c r="A11" i="7"/>
  <c r="A12" i="7"/>
  <c r="A13" i="7"/>
  <c r="A14" i="7"/>
  <c r="A15" i="7"/>
  <c r="A16" i="7"/>
  <c r="A17" i="7"/>
  <c r="A18" i="7"/>
  <c r="A19" i="7"/>
  <c r="A20" i="7"/>
  <c r="A21" i="7"/>
  <c r="A22" i="7"/>
  <c r="A23" i="7"/>
  <c r="A24" i="7"/>
  <c r="A25" i="7"/>
  <c r="A26" i="7"/>
  <c r="A27" i="7"/>
  <c r="A28" i="7"/>
  <c r="A29" i="7"/>
  <c r="A30" i="7"/>
  <c r="B30" i="7"/>
  <c r="D30" i="7"/>
  <c r="E30" i="7"/>
  <c r="G30" i="7"/>
  <c r="H30" i="7"/>
  <c r="A30" i="4"/>
  <c r="D30" i="4"/>
  <c r="E30" i="4"/>
  <c r="Y40" i="19" l="1"/>
  <c r="J47" i="28"/>
  <c r="K47" i="28" s="1"/>
  <c r="L47" i="28" s="1"/>
  <c r="AP40" i="22"/>
  <c r="J42" i="29"/>
  <c r="K42" i="29" s="1"/>
  <c r="L42" i="29" s="1"/>
  <c r="C45" i="29"/>
  <c r="T45" i="29" s="1"/>
  <c r="AO41" i="29"/>
  <c r="AN41" i="29"/>
  <c r="Z42" i="29"/>
  <c r="B43" i="29"/>
  <c r="S43" i="29" s="1"/>
  <c r="H45" i="29"/>
  <c r="Y45" i="29" s="1"/>
  <c r="F45" i="29"/>
  <c r="W45" i="29" s="1"/>
  <c r="C49" i="28"/>
  <c r="J46" i="28"/>
  <c r="K46" i="28" s="1"/>
  <c r="L46" i="28" s="1"/>
  <c r="T46" i="28"/>
  <c r="P46" i="28"/>
  <c r="Q46" i="28"/>
  <c r="P47" i="28"/>
  <c r="B49" i="28"/>
  <c r="T47" i="28"/>
  <c r="V46" i="28"/>
  <c r="Q47" i="28"/>
  <c r="W45" i="28"/>
  <c r="X45" i="28"/>
  <c r="G49" i="28"/>
  <c r="H48" i="28"/>
  <c r="V47" i="28"/>
  <c r="B41" i="26"/>
  <c r="S41" i="26" s="1"/>
  <c r="BL40" i="26"/>
  <c r="AQ40" i="26"/>
  <c r="AI42" i="25"/>
  <c r="V42" i="25"/>
  <c r="Y41" i="25"/>
  <c r="T42" i="25"/>
  <c r="AD42" i="25"/>
  <c r="Q42" i="25"/>
  <c r="AQ42" i="25"/>
  <c r="F43" i="25" s="1"/>
  <c r="AJ42" i="25"/>
  <c r="J42" i="25"/>
  <c r="K42" i="25" s="1"/>
  <c r="L42" i="25" s="1"/>
  <c r="AN42" i="25"/>
  <c r="C43" i="25" s="1"/>
  <c r="AS42" i="25"/>
  <c r="H43" i="25" s="1"/>
  <c r="AT42" i="25"/>
  <c r="AU42" i="25" s="1"/>
  <c r="AM42" i="25"/>
  <c r="B43" i="25" s="1"/>
  <c r="AG42" i="25"/>
  <c r="AC42" i="25"/>
  <c r="J41" i="22"/>
  <c r="K41" i="22" s="1"/>
  <c r="L41" i="22" s="1"/>
  <c r="J41" i="24"/>
  <c r="K41" i="24" s="1"/>
  <c r="L41" i="24" s="1"/>
  <c r="AO40" i="21"/>
  <c r="AN40" i="21"/>
  <c r="Z41" i="22"/>
  <c r="AH41" i="22" s="1"/>
  <c r="Z41" i="21"/>
  <c r="AG41" i="21" s="1"/>
  <c r="B42" i="21"/>
  <c r="BJ40" i="23"/>
  <c r="H41" i="23" s="1"/>
  <c r="Y41" i="23" s="1"/>
  <c r="BH40" i="23"/>
  <c r="F41" i="23" s="1"/>
  <c r="W41" i="23" s="1"/>
  <c r="BE40" i="23"/>
  <c r="C41" i="23" s="1"/>
  <c r="T41" i="23" s="1"/>
  <c r="BD40" i="23"/>
  <c r="F43" i="21"/>
  <c r="W43" i="21" s="1"/>
  <c r="H43" i="21"/>
  <c r="Y43" i="21" s="1"/>
  <c r="AZ42" i="24"/>
  <c r="H43" i="24" s="1"/>
  <c r="Y43" i="24" s="1"/>
  <c r="AO40" i="22"/>
  <c r="J41" i="21"/>
  <c r="K41" i="21" s="1"/>
  <c r="L41" i="21" s="1"/>
  <c r="AT41" i="24"/>
  <c r="B42" i="24" s="1"/>
  <c r="Z41" i="24"/>
  <c r="BO41" i="24" s="1"/>
  <c r="AO40" i="23"/>
  <c r="AP40" i="23"/>
  <c r="C43" i="21"/>
  <c r="T43" i="21" s="1"/>
  <c r="AX42" i="24"/>
  <c r="F43" i="24" s="1"/>
  <c r="W43" i="24" s="1"/>
  <c r="AU42" i="24"/>
  <c r="C43" i="24" s="1"/>
  <c r="T43" i="24" s="1"/>
  <c r="AO40" i="24"/>
  <c r="AP40" i="24"/>
  <c r="B1" i="14"/>
  <c r="C1" i="14"/>
  <c r="D1" i="14"/>
  <c r="AQ40" i="22" l="1"/>
  <c r="AP40" i="21"/>
  <c r="AP41" i="29"/>
  <c r="AA42" i="29"/>
  <c r="AB42" i="29" s="1"/>
  <c r="AC42" i="29" s="1"/>
  <c r="AD42" i="29"/>
  <c r="AK42" i="29"/>
  <c r="AM42" i="29"/>
  <c r="AH42" i="29"/>
  <c r="H46" i="29"/>
  <c r="Y46" i="29" s="1"/>
  <c r="C46" i="29"/>
  <c r="T46" i="29" s="1"/>
  <c r="AG42" i="29"/>
  <c r="F46" i="29"/>
  <c r="W46" i="29" s="1"/>
  <c r="I43" i="29"/>
  <c r="H49" i="28"/>
  <c r="I49" i="28" s="1"/>
  <c r="U49" i="28" s="1"/>
  <c r="X47" i="28"/>
  <c r="W47" i="28"/>
  <c r="Y47" i="28" s="1"/>
  <c r="I48" i="28"/>
  <c r="V48" i="28" s="1"/>
  <c r="Y45" i="28"/>
  <c r="G50" i="28"/>
  <c r="B50" i="28"/>
  <c r="X46" i="28"/>
  <c r="W46" i="28"/>
  <c r="C50" i="28"/>
  <c r="I41" i="26"/>
  <c r="W42" i="25"/>
  <c r="X42" i="25"/>
  <c r="I43" i="25"/>
  <c r="AD43" i="25" s="1"/>
  <c r="AH41" i="24"/>
  <c r="AU43" i="24"/>
  <c r="C44" i="24" s="1"/>
  <c r="T44" i="24" s="1"/>
  <c r="AQ40" i="23"/>
  <c r="B41" i="23"/>
  <c r="BL40" i="23"/>
  <c r="AA41" i="22"/>
  <c r="AB41" i="22" s="1"/>
  <c r="AC41" i="22" s="1"/>
  <c r="BK41" i="22"/>
  <c r="BA41" i="22"/>
  <c r="AD41" i="22"/>
  <c r="AN41" i="22"/>
  <c r="AL41" i="22"/>
  <c r="AU41" i="22"/>
  <c r="AI41" i="22"/>
  <c r="AZ41" i="22"/>
  <c r="C44" i="21"/>
  <c r="T44" i="21" s="1"/>
  <c r="AQ40" i="24"/>
  <c r="S42" i="21"/>
  <c r="I42" i="21"/>
  <c r="AX43" i="24"/>
  <c r="F44" i="24" s="1"/>
  <c r="W44" i="24" s="1"/>
  <c r="AT41" i="22"/>
  <c r="AZ43" i="24"/>
  <c r="H44" i="24" s="1"/>
  <c r="Y44" i="24" s="1"/>
  <c r="S42" i="24"/>
  <c r="I42" i="24"/>
  <c r="H44" i="21"/>
  <c r="Y44" i="21" s="1"/>
  <c r="AA41" i="21"/>
  <c r="AB41" i="21" s="1"/>
  <c r="AC41" i="21" s="1"/>
  <c r="AD41" i="21"/>
  <c r="AM41" i="21"/>
  <c r="AH41" i="21"/>
  <c r="AK41" i="21"/>
  <c r="BV41" i="24"/>
  <c r="AD41" i="24"/>
  <c r="AA41" i="24"/>
  <c r="AB41" i="24" s="1"/>
  <c r="AC41" i="24" s="1"/>
  <c r="BA41" i="24"/>
  <c r="BB41" i="24"/>
  <c r="BU41" i="24"/>
  <c r="AI41" i="24"/>
  <c r="BS41" i="24"/>
  <c r="AL41" i="24"/>
  <c r="AN41" i="24"/>
  <c r="BP41" i="24"/>
  <c r="F44" i="21"/>
  <c r="W44" i="21" s="1"/>
  <c r="G45" i="21" s="1"/>
  <c r="A29" i="8"/>
  <c r="A30" i="8"/>
  <c r="A28" i="8"/>
  <c r="B40" i="1"/>
  <c r="B41" i="1" s="1"/>
  <c r="C40" i="1"/>
  <c r="F40" i="1"/>
  <c r="F41" i="1" s="1"/>
  <c r="H40" i="1"/>
  <c r="I39" i="1"/>
  <c r="W39" i="1" s="1"/>
  <c r="A64" i="1"/>
  <c r="O64" i="1" s="1"/>
  <c r="A59" i="1"/>
  <c r="O59" i="1" s="1"/>
  <c r="A60" i="1"/>
  <c r="O60" i="1" s="1"/>
  <c r="A61" i="1"/>
  <c r="O61" i="1" s="1"/>
  <c r="A62" i="1"/>
  <c r="O62" i="1" s="1"/>
  <c r="A63" i="1"/>
  <c r="O63" i="1" s="1"/>
  <c r="A41" i="1"/>
  <c r="O41" i="1" s="1"/>
  <c r="O42" i="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58" i="1"/>
  <c r="O58" i="1" s="1"/>
  <c r="A40" i="1"/>
  <c r="O40" i="1" s="1"/>
  <c r="H38" i="1"/>
  <c r="V38" i="1" s="1"/>
  <c r="G38" i="1"/>
  <c r="U38" i="1" s="1"/>
  <c r="F38" i="1"/>
  <c r="T38" i="1" s="1"/>
  <c r="E38" i="1"/>
  <c r="S38" i="1" s="1"/>
  <c r="D38" i="1"/>
  <c r="R38" i="1" s="1"/>
  <c r="C38" i="1"/>
  <c r="Q38" i="1" s="1"/>
  <c r="H37" i="1"/>
  <c r="V37" i="1" s="1"/>
  <c r="G37" i="1"/>
  <c r="U37" i="1" s="1"/>
  <c r="F37" i="1"/>
  <c r="T37" i="1" s="1"/>
  <c r="E37" i="1"/>
  <c r="S37" i="1" s="1"/>
  <c r="D37" i="1"/>
  <c r="R37" i="1" s="1"/>
  <c r="C37" i="1"/>
  <c r="Q37" i="1" s="1"/>
  <c r="B38" i="1"/>
  <c r="P38" i="1" s="1"/>
  <c r="B37" i="1"/>
  <c r="P37" i="1" s="1"/>
  <c r="A22" i="3"/>
  <c r="B25" i="7"/>
  <c r="D25" i="7"/>
  <c r="E25" i="7"/>
  <c r="G25" i="7"/>
  <c r="B19" i="7"/>
  <c r="D19" i="7"/>
  <c r="E19" i="7"/>
  <c r="G19" i="7"/>
  <c r="B39" i="7"/>
  <c r="AB39" i="7" s="1"/>
  <c r="B4" i="7"/>
  <c r="B5" i="7"/>
  <c r="B6" i="7"/>
  <c r="B7" i="7"/>
  <c r="B8" i="7"/>
  <c r="B9" i="7"/>
  <c r="B10" i="7"/>
  <c r="B11" i="7"/>
  <c r="B12" i="7"/>
  <c r="B13" i="7"/>
  <c r="B14" i="7"/>
  <c r="B15" i="7"/>
  <c r="B16" i="7"/>
  <c r="B17" i="7"/>
  <c r="B18" i="7"/>
  <c r="C39" i="7"/>
  <c r="AC39" i="7" s="1"/>
  <c r="C4" i="7"/>
  <c r="C5" i="7"/>
  <c r="C6" i="7"/>
  <c r="C7" i="7"/>
  <c r="C8" i="7"/>
  <c r="C9" i="7"/>
  <c r="C10" i="7"/>
  <c r="C11" i="7"/>
  <c r="C12" i="7"/>
  <c r="C13" i="7"/>
  <c r="D15" i="7"/>
  <c r="D16" i="7"/>
  <c r="D17" i="7"/>
  <c r="D18" i="7"/>
  <c r="E15" i="7"/>
  <c r="E16" i="7"/>
  <c r="E17" i="7"/>
  <c r="E18" i="7"/>
  <c r="F39" i="7"/>
  <c r="AF39" i="7" s="1"/>
  <c r="F4" i="7"/>
  <c r="F5" i="7"/>
  <c r="F6" i="7"/>
  <c r="F7" i="7"/>
  <c r="F8" i="7"/>
  <c r="F9" i="7"/>
  <c r="F10" i="7"/>
  <c r="F11" i="7"/>
  <c r="G13" i="7"/>
  <c r="G14" i="7"/>
  <c r="G15" i="7"/>
  <c r="G16" i="7"/>
  <c r="G17" i="7"/>
  <c r="G18" i="7"/>
  <c r="H39" i="7"/>
  <c r="AH39" i="7" s="1"/>
  <c r="H4" i="7"/>
  <c r="H5" i="7"/>
  <c r="H6" i="7"/>
  <c r="H7" i="7"/>
  <c r="H8" i="7"/>
  <c r="H9" i="7"/>
  <c r="H10" i="7"/>
  <c r="H11" i="7"/>
  <c r="H12" i="7"/>
  <c r="H13" i="7"/>
  <c r="H14" i="7"/>
  <c r="H15" i="7"/>
  <c r="H16" i="7"/>
  <c r="H17" i="7"/>
  <c r="H18" i="7"/>
  <c r="H19" i="7"/>
  <c r="B20" i="7"/>
  <c r="B21" i="7"/>
  <c r="B22" i="7"/>
  <c r="B23" i="7"/>
  <c r="B24" i="7"/>
  <c r="R39" i="7"/>
  <c r="D20" i="7"/>
  <c r="D21" i="7"/>
  <c r="D22" i="7"/>
  <c r="D23" i="7"/>
  <c r="D24" i="7"/>
  <c r="S39" i="7"/>
  <c r="E20" i="7"/>
  <c r="E21" i="7"/>
  <c r="E22" i="7"/>
  <c r="E23" i="7"/>
  <c r="E24" i="7"/>
  <c r="U39"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1" i="7"/>
  <c r="O41" i="7" s="1"/>
  <c r="AA41" i="7" s="1"/>
  <c r="A42" i="7"/>
  <c r="O42" i="7" s="1"/>
  <c r="AA42" i="7" s="1"/>
  <c r="A43" i="7"/>
  <c r="O43" i="7" s="1"/>
  <c r="AA43" i="7" s="1"/>
  <c r="A44" i="7"/>
  <c r="O44" i="7" s="1"/>
  <c r="AA44" i="7" s="1"/>
  <c r="A45" i="7"/>
  <c r="O45" i="7" s="1"/>
  <c r="AA45" i="7" s="1"/>
  <c r="A46" i="7"/>
  <c r="O46" i="7" s="1"/>
  <c r="AA46" i="7" s="1"/>
  <c r="A47" i="7"/>
  <c r="O47" i="7" s="1"/>
  <c r="AA47" i="7" s="1"/>
  <c r="A48" i="7"/>
  <c r="O48" i="7" s="1"/>
  <c r="AA48" i="7" s="1"/>
  <c r="A49" i="7"/>
  <c r="O49" i="7" s="1"/>
  <c r="AA49" i="7" s="1"/>
  <c r="A50" i="7"/>
  <c r="O50" i="7" s="1"/>
  <c r="AA50" i="7" s="1"/>
  <c r="A51" i="7"/>
  <c r="O51" i="7" s="1"/>
  <c r="AA51" i="7" s="1"/>
  <c r="A52" i="7"/>
  <c r="O52" i="7" s="1"/>
  <c r="AA52" i="7" s="1"/>
  <c r="A53" i="7"/>
  <c r="O53" i="7" s="1"/>
  <c r="AA53" i="7" s="1"/>
  <c r="A54" i="7"/>
  <c r="O54" i="7" s="1"/>
  <c r="AA54" i="7" s="1"/>
  <c r="A55" i="7"/>
  <c r="O55" i="7" s="1"/>
  <c r="AA55" i="7" s="1"/>
  <c r="A56" i="7"/>
  <c r="O56" i="7" s="1"/>
  <c r="AA56" i="7" s="1"/>
  <c r="A57" i="7"/>
  <c r="O57" i="7" s="1"/>
  <c r="AA57" i="7" s="1"/>
  <c r="A58" i="7"/>
  <c r="O58" i="7" s="1"/>
  <c r="AA58" i="7" s="1"/>
  <c r="A59" i="7"/>
  <c r="O59" i="7" s="1"/>
  <c r="AA59" i="7" s="1"/>
  <c r="A60" i="7"/>
  <c r="O60" i="7" s="1"/>
  <c r="AA60" i="7" s="1"/>
  <c r="A61" i="7"/>
  <c r="O61" i="7" s="1"/>
  <c r="AA61" i="7" s="1"/>
  <c r="A62" i="7"/>
  <c r="O62" i="7" s="1"/>
  <c r="AA62" i="7" s="1"/>
  <c r="A63" i="7"/>
  <c r="O63" i="7" s="1"/>
  <c r="AA63" i="7" s="1"/>
  <c r="A64" i="7"/>
  <c r="O64" i="7" s="1"/>
  <c r="AA64" i="7" s="1"/>
  <c r="A4" i="7"/>
  <c r="A40" i="7" s="1"/>
  <c r="O40" i="7" s="1"/>
  <c r="AA40" i="7" s="1"/>
  <c r="AA39" i="7"/>
  <c r="AA38" i="7"/>
  <c r="C2" i="7"/>
  <c r="C37" i="7" s="1"/>
  <c r="Q37" i="7" s="1"/>
  <c r="AC37" i="7" s="1"/>
  <c r="D2" i="7"/>
  <c r="D37" i="7" s="1"/>
  <c r="R37" i="7" s="1"/>
  <c r="AD37" i="7" s="1"/>
  <c r="E2" i="7"/>
  <c r="E37" i="7" s="1"/>
  <c r="S37" i="7" s="1"/>
  <c r="AE37" i="7" s="1"/>
  <c r="F2" i="7"/>
  <c r="F37" i="7" s="1"/>
  <c r="T37" i="7" s="1"/>
  <c r="AF37" i="7" s="1"/>
  <c r="G2" i="7"/>
  <c r="G37" i="7" s="1"/>
  <c r="U37" i="7" s="1"/>
  <c r="AG37" i="7" s="1"/>
  <c r="H2" i="7"/>
  <c r="H37" i="7" s="1"/>
  <c r="V37" i="7" s="1"/>
  <c r="AH37" i="7" s="1"/>
  <c r="C3" i="7"/>
  <c r="C38" i="7" s="1"/>
  <c r="Q38" i="7" s="1"/>
  <c r="AC38" i="7" s="1"/>
  <c r="D3" i="7"/>
  <c r="D38" i="7" s="1"/>
  <c r="R38" i="7" s="1"/>
  <c r="AD38" i="7" s="1"/>
  <c r="E3" i="7"/>
  <c r="E38" i="7" s="1"/>
  <c r="S38" i="7" s="1"/>
  <c r="AE38" i="7" s="1"/>
  <c r="F3" i="7"/>
  <c r="F38" i="7" s="1"/>
  <c r="T38" i="7" s="1"/>
  <c r="AF38" i="7" s="1"/>
  <c r="G3" i="7"/>
  <c r="G38" i="7" s="1"/>
  <c r="U38" i="7" s="1"/>
  <c r="AG38" i="7" s="1"/>
  <c r="H3" i="7"/>
  <c r="H38" i="7" s="1"/>
  <c r="V38" i="7" s="1"/>
  <c r="AH38" i="7" s="1"/>
  <c r="AI38" i="7"/>
  <c r="B3" i="7"/>
  <c r="B38" i="7" s="1"/>
  <c r="P38" i="7" s="1"/>
  <c r="AB38" i="7" s="1"/>
  <c r="B2" i="7"/>
  <c r="B37" i="7" s="1"/>
  <c r="P37" i="7" s="1"/>
  <c r="AB37" i="7" s="1"/>
  <c r="F12" i="7"/>
  <c r="C14" i="7"/>
  <c r="A3" i="7"/>
  <c r="B39" i="4"/>
  <c r="C39" i="4"/>
  <c r="F39" i="4"/>
  <c r="H39" i="4"/>
  <c r="D15" i="4"/>
  <c r="E15" i="4"/>
  <c r="U39" i="4"/>
  <c r="AH39" i="4" s="1"/>
  <c r="AR39" i="4" s="1"/>
  <c r="D16" i="4"/>
  <c r="E16" i="4"/>
  <c r="D17" i="4"/>
  <c r="E17" i="4"/>
  <c r="D18" i="4"/>
  <c r="E18" i="4"/>
  <c r="R39" i="4"/>
  <c r="AE39" i="4" s="1"/>
  <c r="AO39" i="4" s="1"/>
  <c r="D19" i="4"/>
  <c r="S39" i="4"/>
  <c r="AF39" i="4" s="1"/>
  <c r="AP39" i="4" s="1"/>
  <c r="E19" i="4"/>
  <c r="D20" i="4"/>
  <c r="E20" i="4"/>
  <c r="D21" i="4"/>
  <c r="E21" i="4"/>
  <c r="D22" i="4"/>
  <c r="E22" i="4"/>
  <c r="D23" i="4"/>
  <c r="E23" i="4"/>
  <c r="D24" i="4"/>
  <c r="E24" i="4"/>
  <c r="D25" i="4"/>
  <c r="E25" i="4"/>
  <c r="D26" i="4"/>
  <c r="E26" i="4"/>
  <c r="D27" i="4"/>
  <c r="E27" i="4"/>
  <c r="D28" i="4"/>
  <c r="E28" i="4"/>
  <c r="D29" i="4"/>
  <c r="E29" i="4"/>
  <c r="AB39" i="4"/>
  <c r="AL39" i="4" s="1"/>
  <c r="AB38" i="4"/>
  <c r="AJ38" i="4"/>
  <c r="AT38" i="4" s="1"/>
  <c r="A5" i="4"/>
  <c r="A41" i="4" s="1"/>
  <c r="A6" i="4"/>
  <c r="A42" i="4" s="1"/>
  <c r="A7" i="4"/>
  <c r="A43" i="4" s="1"/>
  <c r="A6" i="14" s="1"/>
  <c r="A8" i="4"/>
  <c r="A44" i="4" s="1"/>
  <c r="A7" i="14" s="1"/>
  <c r="A9" i="4"/>
  <c r="A45" i="4" s="1"/>
  <c r="A10" i="4"/>
  <c r="A46" i="4" s="1"/>
  <c r="A11" i="4"/>
  <c r="A47" i="4" s="1"/>
  <c r="A10" i="14" s="1"/>
  <c r="A12" i="4"/>
  <c r="A48" i="4" s="1"/>
  <c r="A11" i="14" s="1"/>
  <c r="A13" i="4"/>
  <c r="A49" i="4" s="1"/>
  <c r="A12" i="14" s="1"/>
  <c r="A14" i="4"/>
  <c r="A50" i="4" s="1"/>
  <c r="A13" i="14" s="1"/>
  <c r="A15" i="4"/>
  <c r="A51" i="4" s="1"/>
  <c r="A16" i="4"/>
  <c r="A52" i="4" s="1"/>
  <c r="A17" i="4"/>
  <c r="A53" i="4" s="1"/>
  <c r="A16" i="14" s="1"/>
  <c r="A18" i="4"/>
  <c r="A54" i="4" s="1"/>
  <c r="A17" i="14" s="1"/>
  <c r="A19" i="4"/>
  <c r="A55" i="4" s="1"/>
  <c r="A20" i="4"/>
  <c r="A56" i="4" s="1"/>
  <c r="A21" i="4"/>
  <c r="A57" i="4" s="1"/>
  <c r="A20" i="14" s="1"/>
  <c r="A22" i="4"/>
  <c r="A58" i="4" s="1"/>
  <c r="A21" i="14" s="1"/>
  <c r="A23" i="4"/>
  <c r="A59" i="4" s="1"/>
  <c r="A24" i="4"/>
  <c r="A60" i="4" s="1"/>
  <c r="A25" i="4"/>
  <c r="A61" i="4" s="1"/>
  <c r="A24" i="14" s="1"/>
  <c r="A26" i="4"/>
  <c r="A62" i="4" s="1"/>
  <c r="A25" i="14" s="1"/>
  <c r="A27" i="4"/>
  <c r="A63" i="4" s="1"/>
  <c r="A28" i="4"/>
  <c r="A64" i="4" s="1"/>
  <c r="A29" i="4"/>
  <c r="A4" i="4"/>
  <c r="A40" i="4" s="1"/>
  <c r="O40" i="4" s="1"/>
  <c r="AB40" i="4" s="1"/>
  <c r="H3" i="4"/>
  <c r="H38" i="4" s="1"/>
  <c r="V38" i="4" s="1"/>
  <c r="AI38" i="4" s="1"/>
  <c r="AS38" i="4" s="1"/>
  <c r="G3" i="4"/>
  <c r="G38" i="4" s="1"/>
  <c r="U38" i="4" s="1"/>
  <c r="AH38" i="4" s="1"/>
  <c r="AR38" i="4" s="1"/>
  <c r="F3" i="4"/>
  <c r="F38" i="4" s="1"/>
  <c r="T38" i="4" s="1"/>
  <c r="AG38" i="4" s="1"/>
  <c r="AQ38" i="4" s="1"/>
  <c r="E3" i="4"/>
  <c r="E38" i="4" s="1"/>
  <c r="S38" i="4" s="1"/>
  <c r="AF38" i="4" s="1"/>
  <c r="AP38" i="4" s="1"/>
  <c r="D3" i="4"/>
  <c r="D38" i="4" s="1"/>
  <c r="R38" i="4" s="1"/>
  <c r="AE38" i="4" s="1"/>
  <c r="AO38" i="4" s="1"/>
  <c r="C3" i="4"/>
  <c r="C38" i="4" s="1"/>
  <c r="Q38" i="4" s="1"/>
  <c r="AD38" i="4" s="1"/>
  <c r="AN38" i="4" s="1"/>
  <c r="H2" i="4"/>
  <c r="H37" i="4" s="1"/>
  <c r="V37" i="4" s="1"/>
  <c r="AI37" i="4" s="1"/>
  <c r="AS37" i="4" s="1"/>
  <c r="G2" i="4"/>
  <c r="G37" i="4" s="1"/>
  <c r="U37" i="4" s="1"/>
  <c r="AH37" i="4" s="1"/>
  <c r="AR37" i="4" s="1"/>
  <c r="F2" i="4"/>
  <c r="F37" i="4" s="1"/>
  <c r="T37" i="4" s="1"/>
  <c r="AG37" i="4" s="1"/>
  <c r="AQ37" i="4" s="1"/>
  <c r="E2" i="4"/>
  <c r="E37" i="4" s="1"/>
  <c r="S37" i="4" s="1"/>
  <c r="AF37" i="4" s="1"/>
  <c r="AP37" i="4" s="1"/>
  <c r="D2" i="4"/>
  <c r="D37" i="4" s="1"/>
  <c r="R37" i="4" s="1"/>
  <c r="AE37" i="4" s="1"/>
  <c r="AO37" i="4" s="1"/>
  <c r="C2" i="4"/>
  <c r="C37" i="4" s="1"/>
  <c r="Q37" i="4" s="1"/>
  <c r="AD37" i="4" s="1"/>
  <c r="AN37" i="4" s="1"/>
  <c r="B3" i="4"/>
  <c r="B38" i="4" s="1"/>
  <c r="P38" i="4" s="1"/>
  <c r="AC38" i="4" s="1"/>
  <c r="AM38" i="4" s="1"/>
  <c r="B2" i="4"/>
  <c r="B37" i="4" s="1"/>
  <c r="P37" i="4" s="1"/>
  <c r="AC37" i="4" s="1"/>
  <c r="AM37" i="4" s="1"/>
  <c r="A3" i="4"/>
  <c r="H42" i="22" l="1"/>
  <c r="Y42" i="22" s="1"/>
  <c r="F42" i="22"/>
  <c r="W42" i="22" s="1"/>
  <c r="C42" i="22"/>
  <c r="T42" i="22" s="1"/>
  <c r="AO41" i="22"/>
  <c r="Y42" i="25"/>
  <c r="C47" i="29"/>
  <c r="T47" i="29" s="1"/>
  <c r="F47" i="29"/>
  <c r="W47" i="29" s="1"/>
  <c r="B44" i="29"/>
  <c r="S44" i="29" s="1"/>
  <c r="Z43" i="29"/>
  <c r="AO42" i="29"/>
  <c r="AN42" i="29"/>
  <c r="H47" i="29"/>
  <c r="Y47" i="29" s="1"/>
  <c r="J43" i="29"/>
  <c r="K43" i="29" s="1"/>
  <c r="L43" i="29" s="1"/>
  <c r="J49" i="28"/>
  <c r="K49" i="28" s="1"/>
  <c r="L49" i="28" s="1"/>
  <c r="E51" i="28"/>
  <c r="D51" i="28"/>
  <c r="G51" i="28"/>
  <c r="Q49" i="28"/>
  <c r="P49" i="28"/>
  <c r="Y46" i="28"/>
  <c r="B51" i="28"/>
  <c r="J48" i="28"/>
  <c r="K48" i="28" s="1"/>
  <c r="L48" i="28" s="1"/>
  <c r="Q48" i="28"/>
  <c r="P48" i="28"/>
  <c r="T48" i="28"/>
  <c r="H50" i="28"/>
  <c r="V49" i="28"/>
  <c r="J41" i="26"/>
  <c r="K41" i="26" s="1"/>
  <c r="L41" i="26" s="1"/>
  <c r="Z41" i="26"/>
  <c r="AT41" i="26" s="1"/>
  <c r="AI43" i="25"/>
  <c r="V43" i="25"/>
  <c r="AC43" i="25"/>
  <c r="T43" i="25"/>
  <c r="Q43" i="25"/>
  <c r="AG43" i="25"/>
  <c r="P43" i="25"/>
  <c r="AT43" i="25"/>
  <c r="AU43" i="25" s="1"/>
  <c r="AM43" i="25"/>
  <c r="B44" i="25" s="1"/>
  <c r="AS43" i="25"/>
  <c r="H44" i="25" s="1"/>
  <c r="AN43" i="25"/>
  <c r="C44" i="25" s="1"/>
  <c r="J43" i="25"/>
  <c r="K43" i="25" s="1"/>
  <c r="L43" i="25" s="1"/>
  <c r="AQ43" i="25"/>
  <c r="F44" i="25" s="1"/>
  <c r="AJ43" i="25"/>
  <c r="AP41" i="24"/>
  <c r="AO41" i="21"/>
  <c r="Z42" i="21"/>
  <c r="AG42" i="21" s="1"/>
  <c r="B43" i="21"/>
  <c r="AZ44" i="24"/>
  <c r="H45" i="24" s="1"/>
  <c r="Y45" i="24" s="1"/>
  <c r="AP41" i="22"/>
  <c r="AQ41" i="22" s="1"/>
  <c r="AN41" i="21"/>
  <c r="AT42" i="24"/>
  <c r="B43" i="24" s="1"/>
  <c r="Z42" i="24"/>
  <c r="G47" i="21"/>
  <c r="H45" i="21"/>
  <c r="Y45" i="21" s="1"/>
  <c r="AO41" i="24"/>
  <c r="J42" i="21"/>
  <c r="K42" i="21" s="1"/>
  <c r="L42" i="21" s="1"/>
  <c r="I41" i="23"/>
  <c r="S41" i="23"/>
  <c r="C45" i="21"/>
  <c r="T45" i="21" s="1"/>
  <c r="J42" i="24"/>
  <c r="K42" i="24" s="1"/>
  <c r="L42" i="24" s="1"/>
  <c r="AX44" i="24"/>
  <c r="AU44" i="24"/>
  <c r="C45" i="24" s="1"/>
  <c r="T45" i="24" s="1"/>
  <c r="P39" i="1"/>
  <c r="I39" i="4"/>
  <c r="W39" i="4" s="1"/>
  <c r="AJ39" i="4" s="1"/>
  <c r="AT39" i="4" s="1"/>
  <c r="C40" i="4"/>
  <c r="AN40" i="4" s="1"/>
  <c r="C41" i="4" s="1"/>
  <c r="AL60" i="4"/>
  <c r="A23" i="14"/>
  <c r="O60" i="4"/>
  <c r="AB60" i="4" s="1"/>
  <c r="O41" i="4"/>
  <c r="AB41" i="4" s="1"/>
  <c r="A4" i="14"/>
  <c r="AL63" i="4"/>
  <c r="A26" i="14"/>
  <c r="O63" i="4"/>
  <c r="AL46" i="4"/>
  <c r="A9" i="14"/>
  <c r="O52" i="4"/>
  <c r="A15" i="14"/>
  <c r="AL55" i="4"/>
  <c r="A18" i="14"/>
  <c r="O55" i="4"/>
  <c r="AB55" i="4" s="1"/>
  <c r="B2" i="14"/>
  <c r="C2" i="14"/>
  <c r="AL40" i="4"/>
  <c r="A3" i="14"/>
  <c r="AL64" i="4"/>
  <c r="A27" i="14"/>
  <c r="O59" i="4"/>
  <c r="A22" i="14"/>
  <c r="O51" i="4"/>
  <c r="A14" i="14"/>
  <c r="AL45" i="4"/>
  <c r="A8" i="14"/>
  <c r="AL42" i="4"/>
  <c r="A5" i="14"/>
  <c r="T39" i="1"/>
  <c r="AL56" i="4"/>
  <c r="A19" i="14"/>
  <c r="H40" i="4"/>
  <c r="AS40" i="4" s="1"/>
  <c r="H41" i="4" s="1"/>
  <c r="Q39" i="1"/>
  <c r="V39" i="1"/>
  <c r="C40" i="7"/>
  <c r="AC40" i="7" s="1"/>
  <c r="C41" i="7" s="1"/>
  <c r="AC41" i="7" s="1"/>
  <c r="C42" i="7" s="1"/>
  <c r="F40" i="7"/>
  <c r="AF40" i="7" s="1"/>
  <c r="F41" i="7" s="1"/>
  <c r="H40" i="7"/>
  <c r="AH40" i="7" s="1"/>
  <c r="H41" i="7" s="1"/>
  <c r="AI39" i="7"/>
  <c r="B40" i="7"/>
  <c r="AB40" i="7" s="1"/>
  <c r="O48" i="4"/>
  <c r="AB48" i="4" s="1"/>
  <c r="AL48" i="4"/>
  <c r="B40" i="4"/>
  <c r="AM40" i="4" s="1"/>
  <c r="O46" i="4"/>
  <c r="AB46" i="4" s="1"/>
  <c r="F40" i="4"/>
  <c r="AQ40" i="4" s="1"/>
  <c r="F41" i="4" s="1"/>
  <c r="O64" i="4"/>
  <c r="AL41" i="4"/>
  <c r="V39" i="4"/>
  <c r="AI39" i="4" s="1"/>
  <c r="AS39" i="4" s="1"/>
  <c r="AL59" i="4"/>
  <c r="O42" i="4"/>
  <c r="AB42" i="4" s="1"/>
  <c r="O56" i="4"/>
  <c r="AB56" i="4" s="1"/>
  <c r="AL51" i="4"/>
  <c r="O57" i="4"/>
  <c r="AL57" i="4"/>
  <c r="AL49" i="4"/>
  <c r="O49" i="4"/>
  <c r="AB49" i="4" s="1"/>
  <c r="AL43" i="4"/>
  <c r="O43" i="4"/>
  <c r="AB43" i="4" s="1"/>
  <c r="O62" i="4"/>
  <c r="AB62" i="4" s="1"/>
  <c r="AL62" i="4"/>
  <c r="O54" i="4"/>
  <c r="AB54" i="4" s="1"/>
  <c r="AL54" i="4"/>
  <c r="AL61" i="4"/>
  <c r="O61" i="4"/>
  <c r="AL53" i="4"/>
  <c r="O53" i="4"/>
  <c r="O47" i="4"/>
  <c r="AB47" i="4" s="1"/>
  <c r="AL47" i="4"/>
  <c r="AL58" i="4"/>
  <c r="O58" i="4"/>
  <c r="AB58" i="4" s="1"/>
  <c r="O50" i="4"/>
  <c r="AB50" i="4" s="1"/>
  <c r="AL50" i="4"/>
  <c r="AL44" i="4"/>
  <c r="O44" i="4"/>
  <c r="AB44" i="4" s="1"/>
  <c r="AL52" i="4"/>
  <c r="O45" i="4"/>
  <c r="AB45" i="4" s="1"/>
  <c r="F42" i="1"/>
  <c r="C41" i="1"/>
  <c r="I40" i="1"/>
  <c r="I39" i="7"/>
  <c r="D2" i="14" s="1"/>
  <c r="H41" i="1"/>
  <c r="B42" i="1"/>
  <c r="AP41" i="21" l="1"/>
  <c r="B42" i="22"/>
  <c r="BL41" i="22"/>
  <c r="AQ41" i="24"/>
  <c r="AP42" i="29"/>
  <c r="H48" i="29"/>
  <c r="Y48" i="29" s="1"/>
  <c r="AA43" i="29"/>
  <c r="AB43" i="29" s="1"/>
  <c r="AC43" i="29" s="1"/>
  <c r="AD43" i="29"/>
  <c r="AK43" i="29"/>
  <c r="AM43" i="29"/>
  <c r="AH43" i="29"/>
  <c r="F48" i="29"/>
  <c r="W48" i="29" s="1"/>
  <c r="AG43" i="29"/>
  <c r="I44" i="29"/>
  <c r="C48" i="29"/>
  <c r="T48" i="29" s="1"/>
  <c r="H51" i="28"/>
  <c r="I51" i="28" s="1"/>
  <c r="U51" i="28" s="1"/>
  <c r="G52" i="28"/>
  <c r="B52" i="28"/>
  <c r="W49" i="28"/>
  <c r="X49" i="28"/>
  <c r="X48" i="28"/>
  <c r="W48" i="28"/>
  <c r="D52" i="28"/>
  <c r="I50" i="28"/>
  <c r="E52" i="28"/>
  <c r="AH41" i="26"/>
  <c r="BK41" i="26"/>
  <c r="AD41" i="26"/>
  <c r="BA41" i="26"/>
  <c r="AA41" i="26"/>
  <c r="AB41" i="26" s="1"/>
  <c r="AC41" i="26" s="1"/>
  <c r="AN41" i="26"/>
  <c r="AX41" i="26"/>
  <c r="AU41" i="26"/>
  <c r="AL41" i="26"/>
  <c r="AI41" i="26"/>
  <c r="AZ41" i="26"/>
  <c r="W43" i="25"/>
  <c r="X43" i="25"/>
  <c r="I44" i="25"/>
  <c r="AI44" i="25" s="1"/>
  <c r="Z41" i="23"/>
  <c r="AT41" i="23" s="1"/>
  <c r="G48" i="21"/>
  <c r="X48" i="21" s="1"/>
  <c r="AU45" i="24"/>
  <c r="C46" i="24" s="1"/>
  <c r="T46" i="24" s="1"/>
  <c r="BB42" i="24"/>
  <c r="AA42" i="24"/>
  <c r="AB42" i="24" s="1"/>
  <c r="AC42" i="24" s="1"/>
  <c r="BV42" i="24"/>
  <c r="AD42" i="24"/>
  <c r="BA42" i="24"/>
  <c r="BU42" i="24"/>
  <c r="AL42" i="24"/>
  <c r="AN42" i="24"/>
  <c r="BS42" i="24"/>
  <c r="AI42" i="24"/>
  <c r="BP42" i="24"/>
  <c r="AH42" i="24"/>
  <c r="S43" i="21"/>
  <c r="I43" i="21"/>
  <c r="I43" i="24"/>
  <c r="S43" i="24"/>
  <c r="AD42" i="21"/>
  <c r="AA42" i="21"/>
  <c r="AB42" i="21" s="1"/>
  <c r="AC42" i="21" s="1"/>
  <c r="AM42" i="21"/>
  <c r="AK42" i="21"/>
  <c r="AH42" i="21"/>
  <c r="H46" i="21"/>
  <c r="Y46" i="21" s="1"/>
  <c r="BO42" i="24"/>
  <c r="J41" i="23"/>
  <c r="K41" i="23" s="1"/>
  <c r="L41" i="23" s="1"/>
  <c r="AZ45" i="24"/>
  <c r="H46" i="24" s="1"/>
  <c r="Y46" i="24" s="1"/>
  <c r="C46" i="21"/>
  <c r="T46" i="21" s="1"/>
  <c r="C3" i="14"/>
  <c r="AM68" i="4"/>
  <c r="AB52" i="4"/>
  <c r="AB61" i="4"/>
  <c r="AB59" i="4"/>
  <c r="AB53" i="4"/>
  <c r="AB51" i="4"/>
  <c r="AB64" i="4"/>
  <c r="AB63" i="4"/>
  <c r="AB57" i="4"/>
  <c r="P39" i="4"/>
  <c r="AC39" i="4" s="1"/>
  <c r="AM39" i="4" s="1"/>
  <c r="Q39" i="4"/>
  <c r="AD39" i="4" s="1"/>
  <c r="AN39" i="4" s="1"/>
  <c r="T39" i="4"/>
  <c r="AG39" i="4" s="1"/>
  <c r="AQ39" i="4" s="1"/>
  <c r="I41" i="1"/>
  <c r="C4" i="14" s="1"/>
  <c r="I40" i="4"/>
  <c r="I40" i="7"/>
  <c r="Q39" i="7"/>
  <c r="P39" i="7"/>
  <c r="V39" i="7"/>
  <c r="T39" i="7"/>
  <c r="W39" i="7"/>
  <c r="F43" i="1"/>
  <c r="AC42" i="7"/>
  <c r="C43" i="7" s="1"/>
  <c r="AF41" i="7"/>
  <c r="F42" i="7" s="1"/>
  <c r="B41" i="4"/>
  <c r="AT40" i="4"/>
  <c r="B43" i="1"/>
  <c r="P40" i="1"/>
  <c r="J40" i="1"/>
  <c r="K40" i="1" s="1"/>
  <c r="L40" i="1" s="1"/>
  <c r="T40" i="1"/>
  <c r="Q40" i="1"/>
  <c r="B41" i="7"/>
  <c r="AI40" i="7"/>
  <c r="H42" i="1"/>
  <c r="C42" i="1"/>
  <c r="AJ39" i="7"/>
  <c r="V40" i="1"/>
  <c r="AH41" i="7"/>
  <c r="H42" i="7" s="1"/>
  <c r="E47" i="21" l="1"/>
  <c r="D47" i="21"/>
  <c r="S42" i="22"/>
  <c r="I42" i="22"/>
  <c r="J42" i="22" s="1"/>
  <c r="K42" i="22" s="1"/>
  <c r="L42" i="22" s="1"/>
  <c r="AO42" i="21"/>
  <c r="AH41" i="23"/>
  <c r="Y43" i="25"/>
  <c r="Z44" i="29"/>
  <c r="B45" i="29"/>
  <c r="S45" i="29" s="1"/>
  <c r="G49" i="29"/>
  <c r="X49" i="29" s="1"/>
  <c r="J44" i="29"/>
  <c r="K44" i="29" s="1"/>
  <c r="L44" i="29" s="1"/>
  <c r="AN43" i="29"/>
  <c r="AO43" i="29"/>
  <c r="C49" i="29"/>
  <c r="T49" i="29" s="1"/>
  <c r="H49" i="29"/>
  <c r="Y49" i="29" s="1"/>
  <c r="Y48" i="28"/>
  <c r="R51" i="28"/>
  <c r="S51" i="28"/>
  <c r="Y49" i="28"/>
  <c r="D53" i="28"/>
  <c r="E53" i="28"/>
  <c r="J51" i="28"/>
  <c r="K51" i="28" s="1"/>
  <c r="L51" i="28" s="1"/>
  <c r="G53" i="28"/>
  <c r="J50" i="28"/>
  <c r="K50" i="28" s="1"/>
  <c r="L50" i="28" s="1"/>
  <c r="U50" i="28"/>
  <c r="P50" i="28"/>
  <c r="Q50" i="28"/>
  <c r="P51" i="28"/>
  <c r="V51" i="28"/>
  <c r="H52" i="28"/>
  <c r="I52" i="28" s="1"/>
  <c r="B53" i="28"/>
  <c r="V50" i="28"/>
  <c r="AP41" i="26"/>
  <c r="AO41" i="26"/>
  <c r="BD41" i="26"/>
  <c r="BJ41" i="26"/>
  <c r="H42" i="26" s="1"/>
  <c r="Y42" i="26" s="1"/>
  <c r="BH41" i="26"/>
  <c r="F42" i="26" s="1"/>
  <c r="BE41" i="26"/>
  <c r="C42" i="26" s="1"/>
  <c r="P44" i="25"/>
  <c r="V44" i="25"/>
  <c r="AD44" i="25"/>
  <c r="T44" i="25"/>
  <c r="AC44" i="25"/>
  <c r="AQ44" i="25"/>
  <c r="F45" i="25" s="1"/>
  <c r="AJ44" i="25"/>
  <c r="J44" i="25"/>
  <c r="K44" i="25" s="1"/>
  <c r="L44" i="25" s="1"/>
  <c r="AN44" i="25"/>
  <c r="C45" i="25" s="1"/>
  <c r="AT44" i="25"/>
  <c r="AU44" i="25" s="1"/>
  <c r="AS44" i="25"/>
  <c r="H45" i="25" s="1"/>
  <c r="AM44" i="25"/>
  <c r="B45" i="25" s="1"/>
  <c r="AG44" i="25"/>
  <c r="Q44" i="25"/>
  <c r="J43" i="24"/>
  <c r="K43" i="24" s="1"/>
  <c r="L43" i="24" s="1"/>
  <c r="AP42" i="24"/>
  <c r="AO42" i="24"/>
  <c r="G49" i="21"/>
  <c r="X49" i="21" s="1"/>
  <c r="H47" i="21"/>
  <c r="J43" i="21"/>
  <c r="K43" i="21" s="1"/>
  <c r="L43" i="21" s="1"/>
  <c r="AN42" i="21"/>
  <c r="AP42" i="21" s="1"/>
  <c r="AU46" i="24"/>
  <c r="BK41" i="23"/>
  <c r="AA41" i="23"/>
  <c r="AB41" i="23" s="1"/>
  <c r="AC41" i="23" s="1"/>
  <c r="BA41" i="23"/>
  <c r="AD41" i="23"/>
  <c r="AN41" i="23"/>
  <c r="AL41" i="23"/>
  <c r="AX41" i="23"/>
  <c r="AZ41" i="23"/>
  <c r="AU41" i="23"/>
  <c r="AI41" i="23"/>
  <c r="AZ46" i="24"/>
  <c r="H47" i="24" s="1"/>
  <c r="AT43" i="24"/>
  <c r="B44" i="24" s="1"/>
  <c r="Z43" i="24"/>
  <c r="BO43" i="24" s="1"/>
  <c r="B44" i="21"/>
  <c r="Z43" i="21"/>
  <c r="AG43" i="21" s="1"/>
  <c r="T40" i="4"/>
  <c r="J41" i="1"/>
  <c r="K41" i="1" s="1"/>
  <c r="L41" i="1" s="1"/>
  <c r="T41" i="1"/>
  <c r="Q41" i="1"/>
  <c r="V41" i="1"/>
  <c r="P40" i="4"/>
  <c r="J40" i="4"/>
  <c r="K40" i="4" s="1"/>
  <c r="L40" i="4" s="1"/>
  <c r="AG40" i="4"/>
  <c r="AJ40" i="4"/>
  <c r="P41" i="1"/>
  <c r="AC40" i="4"/>
  <c r="V40" i="4"/>
  <c r="AI40" i="4"/>
  <c r="Q40" i="4"/>
  <c r="AU40" i="4"/>
  <c r="B3" i="14"/>
  <c r="AD40" i="4"/>
  <c r="I42" i="1"/>
  <c r="C5" i="14" s="1"/>
  <c r="J40" i="7"/>
  <c r="K40" i="7" s="1"/>
  <c r="L40" i="7" s="1"/>
  <c r="D3" i="14"/>
  <c r="X40" i="1"/>
  <c r="W40" i="1"/>
  <c r="T40" i="7"/>
  <c r="Q40" i="7"/>
  <c r="AJ40" i="7"/>
  <c r="V40" i="7"/>
  <c r="P40" i="7"/>
  <c r="AH42" i="7"/>
  <c r="H43" i="7" s="1"/>
  <c r="F44" i="1"/>
  <c r="H43" i="1"/>
  <c r="AB41" i="7"/>
  <c r="I41" i="7"/>
  <c r="I41" i="4"/>
  <c r="C43" i="1"/>
  <c r="B44" i="1"/>
  <c r="AF42" i="7"/>
  <c r="F43" i="7" s="1"/>
  <c r="AC43" i="7"/>
  <c r="C44" i="7" s="1"/>
  <c r="Z42" i="22" l="1"/>
  <c r="AH42" i="22" s="1"/>
  <c r="E49" i="21"/>
  <c r="V49" i="21" s="1"/>
  <c r="D49" i="21"/>
  <c r="U49" i="21" s="1"/>
  <c r="AP41" i="23"/>
  <c r="AA44" i="29"/>
  <c r="AB44" i="29" s="1"/>
  <c r="AC44" i="29" s="1"/>
  <c r="AD44" i="29"/>
  <c r="AM44" i="29"/>
  <c r="AK44" i="29"/>
  <c r="AH44" i="29"/>
  <c r="H50" i="29"/>
  <c r="Y50" i="29" s="1"/>
  <c r="AP43" i="29"/>
  <c r="G50" i="29"/>
  <c r="X50" i="29" s="1"/>
  <c r="AG44" i="29"/>
  <c r="C50" i="29"/>
  <c r="T50" i="29" s="1"/>
  <c r="I45" i="29"/>
  <c r="J45" i="29" s="1"/>
  <c r="K45" i="29" s="1"/>
  <c r="L45" i="29" s="1"/>
  <c r="J52" i="28"/>
  <c r="K52" i="28" s="1"/>
  <c r="L52" i="28" s="1"/>
  <c r="R52" i="28"/>
  <c r="U52" i="28"/>
  <c r="P52" i="28"/>
  <c r="S52" i="28"/>
  <c r="W51" i="28"/>
  <c r="X51" i="28"/>
  <c r="E54" i="28"/>
  <c r="V52" i="28"/>
  <c r="H53" i="28"/>
  <c r="I53" i="28" s="1"/>
  <c r="X50" i="28"/>
  <c r="W50" i="28"/>
  <c r="G54" i="28"/>
  <c r="D54" i="28"/>
  <c r="B54" i="28"/>
  <c r="AQ41" i="26"/>
  <c r="B42" i="26"/>
  <c r="S42" i="26" s="1"/>
  <c r="BL41" i="26"/>
  <c r="W44" i="25"/>
  <c r="I45" i="25"/>
  <c r="T45" i="25" s="1"/>
  <c r="X44" i="25"/>
  <c r="AQ42" i="24"/>
  <c r="AH43" i="24"/>
  <c r="I44" i="21"/>
  <c r="S44" i="21"/>
  <c r="AO41" i="23"/>
  <c r="AZ47" i="24"/>
  <c r="H48" i="24" s="1"/>
  <c r="Y48" i="24" s="1"/>
  <c r="H48" i="21"/>
  <c r="Y48" i="21" s="1"/>
  <c r="AD43" i="21"/>
  <c r="AA43" i="21"/>
  <c r="AB43" i="21" s="1"/>
  <c r="AC43" i="21" s="1"/>
  <c r="AM43" i="21"/>
  <c r="AK43" i="21"/>
  <c r="AH43" i="21"/>
  <c r="BB43" i="24"/>
  <c r="BV43" i="24"/>
  <c r="AA43" i="24"/>
  <c r="AB43" i="24" s="1"/>
  <c r="AC43" i="24" s="1"/>
  <c r="AD43" i="24"/>
  <c r="BA43" i="24"/>
  <c r="BU43" i="24"/>
  <c r="AI43" i="24"/>
  <c r="BS43" i="24"/>
  <c r="BP43" i="24"/>
  <c r="AL43" i="24"/>
  <c r="AN43" i="24"/>
  <c r="I44" i="24"/>
  <c r="S44" i="24"/>
  <c r="BJ41" i="23"/>
  <c r="H42" i="23" s="1"/>
  <c r="Y42" i="23" s="1"/>
  <c r="BE41" i="23"/>
  <c r="C42" i="23" s="1"/>
  <c r="T42" i="23" s="1"/>
  <c r="BD41" i="23"/>
  <c r="BH41" i="23"/>
  <c r="F42" i="23" s="1"/>
  <c r="W42" i="23" s="1"/>
  <c r="J42" i="1"/>
  <c r="K42" i="1" s="1"/>
  <c r="L42" i="1" s="1"/>
  <c r="X41" i="1"/>
  <c r="W41" i="1"/>
  <c r="P42" i="1"/>
  <c r="W40" i="4"/>
  <c r="X40" i="4"/>
  <c r="V42" i="1"/>
  <c r="Q42" i="1"/>
  <c r="T42" i="1"/>
  <c r="I43" i="1"/>
  <c r="P41" i="4"/>
  <c r="B4" i="14"/>
  <c r="Y40" i="1"/>
  <c r="P41" i="7"/>
  <c r="D4" i="14"/>
  <c r="W40" i="7"/>
  <c r="X40" i="7"/>
  <c r="AH43" i="7"/>
  <c r="H44" i="7" s="1"/>
  <c r="AC44" i="7"/>
  <c r="C45" i="7" s="1"/>
  <c r="B45" i="1"/>
  <c r="AJ41" i="4"/>
  <c r="J41" i="4"/>
  <c r="K41" i="4" s="1"/>
  <c r="L41" i="4" s="1"/>
  <c r="AT41" i="4"/>
  <c r="V41" i="4"/>
  <c r="Q41" i="4"/>
  <c r="AI41" i="4"/>
  <c r="AD41" i="4"/>
  <c r="AG41" i="4"/>
  <c r="T41" i="4"/>
  <c r="J41" i="7"/>
  <c r="K41" i="7" s="1"/>
  <c r="L41" i="7" s="1"/>
  <c r="Q41" i="7"/>
  <c r="T41" i="7"/>
  <c r="V41" i="7"/>
  <c r="H44" i="1"/>
  <c r="G47" i="1"/>
  <c r="AF43" i="7"/>
  <c r="F44" i="7" s="1"/>
  <c r="C44" i="1"/>
  <c r="AC41" i="4"/>
  <c r="AI41" i="7"/>
  <c r="AJ41" i="7" s="1"/>
  <c r="B42" i="7"/>
  <c r="AT42" i="22" l="1"/>
  <c r="AU41" i="4"/>
  <c r="F42" i="4"/>
  <c r="AQ42" i="4" s="1"/>
  <c r="C42" i="4"/>
  <c r="AN42" i="4" s="1"/>
  <c r="H42" i="4"/>
  <c r="AS42" i="4" s="1"/>
  <c r="B42" i="4"/>
  <c r="BA42" i="22"/>
  <c r="AZ42" i="22"/>
  <c r="AX42" i="22"/>
  <c r="AD42" i="22"/>
  <c r="AL42" i="22"/>
  <c r="AU42" i="22"/>
  <c r="BK42" i="22"/>
  <c r="AA42" i="22"/>
  <c r="AB42" i="22" s="1"/>
  <c r="AC42" i="22" s="1"/>
  <c r="AI42" i="22"/>
  <c r="AP42" i="22" s="1"/>
  <c r="AN42" i="22"/>
  <c r="AQ41" i="23"/>
  <c r="D50" i="21"/>
  <c r="U50" i="21" s="1"/>
  <c r="D51" i="21" s="1"/>
  <c r="E50" i="21"/>
  <c r="V50" i="21" s="1"/>
  <c r="E51" i="21" s="1"/>
  <c r="AO43" i="21"/>
  <c r="G51" i="29"/>
  <c r="X51" i="29" s="1"/>
  <c r="E51" i="29"/>
  <c r="V51" i="29" s="1"/>
  <c r="D51" i="29"/>
  <c r="U51" i="29" s="1"/>
  <c r="AN44" i="29"/>
  <c r="AO44" i="29"/>
  <c r="Z45" i="29"/>
  <c r="B46" i="29"/>
  <c r="S46" i="29" s="1"/>
  <c r="H51" i="29"/>
  <c r="Y51" i="29" s="1"/>
  <c r="Y50" i="28"/>
  <c r="J53" i="28"/>
  <c r="K53" i="28" s="1"/>
  <c r="L53" i="28" s="1"/>
  <c r="U53" i="28"/>
  <c r="P53" i="28"/>
  <c r="S53" i="28"/>
  <c r="R53" i="28"/>
  <c r="X52" i="28"/>
  <c r="W52" i="28"/>
  <c r="H54" i="28"/>
  <c r="V53" i="28"/>
  <c r="B55" i="28"/>
  <c r="G55" i="28"/>
  <c r="Y51" i="28"/>
  <c r="D55" i="28"/>
  <c r="E55" i="28"/>
  <c r="I42" i="26"/>
  <c r="AI45" i="25"/>
  <c r="Y44" i="25"/>
  <c r="P45" i="25"/>
  <c r="AD45" i="25"/>
  <c r="V45" i="25"/>
  <c r="AC45" i="25"/>
  <c r="AT45" i="25"/>
  <c r="AU45" i="25" s="1"/>
  <c r="AM45" i="25"/>
  <c r="B46" i="25" s="1"/>
  <c r="AS45" i="25"/>
  <c r="H46" i="25" s="1"/>
  <c r="AN45" i="25"/>
  <c r="C46" i="25" s="1"/>
  <c r="AJ45" i="25"/>
  <c r="J45" i="25"/>
  <c r="K45" i="25" s="1"/>
  <c r="L45" i="25" s="1"/>
  <c r="AQ45" i="25"/>
  <c r="F46" i="25" s="1"/>
  <c r="AG45" i="25"/>
  <c r="Q45" i="25"/>
  <c r="AP43" i="24"/>
  <c r="AO43" i="24"/>
  <c r="AZ48" i="24"/>
  <c r="H49" i="24" s="1"/>
  <c r="Y49" i="24" s="1"/>
  <c r="AZ49" i="24" s="1"/>
  <c r="AN43" i="21"/>
  <c r="H49" i="21"/>
  <c r="Y49" i="21" s="1"/>
  <c r="J44" i="21"/>
  <c r="K44" i="21" s="1"/>
  <c r="L44" i="21" s="1"/>
  <c r="AT44" i="24"/>
  <c r="B45" i="24" s="1"/>
  <c r="Z44" i="24"/>
  <c r="BO44" i="24" s="1"/>
  <c r="J44" i="24"/>
  <c r="K44" i="24" s="1"/>
  <c r="L44" i="24" s="1"/>
  <c r="B42" i="23"/>
  <c r="BL41" i="23"/>
  <c r="Z44" i="21"/>
  <c r="B45" i="21"/>
  <c r="Y41" i="1"/>
  <c r="V43" i="1"/>
  <c r="Y40" i="4"/>
  <c r="P43" i="1"/>
  <c r="X42" i="1"/>
  <c r="Q43" i="1"/>
  <c r="C6" i="14"/>
  <c r="T43" i="1"/>
  <c r="W42" i="1"/>
  <c r="J43" i="1"/>
  <c r="K43" i="1" s="1"/>
  <c r="L43" i="1" s="1"/>
  <c r="W41" i="4"/>
  <c r="Y40" i="7"/>
  <c r="X41" i="4"/>
  <c r="X41" i="7"/>
  <c r="W41" i="7"/>
  <c r="AB42" i="7"/>
  <c r="I42" i="7"/>
  <c r="H45" i="1"/>
  <c r="B46" i="1"/>
  <c r="AH44" i="7"/>
  <c r="H45" i="7" s="1"/>
  <c r="AF44" i="7"/>
  <c r="C45" i="1"/>
  <c r="I44" i="1"/>
  <c r="C7" i="14" s="1"/>
  <c r="AC45" i="7"/>
  <c r="C46" i="7" s="1"/>
  <c r="AO42" i="22" l="1"/>
  <c r="AQ42" i="22" s="1"/>
  <c r="H43" i="22"/>
  <c r="Y43" i="22" s="1"/>
  <c r="BJ43" i="22" s="1"/>
  <c r="H44" i="22" s="1"/>
  <c r="Y44" i="22" s="1"/>
  <c r="C43" i="22"/>
  <c r="T43" i="22" s="1"/>
  <c r="BE43" i="22" s="1"/>
  <c r="C44" i="22" s="1"/>
  <c r="T44" i="22" s="1"/>
  <c r="F43" i="22"/>
  <c r="W43" i="22" s="1"/>
  <c r="BH43" i="22" s="1"/>
  <c r="F44" i="22" s="1"/>
  <c r="W44" i="22" s="1"/>
  <c r="G45" i="22" s="1"/>
  <c r="X45" i="22" s="1"/>
  <c r="BI45" i="22" s="1"/>
  <c r="G46" i="22" s="1"/>
  <c r="AM42" i="4"/>
  <c r="B43" i="4" s="1"/>
  <c r="I42" i="4"/>
  <c r="AI42" i="4" s="1"/>
  <c r="G48" i="1"/>
  <c r="AQ43" i="24"/>
  <c r="AP43" i="21"/>
  <c r="H43" i="4"/>
  <c r="AS43" i="4" s="1"/>
  <c r="C43" i="4"/>
  <c r="AN43" i="4" s="1"/>
  <c r="F43" i="4"/>
  <c r="Y52" i="28"/>
  <c r="AP44" i="29"/>
  <c r="AD45" i="29"/>
  <c r="AA45" i="29"/>
  <c r="AB45" i="29" s="1"/>
  <c r="AC45" i="29" s="1"/>
  <c r="AH45" i="29"/>
  <c r="AM45" i="29"/>
  <c r="AK45" i="29"/>
  <c r="D52" i="29"/>
  <c r="U52" i="29" s="1"/>
  <c r="H52" i="29"/>
  <c r="Y52" i="29" s="1"/>
  <c r="E52" i="29"/>
  <c r="V52" i="29" s="1"/>
  <c r="G52" i="29"/>
  <c r="X52" i="29" s="1"/>
  <c r="AG45" i="29"/>
  <c r="I46" i="29"/>
  <c r="J46" i="29" s="1"/>
  <c r="K46" i="29" s="1"/>
  <c r="L46" i="29" s="1"/>
  <c r="D56" i="28"/>
  <c r="H55" i="28"/>
  <c r="I55" i="28" s="1"/>
  <c r="E56" i="28"/>
  <c r="I54" i="28"/>
  <c r="V54" i="28" s="1"/>
  <c r="W53" i="28"/>
  <c r="X53" i="28"/>
  <c r="B56" i="28"/>
  <c r="G56" i="28"/>
  <c r="Z42" i="26"/>
  <c r="J42" i="26"/>
  <c r="K42" i="26" s="1"/>
  <c r="L42" i="26" s="1"/>
  <c r="X45" i="25"/>
  <c r="W45" i="25"/>
  <c r="I46" i="25"/>
  <c r="V46" i="25" s="1"/>
  <c r="AH44" i="24"/>
  <c r="H50" i="21"/>
  <c r="Y50" i="21" s="1"/>
  <c r="I45" i="21"/>
  <c r="J45" i="21" s="1"/>
  <c r="K45" i="21" s="1"/>
  <c r="L45" i="21" s="1"/>
  <c r="S45" i="21"/>
  <c r="BA44" i="24"/>
  <c r="BV44" i="24"/>
  <c r="AA44" i="24"/>
  <c r="AB44" i="24" s="1"/>
  <c r="AC44" i="24" s="1"/>
  <c r="AD44" i="24"/>
  <c r="BB44" i="24"/>
  <c r="BS44" i="24"/>
  <c r="AN44" i="24"/>
  <c r="AL44" i="24"/>
  <c r="BP44" i="24"/>
  <c r="AI44" i="24"/>
  <c r="BU44" i="24"/>
  <c r="H50" i="24"/>
  <c r="Y50" i="24" s="1"/>
  <c r="AA44" i="21"/>
  <c r="AB44" i="21" s="1"/>
  <c r="AC44" i="21" s="1"/>
  <c r="AD44" i="21"/>
  <c r="AM44" i="21"/>
  <c r="AH44" i="21"/>
  <c r="AK44" i="21"/>
  <c r="I42" i="23"/>
  <c r="S42" i="23"/>
  <c r="AG44" i="21"/>
  <c r="I45" i="24"/>
  <c r="J45" i="24" s="1"/>
  <c r="K45" i="24" s="1"/>
  <c r="L45" i="24" s="1"/>
  <c r="S45" i="24"/>
  <c r="G50" i="21"/>
  <c r="X50" i="21" s="1"/>
  <c r="Y42" i="1"/>
  <c r="D5" i="14"/>
  <c r="X43" i="1"/>
  <c r="W43" i="1"/>
  <c r="I45" i="1"/>
  <c r="C8" i="14" s="1"/>
  <c r="Y41" i="4"/>
  <c r="P42" i="7"/>
  <c r="Y41" i="7"/>
  <c r="AH45" i="7"/>
  <c r="H46" i="7" s="1"/>
  <c r="J44" i="1"/>
  <c r="K44" i="1" s="1"/>
  <c r="L44" i="1" s="1"/>
  <c r="P44" i="1"/>
  <c r="T44" i="1"/>
  <c r="Q44" i="1"/>
  <c r="AC46" i="7"/>
  <c r="C46" i="1"/>
  <c r="B47" i="1"/>
  <c r="H46" i="1"/>
  <c r="J42" i="7"/>
  <c r="K42" i="7" s="1"/>
  <c r="L42" i="7" s="1"/>
  <c r="Q42" i="7"/>
  <c r="V42" i="7"/>
  <c r="T42" i="7"/>
  <c r="AG46" i="7"/>
  <c r="G47" i="7" s="1"/>
  <c r="V44" i="1"/>
  <c r="AI42" i="7"/>
  <c r="AJ42" i="7" s="1"/>
  <c r="B43" i="7"/>
  <c r="B43" i="22" l="1"/>
  <c r="BL42" i="22"/>
  <c r="AG42" i="4"/>
  <c r="AJ42" i="4"/>
  <c r="AD42" i="4"/>
  <c r="T42" i="4"/>
  <c r="AT42" i="4"/>
  <c r="AU42" i="4" s="1"/>
  <c r="Q42" i="4"/>
  <c r="AC42" i="4"/>
  <c r="B5" i="14"/>
  <c r="P42" i="4"/>
  <c r="J42" i="4"/>
  <c r="K42" i="4" s="1"/>
  <c r="L42" i="4" s="1"/>
  <c r="V42" i="4"/>
  <c r="G49" i="1"/>
  <c r="AM43" i="4"/>
  <c r="B44" i="4" s="1"/>
  <c r="I43" i="4"/>
  <c r="AC43" i="4" s="1"/>
  <c r="AQ43" i="4"/>
  <c r="F44" i="4" s="1"/>
  <c r="C44" i="4"/>
  <c r="H44" i="4"/>
  <c r="E53" i="29"/>
  <c r="V53" i="29" s="1"/>
  <c r="D53" i="29"/>
  <c r="U53" i="29" s="1"/>
  <c r="G53" i="29"/>
  <c r="X53" i="29" s="1"/>
  <c r="H53" i="29"/>
  <c r="Y53" i="29" s="1"/>
  <c r="AO45" i="29"/>
  <c r="AN45" i="29"/>
  <c r="Z46" i="29"/>
  <c r="AG46" i="29" s="1"/>
  <c r="B47" i="29"/>
  <c r="S47" i="29" s="1"/>
  <c r="J55" i="28"/>
  <c r="K55" i="28" s="1"/>
  <c r="L55" i="28" s="1"/>
  <c r="Y53" i="28"/>
  <c r="P55" i="28"/>
  <c r="B57" i="28"/>
  <c r="J54" i="28"/>
  <c r="K54" i="28" s="1"/>
  <c r="L54" i="28" s="1"/>
  <c r="R54" i="28"/>
  <c r="U54" i="28"/>
  <c r="S54" i="28"/>
  <c r="P54" i="28"/>
  <c r="H56" i="28"/>
  <c r="I56" i="28" s="1"/>
  <c r="V55" i="28"/>
  <c r="G57" i="28"/>
  <c r="S55" i="28"/>
  <c r="R55" i="28"/>
  <c r="U55" i="28"/>
  <c r="E57" i="28"/>
  <c r="D57" i="28"/>
  <c r="BA42" i="26"/>
  <c r="AA42" i="26"/>
  <c r="AB42" i="26" s="1"/>
  <c r="AC42" i="26" s="1"/>
  <c r="BK42" i="26"/>
  <c r="AD42" i="26"/>
  <c r="AX42" i="26"/>
  <c r="AU42" i="26"/>
  <c r="AL42" i="26"/>
  <c r="AI42" i="26"/>
  <c r="AZ42" i="26"/>
  <c r="AN42" i="26"/>
  <c r="AH42" i="26"/>
  <c r="AT42" i="26"/>
  <c r="Y45" i="25"/>
  <c r="T46" i="25"/>
  <c r="Q46" i="25"/>
  <c r="P46" i="25"/>
  <c r="AQ46" i="25"/>
  <c r="F47" i="25" s="1"/>
  <c r="AJ46" i="25"/>
  <c r="J46" i="25"/>
  <c r="K46" i="25" s="1"/>
  <c r="L46" i="25" s="1"/>
  <c r="AN46" i="25"/>
  <c r="C47" i="25" s="1"/>
  <c r="AS46" i="25"/>
  <c r="H47" i="25" s="1"/>
  <c r="AT46" i="25"/>
  <c r="AU46" i="25" s="1"/>
  <c r="AM46" i="25"/>
  <c r="B47" i="25" s="1"/>
  <c r="AI46" i="25"/>
  <c r="AD46" i="25"/>
  <c r="AC46" i="25"/>
  <c r="AG46" i="25"/>
  <c r="AO44" i="24"/>
  <c r="AP44" i="24"/>
  <c r="Z42" i="23"/>
  <c r="AH42" i="23" s="1"/>
  <c r="J42" i="23"/>
  <c r="K42" i="23" s="1"/>
  <c r="L42" i="23" s="1"/>
  <c r="G51" i="21"/>
  <c r="X51" i="21" s="1"/>
  <c r="U51" i="21"/>
  <c r="V51" i="21"/>
  <c r="AN44" i="21"/>
  <c r="AO44" i="21"/>
  <c r="Z45" i="24"/>
  <c r="AH45" i="24" s="1"/>
  <c r="AT45" i="24"/>
  <c r="B46" i="24" s="1"/>
  <c r="H51" i="21"/>
  <c r="Y51" i="21" s="1"/>
  <c r="B46" i="21"/>
  <c r="Z45" i="21"/>
  <c r="AG45" i="21" s="1"/>
  <c r="H45" i="22"/>
  <c r="Y45" i="22" s="1"/>
  <c r="C45" i="22"/>
  <c r="T45" i="22" s="1"/>
  <c r="Y43" i="1"/>
  <c r="J45" i="1"/>
  <c r="K45" i="1" s="1"/>
  <c r="L45" i="1" s="1"/>
  <c r="V45" i="1"/>
  <c r="Q45" i="1"/>
  <c r="P45" i="1"/>
  <c r="T45" i="1"/>
  <c r="W42" i="7"/>
  <c r="I46" i="1"/>
  <c r="C9" i="14" s="1"/>
  <c r="X44" i="1"/>
  <c r="W44" i="1"/>
  <c r="X42" i="7"/>
  <c r="AG47" i="7"/>
  <c r="G48" i="7" s="1"/>
  <c r="AG48" i="7" s="1"/>
  <c r="G49" i="7" s="1"/>
  <c r="AH46" i="7"/>
  <c r="H47" i="7" s="1"/>
  <c r="I43" i="7"/>
  <c r="AB43" i="7"/>
  <c r="H47" i="1"/>
  <c r="B48" i="1"/>
  <c r="X42" i="4" l="1"/>
  <c r="W42" i="4"/>
  <c r="Y42" i="4" s="1"/>
  <c r="E49" i="1"/>
  <c r="D49" i="1"/>
  <c r="AE48" i="7"/>
  <c r="E49" i="7" s="1"/>
  <c r="AD48" i="7"/>
  <c r="D49" i="7" s="1"/>
  <c r="S43" i="22"/>
  <c r="I43" i="22"/>
  <c r="J43" i="22" s="1"/>
  <c r="K43" i="22" s="1"/>
  <c r="L43" i="22" s="1"/>
  <c r="AQ44" i="24"/>
  <c r="B6" i="14"/>
  <c r="J43" i="4"/>
  <c r="K43" i="4" s="1"/>
  <c r="L43" i="4" s="1"/>
  <c r="V43" i="4"/>
  <c r="P43" i="4"/>
  <c r="Q43" i="4"/>
  <c r="AD43" i="4"/>
  <c r="T43" i="4"/>
  <c r="AT43" i="4"/>
  <c r="AU43" i="4" s="1"/>
  <c r="AJ43" i="4"/>
  <c r="AI43" i="4"/>
  <c r="AG43" i="4"/>
  <c r="G45" i="4"/>
  <c r="AP45" i="29"/>
  <c r="B45" i="4"/>
  <c r="I44" i="4"/>
  <c r="P44" i="4" s="1"/>
  <c r="BO45" i="24"/>
  <c r="G54" i="29"/>
  <c r="X54" i="29" s="1"/>
  <c r="E54" i="29"/>
  <c r="V54" i="29" s="1"/>
  <c r="I47" i="29"/>
  <c r="J47" i="29" s="1"/>
  <c r="K47" i="29" s="1"/>
  <c r="L47" i="29" s="1"/>
  <c r="AD46" i="29"/>
  <c r="AA46" i="29"/>
  <c r="AB46" i="29" s="1"/>
  <c r="AC46" i="29" s="1"/>
  <c r="AH46" i="29"/>
  <c r="AM46" i="29"/>
  <c r="AK46" i="29"/>
  <c r="H54" i="29"/>
  <c r="Y54" i="29" s="1"/>
  <c r="D54" i="29"/>
  <c r="U54" i="29" s="1"/>
  <c r="X55" i="28"/>
  <c r="J56" i="28"/>
  <c r="K56" i="28" s="1"/>
  <c r="L56" i="28" s="1"/>
  <c r="R56" i="28"/>
  <c r="U56" i="28"/>
  <c r="P56" i="28"/>
  <c r="S56" i="28"/>
  <c r="D58" i="28"/>
  <c r="V56" i="28"/>
  <c r="H57" i="28"/>
  <c r="E58" i="28"/>
  <c r="X54" i="28"/>
  <c r="W54" i="28"/>
  <c r="W55" i="28"/>
  <c r="Y55" i="28" s="1"/>
  <c r="G58" i="28"/>
  <c r="B58" i="28"/>
  <c r="AO42" i="26"/>
  <c r="AP42" i="26"/>
  <c r="BH42" i="26"/>
  <c r="F43" i="26" s="1"/>
  <c r="BE42" i="26"/>
  <c r="C43" i="26" s="1"/>
  <c r="BD42" i="26"/>
  <c r="BJ42" i="26"/>
  <c r="H43" i="26" s="1"/>
  <c r="Y43" i="26" s="1"/>
  <c r="X46" i="25"/>
  <c r="W46" i="25"/>
  <c r="I47" i="25"/>
  <c r="AC47" i="25" s="1"/>
  <c r="E52" i="21"/>
  <c r="V52" i="21" s="1"/>
  <c r="X46" i="22"/>
  <c r="BK42" i="23"/>
  <c r="BA42" i="23"/>
  <c r="AD42" i="23"/>
  <c r="AA42" i="23"/>
  <c r="AB42" i="23" s="1"/>
  <c r="AC42" i="23" s="1"/>
  <c r="AI42" i="23"/>
  <c r="AX42" i="23"/>
  <c r="AL42" i="23"/>
  <c r="AU42" i="23"/>
  <c r="AN42" i="23"/>
  <c r="AZ42" i="23"/>
  <c r="I46" i="21"/>
  <c r="J46" i="21" s="1"/>
  <c r="K46" i="21" s="1"/>
  <c r="L46" i="21" s="1"/>
  <c r="S46" i="21"/>
  <c r="AP44" i="21"/>
  <c r="H52" i="21"/>
  <c r="Y52" i="21" s="1"/>
  <c r="D52" i="21"/>
  <c r="U52" i="21" s="1"/>
  <c r="BJ45" i="22"/>
  <c r="H46" i="22" s="1"/>
  <c r="Y46" i="22" s="1"/>
  <c r="G52" i="21"/>
  <c r="X52" i="21" s="1"/>
  <c r="AT42" i="23"/>
  <c r="AA45" i="24"/>
  <c r="AB45" i="24" s="1"/>
  <c r="AC45" i="24" s="1"/>
  <c r="BV45" i="24"/>
  <c r="BA45" i="24"/>
  <c r="BB45" i="24"/>
  <c r="AD45" i="24"/>
  <c r="AI45" i="24"/>
  <c r="BS45" i="24"/>
  <c r="BU45" i="24"/>
  <c r="AN45" i="24"/>
  <c r="BP45" i="24"/>
  <c r="AL45" i="24"/>
  <c r="BE45" i="22"/>
  <c r="C46" i="22" s="1"/>
  <c r="T46" i="22" s="1"/>
  <c r="AD45" i="21"/>
  <c r="AA45" i="21"/>
  <c r="AB45" i="21" s="1"/>
  <c r="AC45" i="21" s="1"/>
  <c r="AH45" i="21"/>
  <c r="AM45" i="21"/>
  <c r="I46" i="24"/>
  <c r="J46" i="24" s="1"/>
  <c r="K46" i="24" s="1"/>
  <c r="L46" i="24" s="1"/>
  <c r="S46" i="24"/>
  <c r="X45" i="1"/>
  <c r="W45" i="1"/>
  <c r="F27" i="8"/>
  <c r="Q46" i="1"/>
  <c r="T46" i="1"/>
  <c r="V46" i="1"/>
  <c r="P46" i="1"/>
  <c r="G27" i="8"/>
  <c r="J46" i="1"/>
  <c r="K46" i="1" s="1"/>
  <c r="L46" i="1" s="1"/>
  <c r="Y44" i="1"/>
  <c r="I47" i="1"/>
  <c r="Y42" i="7"/>
  <c r="P43" i="7"/>
  <c r="D6" i="14"/>
  <c r="H48" i="1"/>
  <c r="C45" i="4"/>
  <c r="H45" i="4"/>
  <c r="B49" i="1"/>
  <c r="B44" i="7"/>
  <c r="AI43" i="7"/>
  <c r="AJ43" i="7" s="1"/>
  <c r="AH47" i="7"/>
  <c r="H48" i="7" s="1"/>
  <c r="J43" i="7"/>
  <c r="K43" i="7" s="1"/>
  <c r="L43" i="7" s="1"/>
  <c r="Q43" i="7"/>
  <c r="T43" i="7"/>
  <c r="V43" i="7"/>
  <c r="G51" i="24" l="1"/>
  <c r="X51" i="24" s="1"/>
  <c r="BD43" i="22"/>
  <c r="B44" i="22" s="1"/>
  <c r="Z43" i="22"/>
  <c r="AT43" i="22" s="1"/>
  <c r="C10" i="14"/>
  <c r="U47" i="1"/>
  <c r="AD49" i="7"/>
  <c r="D50" i="7" s="1"/>
  <c r="D51" i="7" s="1"/>
  <c r="AE49" i="7"/>
  <c r="E50" i="7" s="1"/>
  <c r="E51" i="7" s="1"/>
  <c r="X43" i="4"/>
  <c r="W43" i="4"/>
  <c r="AG44" i="4"/>
  <c r="AC44" i="4"/>
  <c r="V44" i="4"/>
  <c r="T44" i="4"/>
  <c r="B7" i="14"/>
  <c r="AT44" i="4"/>
  <c r="AU44" i="4" s="1"/>
  <c r="AI44" i="4"/>
  <c r="J44" i="4"/>
  <c r="K44" i="4" s="1"/>
  <c r="L44" i="4" s="1"/>
  <c r="AD44" i="4"/>
  <c r="AJ44" i="4"/>
  <c r="Q44" i="4"/>
  <c r="Y54" i="28"/>
  <c r="AP42" i="23"/>
  <c r="AP45" i="24"/>
  <c r="AO42" i="23"/>
  <c r="AO46" i="29"/>
  <c r="H55" i="29"/>
  <c r="Y55" i="29" s="1"/>
  <c r="G55" i="29"/>
  <c r="X55" i="29" s="1"/>
  <c r="D55" i="29"/>
  <c r="U55" i="29" s="1"/>
  <c r="B48" i="29"/>
  <c r="S48" i="29" s="1"/>
  <c r="Z47" i="29"/>
  <c r="AN46" i="29"/>
  <c r="E55" i="29"/>
  <c r="V55" i="29" s="1"/>
  <c r="E59" i="28"/>
  <c r="B59" i="28"/>
  <c r="X56" i="28"/>
  <c r="W56" i="28"/>
  <c r="H58" i="28"/>
  <c r="I58" i="28" s="1"/>
  <c r="P58" i="28" s="1"/>
  <c r="I57" i="28"/>
  <c r="G59" i="28"/>
  <c r="D59" i="28"/>
  <c r="B43" i="26"/>
  <c r="S43" i="26" s="1"/>
  <c r="BL42" i="26"/>
  <c r="AQ42" i="26"/>
  <c r="Y46" i="25"/>
  <c r="AI47" i="25"/>
  <c r="V47" i="25"/>
  <c r="T47" i="25"/>
  <c r="AT47" i="25"/>
  <c r="AU47" i="25" s="1"/>
  <c r="AM47" i="25"/>
  <c r="B48" i="25" s="1"/>
  <c r="AS47" i="25"/>
  <c r="H48" i="25" s="1"/>
  <c r="AN47" i="25"/>
  <c r="C48" i="25" s="1"/>
  <c r="AQ47" i="25"/>
  <c r="F48" i="25" s="1"/>
  <c r="AJ47" i="25"/>
  <c r="J47" i="25"/>
  <c r="K47" i="25" s="1"/>
  <c r="L47" i="25" s="1"/>
  <c r="Q47" i="25"/>
  <c r="AG47" i="25"/>
  <c r="P47" i="25"/>
  <c r="AD47" i="25"/>
  <c r="AN45" i="21"/>
  <c r="E53" i="21"/>
  <c r="V53" i="21" s="1"/>
  <c r="BH42" i="23"/>
  <c r="F43" i="23" s="1"/>
  <c r="W43" i="23" s="1"/>
  <c r="BE42" i="23"/>
  <c r="C43" i="23" s="1"/>
  <c r="T43" i="23" s="1"/>
  <c r="BJ42" i="23"/>
  <c r="H43" i="23" s="1"/>
  <c r="Y43" i="23" s="1"/>
  <c r="BD42" i="23"/>
  <c r="H53" i="21"/>
  <c r="Y53" i="21" s="1"/>
  <c r="G53" i="21"/>
  <c r="X53" i="21" s="1"/>
  <c r="AO45" i="21"/>
  <c r="AP45" i="21" s="1"/>
  <c r="AO45" i="24"/>
  <c r="Z46" i="21"/>
  <c r="AG46" i="21" s="1"/>
  <c r="B47" i="21"/>
  <c r="D53" i="21"/>
  <c r="U53" i="21" s="1"/>
  <c r="AT46" i="24"/>
  <c r="B47" i="24" s="1"/>
  <c r="Z46" i="24"/>
  <c r="Y45" i="1"/>
  <c r="X46" i="1"/>
  <c r="W46" i="1"/>
  <c r="H27" i="8"/>
  <c r="V47" i="1"/>
  <c r="I48" i="1"/>
  <c r="Q47" i="1"/>
  <c r="P47" i="1"/>
  <c r="J47" i="1"/>
  <c r="K47" i="1" s="1"/>
  <c r="L47" i="1" s="1"/>
  <c r="X43" i="7"/>
  <c r="W43" i="7"/>
  <c r="B50" i="1"/>
  <c r="I45" i="4"/>
  <c r="U45" i="4" s="1"/>
  <c r="AB44" i="7"/>
  <c r="I44" i="7"/>
  <c r="G50" i="1"/>
  <c r="H49" i="1"/>
  <c r="AH48" i="7"/>
  <c r="H49" i="7" s="1"/>
  <c r="BO46" i="24" l="1"/>
  <c r="G47" i="24"/>
  <c r="X47" i="24" s="1"/>
  <c r="AY47" i="24" s="1"/>
  <c r="AC45" i="4"/>
  <c r="AH45" i="4"/>
  <c r="AH43" i="22"/>
  <c r="AX43" i="22"/>
  <c r="BK43" i="22"/>
  <c r="AN43" i="22"/>
  <c r="AL43" i="22"/>
  <c r="AZ43" i="22"/>
  <c r="BL43" i="22"/>
  <c r="AA43" i="22"/>
  <c r="AB43" i="22" s="1"/>
  <c r="AC43" i="22" s="1"/>
  <c r="AU43" i="22"/>
  <c r="AD43" i="22"/>
  <c r="BA43" i="22"/>
  <c r="AI43" i="22"/>
  <c r="I44" i="22"/>
  <c r="J44" i="22" s="1"/>
  <c r="K44" i="22" s="1"/>
  <c r="L44" i="22" s="1"/>
  <c r="S44" i="22"/>
  <c r="D50" i="1"/>
  <c r="C11" i="14"/>
  <c r="U48" i="1"/>
  <c r="Y43" i="4"/>
  <c r="E50" i="1"/>
  <c r="AQ45" i="24"/>
  <c r="AQ42" i="23"/>
  <c r="W44" i="4"/>
  <c r="X44" i="4"/>
  <c r="AP46" i="29"/>
  <c r="AA47" i="29"/>
  <c r="AB47" i="29" s="1"/>
  <c r="AC47" i="29" s="1"/>
  <c r="AD47" i="29"/>
  <c r="AK47" i="29"/>
  <c r="AM47" i="29"/>
  <c r="AH47" i="29"/>
  <c r="H56" i="29"/>
  <c r="Y56" i="29" s="1"/>
  <c r="AG47" i="29"/>
  <c r="D56" i="29"/>
  <c r="U56" i="29" s="1"/>
  <c r="E56" i="29"/>
  <c r="V56" i="29" s="1"/>
  <c r="I48" i="29"/>
  <c r="J48" i="29" s="1"/>
  <c r="K48" i="29" s="1"/>
  <c r="L48" i="29" s="1"/>
  <c r="G56" i="29"/>
  <c r="X56" i="29" s="1"/>
  <c r="R58" i="28"/>
  <c r="U58" i="28"/>
  <c r="H59" i="28"/>
  <c r="V58" i="28"/>
  <c r="G60" i="28"/>
  <c r="Y56" i="28"/>
  <c r="I59" i="28"/>
  <c r="J59" i="28" s="1"/>
  <c r="K59" i="28" s="1"/>
  <c r="L59" i="28" s="1"/>
  <c r="B60" i="28"/>
  <c r="J57" i="28"/>
  <c r="K57" i="28" s="1"/>
  <c r="L57" i="28" s="1"/>
  <c r="S57" i="28"/>
  <c r="U57" i="28"/>
  <c r="R57" i="28"/>
  <c r="P57" i="28"/>
  <c r="E60" i="28"/>
  <c r="S59" i="28"/>
  <c r="D60" i="28"/>
  <c r="V57" i="28"/>
  <c r="J58" i="28"/>
  <c r="K58" i="28" s="1"/>
  <c r="L58" i="28" s="1"/>
  <c r="S58" i="28"/>
  <c r="I43" i="26"/>
  <c r="X47" i="25"/>
  <c r="W47" i="25"/>
  <c r="I48" i="25"/>
  <c r="AD48" i="25" s="1"/>
  <c r="BB46" i="24"/>
  <c r="AD46" i="24"/>
  <c r="BA46" i="24"/>
  <c r="BV46" i="24"/>
  <c r="AA46" i="24"/>
  <c r="AB46" i="24" s="1"/>
  <c r="AC46" i="24" s="1"/>
  <c r="BS46" i="24"/>
  <c r="AI46" i="24"/>
  <c r="AL46" i="24"/>
  <c r="BU46" i="24"/>
  <c r="BP46" i="24"/>
  <c r="AN46" i="24"/>
  <c r="I47" i="21"/>
  <c r="J47" i="21" s="1"/>
  <c r="K47" i="21" s="1"/>
  <c r="L47" i="21" s="1"/>
  <c r="H54" i="21"/>
  <c r="Y54" i="21" s="1"/>
  <c r="B43" i="23"/>
  <c r="BL42" i="23"/>
  <c r="AD46" i="21"/>
  <c r="AA46" i="21"/>
  <c r="AB46" i="21" s="1"/>
  <c r="AC46" i="21" s="1"/>
  <c r="AH46" i="21"/>
  <c r="AM46" i="21"/>
  <c r="E54" i="21"/>
  <c r="V54" i="21" s="1"/>
  <c r="G54" i="21"/>
  <c r="X54" i="21" s="1"/>
  <c r="AH46" i="24"/>
  <c r="D54" i="21"/>
  <c r="U54" i="21" s="1"/>
  <c r="Y46" i="1"/>
  <c r="J48" i="1"/>
  <c r="K48" i="1" s="1"/>
  <c r="L48" i="1" s="1"/>
  <c r="X47" i="1"/>
  <c r="V48" i="1"/>
  <c r="Q48" i="1"/>
  <c r="W47" i="1"/>
  <c r="P48" i="1"/>
  <c r="AI45" i="4"/>
  <c r="Y43" i="7"/>
  <c r="AD45" i="4"/>
  <c r="Q45" i="4"/>
  <c r="I49" i="1"/>
  <c r="C12" i="14" s="1"/>
  <c r="P45" i="4"/>
  <c r="B8" i="14"/>
  <c r="P44" i="7"/>
  <c r="D7" i="14"/>
  <c r="AH49" i="7"/>
  <c r="H50" i="7" s="1"/>
  <c r="B45" i="7"/>
  <c r="AI44" i="7"/>
  <c r="AJ44" i="7" s="1"/>
  <c r="AG49" i="7"/>
  <c r="G50" i="7" s="1"/>
  <c r="AT45" i="4"/>
  <c r="G46" i="4" s="1"/>
  <c r="AJ45" i="4"/>
  <c r="J45" i="4"/>
  <c r="K45" i="4" s="1"/>
  <c r="L45" i="4" s="1"/>
  <c r="H50" i="1"/>
  <c r="G51" i="1"/>
  <c r="V45" i="4"/>
  <c r="J44" i="7"/>
  <c r="K44" i="7" s="1"/>
  <c r="L44" i="7" s="1"/>
  <c r="Q44" i="7"/>
  <c r="T44" i="7"/>
  <c r="V44" i="7"/>
  <c r="B51" i="1"/>
  <c r="I47" i="24" l="1"/>
  <c r="J47" i="24" s="1"/>
  <c r="K47" i="24" s="1"/>
  <c r="L47" i="24" s="1"/>
  <c r="AU45" i="4"/>
  <c r="C46" i="4"/>
  <c r="H46" i="4"/>
  <c r="B46" i="4"/>
  <c r="Z44" i="22"/>
  <c r="AH44" i="22" s="1"/>
  <c r="B45" i="22"/>
  <c r="AT44" i="22"/>
  <c r="AO43" i="22"/>
  <c r="AP43" i="22"/>
  <c r="E51" i="1"/>
  <c r="S49" i="1"/>
  <c r="R49" i="1"/>
  <c r="D51" i="1"/>
  <c r="Y44" i="4"/>
  <c r="X58" i="28"/>
  <c r="AO46" i="21"/>
  <c r="E57" i="29"/>
  <c r="V57" i="29" s="1"/>
  <c r="AO47" i="29"/>
  <c r="AN47" i="29"/>
  <c r="G57" i="29"/>
  <c r="X57" i="29" s="1"/>
  <c r="B49" i="29"/>
  <c r="S49" i="29" s="1"/>
  <c r="Z48" i="29"/>
  <c r="AG48" i="29" s="1"/>
  <c r="H57" i="29"/>
  <c r="Y57" i="29" s="1"/>
  <c r="D57" i="29"/>
  <c r="U57" i="29" s="1"/>
  <c r="U59" i="28"/>
  <c r="W58" i="28"/>
  <c r="Y58" i="28" s="1"/>
  <c r="E61" i="28"/>
  <c r="R59" i="28"/>
  <c r="W57" i="28"/>
  <c r="X57" i="28"/>
  <c r="H60" i="28"/>
  <c r="I60" i="28" s="1"/>
  <c r="J60" i="28" s="1"/>
  <c r="V59" i="28"/>
  <c r="B61" i="28"/>
  <c r="D61" i="28"/>
  <c r="P59" i="28"/>
  <c r="G61" i="28"/>
  <c r="Z43" i="26"/>
  <c r="AT43" i="26" s="1"/>
  <c r="J43" i="26"/>
  <c r="K43" i="26" s="1"/>
  <c r="L43" i="26" s="1"/>
  <c r="P48" i="25"/>
  <c r="V48" i="25"/>
  <c r="T48" i="25"/>
  <c r="AC48" i="25"/>
  <c r="AI48" i="25"/>
  <c r="AG48" i="25"/>
  <c r="Y47" i="25"/>
  <c r="AQ48" i="25"/>
  <c r="G49" i="25" s="1"/>
  <c r="AJ48" i="25"/>
  <c r="J48" i="25"/>
  <c r="K48" i="25" s="1"/>
  <c r="L48" i="25" s="1"/>
  <c r="AN48" i="25"/>
  <c r="C49" i="25" s="1"/>
  <c r="AT48" i="25"/>
  <c r="AU48" i="25" s="1"/>
  <c r="AS48" i="25"/>
  <c r="H49" i="25" s="1"/>
  <c r="AM48" i="25"/>
  <c r="B49" i="25" s="1"/>
  <c r="Q48" i="25"/>
  <c r="AN46" i="21"/>
  <c r="S43" i="23"/>
  <c r="I43" i="23"/>
  <c r="E55" i="21"/>
  <c r="V55" i="21" s="1"/>
  <c r="D55" i="21"/>
  <c r="U55" i="21" s="1"/>
  <c r="AP46" i="24"/>
  <c r="AO46" i="24"/>
  <c r="H55" i="21"/>
  <c r="Y55" i="21" s="1"/>
  <c r="G55" i="21"/>
  <c r="X55" i="21" s="1"/>
  <c r="B48" i="21"/>
  <c r="S48" i="21" s="1"/>
  <c r="Z47" i="21"/>
  <c r="AT47" i="24"/>
  <c r="B48" i="24" s="1"/>
  <c r="S48" i="24" s="1"/>
  <c r="Z47" i="24"/>
  <c r="Y47" i="1"/>
  <c r="X48" i="1"/>
  <c r="W48" i="1"/>
  <c r="J49" i="1"/>
  <c r="K49" i="1" s="1"/>
  <c r="L49" i="1" s="1"/>
  <c r="I50" i="1"/>
  <c r="C13" i="14" s="1"/>
  <c r="V49" i="1"/>
  <c r="W45" i="4"/>
  <c r="P49" i="1"/>
  <c r="U49" i="1"/>
  <c r="X45" i="4"/>
  <c r="W44" i="7"/>
  <c r="X44" i="7"/>
  <c r="G52" i="1"/>
  <c r="AB45" i="7"/>
  <c r="I45" i="7"/>
  <c r="D8" i="14" s="1"/>
  <c r="H51" i="7"/>
  <c r="B52" i="1"/>
  <c r="H51" i="1"/>
  <c r="G51" i="7"/>
  <c r="AH47" i="24" l="1"/>
  <c r="G48" i="24"/>
  <c r="X48" i="24" s="1"/>
  <c r="AY48" i="24" s="1"/>
  <c r="I45" i="22"/>
  <c r="J45" i="22" s="1"/>
  <c r="K45" i="22" s="1"/>
  <c r="L45" i="22" s="1"/>
  <c r="S45" i="22"/>
  <c r="AQ43" i="22"/>
  <c r="AZ44" i="22"/>
  <c r="AA44" i="22"/>
  <c r="AB44" i="22" s="1"/>
  <c r="AC44" i="22" s="1"/>
  <c r="AD44" i="22"/>
  <c r="AI44" i="22"/>
  <c r="BL44" i="22"/>
  <c r="AU44" i="22"/>
  <c r="AL44" i="22"/>
  <c r="BK44" i="22"/>
  <c r="BA44" i="22"/>
  <c r="AX44" i="22"/>
  <c r="AN44" i="22"/>
  <c r="I46" i="4"/>
  <c r="R50" i="1"/>
  <c r="S50" i="1"/>
  <c r="AP46" i="21"/>
  <c r="BO47" i="24"/>
  <c r="AP47" i="29"/>
  <c r="D58" i="29"/>
  <c r="U58" i="29" s="1"/>
  <c r="I49" i="29"/>
  <c r="J49" i="29" s="1"/>
  <c r="K49" i="29" s="1"/>
  <c r="L49" i="29" s="1"/>
  <c r="H58" i="29"/>
  <c r="Y58" i="29" s="1"/>
  <c r="E58" i="29"/>
  <c r="V58" i="29" s="1"/>
  <c r="AA48" i="29"/>
  <c r="AB48" i="29" s="1"/>
  <c r="AC48" i="29" s="1"/>
  <c r="AD48" i="29"/>
  <c r="AK48" i="29"/>
  <c r="AM48" i="29"/>
  <c r="AH48" i="29"/>
  <c r="G58" i="29"/>
  <c r="X58" i="29" s="1"/>
  <c r="R60" i="28"/>
  <c r="P60" i="28"/>
  <c r="Y57" i="28"/>
  <c r="U60" i="28"/>
  <c r="D62" i="28"/>
  <c r="G62" i="28"/>
  <c r="B62" i="28"/>
  <c r="V60" i="28"/>
  <c r="H61" i="28"/>
  <c r="S60" i="28"/>
  <c r="X59" i="28"/>
  <c r="W59" i="28"/>
  <c r="I69" i="28"/>
  <c r="K60" i="28"/>
  <c r="E62" i="28"/>
  <c r="BK43" i="26"/>
  <c r="AD43" i="26"/>
  <c r="BA43" i="26"/>
  <c r="AA43" i="26"/>
  <c r="AB43" i="26" s="1"/>
  <c r="AC43" i="26" s="1"/>
  <c r="AI43" i="26"/>
  <c r="AU43" i="26"/>
  <c r="AX43" i="26"/>
  <c r="AZ43" i="26"/>
  <c r="AL43" i="26"/>
  <c r="AN43" i="26"/>
  <c r="AH43" i="26"/>
  <c r="W48" i="25"/>
  <c r="X48" i="25"/>
  <c r="I49" i="25"/>
  <c r="AH49" i="25" s="1"/>
  <c r="I48" i="24"/>
  <c r="J48" i="24" s="1"/>
  <c r="K48" i="24" s="1"/>
  <c r="L48" i="24" s="1"/>
  <c r="G56" i="21"/>
  <c r="X56" i="21" s="1"/>
  <c r="H56" i="21"/>
  <c r="Y56" i="21" s="1"/>
  <c r="D56" i="21"/>
  <c r="U56" i="21" s="1"/>
  <c r="J43" i="23"/>
  <c r="K43" i="23" s="1"/>
  <c r="L43" i="23" s="1"/>
  <c r="AD47" i="21"/>
  <c r="AA47" i="21"/>
  <c r="AB47" i="21" s="1"/>
  <c r="AC47" i="21" s="1"/>
  <c r="AM47" i="21"/>
  <c r="I48" i="21"/>
  <c r="J48" i="21" s="1"/>
  <c r="K48" i="21" s="1"/>
  <c r="L48" i="21" s="1"/>
  <c r="E56" i="21"/>
  <c r="V56" i="21" s="1"/>
  <c r="AD47" i="24"/>
  <c r="BV47" i="24"/>
  <c r="AA47" i="24"/>
  <c r="AB47" i="24" s="1"/>
  <c r="AC47" i="24" s="1"/>
  <c r="BA47" i="24"/>
  <c r="BP47" i="24"/>
  <c r="AN47" i="24"/>
  <c r="AL47" i="24"/>
  <c r="BS47" i="24"/>
  <c r="AI47" i="24"/>
  <c r="BU47" i="24"/>
  <c r="AG47" i="21"/>
  <c r="AQ46" i="24"/>
  <c r="Z43" i="23"/>
  <c r="AT43" i="23" s="1"/>
  <c r="J50" i="1"/>
  <c r="K50" i="1" s="1"/>
  <c r="L50" i="1" s="1"/>
  <c r="Y48" i="1"/>
  <c r="V50" i="1"/>
  <c r="U50" i="1"/>
  <c r="P50" i="1"/>
  <c r="Y45" i="4"/>
  <c r="W49" i="1"/>
  <c r="X49" i="1"/>
  <c r="Y44" i="7"/>
  <c r="B53" i="1"/>
  <c r="E52" i="1"/>
  <c r="J45" i="7"/>
  <c r="K45" i="7" s="1"/>
  <c r="L45" i="7" s="1"/>
  <c r="Q45" i="7"/>
  <c r="V45" i="7"/>
  <c r="T45" i="7"/>
  <c r="I51" i="1"/>
  <c r="C14" i="14" s="1"/>
  <c r="D52" i="1"/>
  <c r="AI45" i="7"/>
  <c r="AJ45" i="7" s="1"/>
  <c r="B46" i="7"/>
  <c r="G53" i="1"/>
  <c r="H52" i="1"/>
  <c r="P45" i="7"/>
  <c r="AH46" i="4" l="1"/>
  <c r="U46" i="4"/>
  <c r="BB47" i="24"/>
  <c r="AO44" i="22"/>
  <c r="AP44" i="22"/>
  <c r="AQ44" i="22" s="1"/>
  <c r="AI46" i="4"/>
  <c r="AC46" i="4"/>
  <c r="P46" i="4"/>
  <c r="AT46" i="4"/>
  <c r="B9" i="14"/>
  <c r="J46" i="4"/>
  <c r="K46" i="4" s="1"/>
  <c r="L46" i="4" s="1"/>
  <c r="AJ46" i="4"/>
  <c r="AD46" i="4"/>
  <c r="Q46" i="4"/>
  <c r="BD45" i="22"/>
  <c r="B46" i="22" s="1"/>
  <c r="Z45" i="22"/>
  <c r="AT45" i="22" s="1"/>
  <c r="V46" i="4"/>
  <c r="AP47" i="24"/>
  <c r="AN48" i="29"/>
  <c r="G59" i="29"/>
  <c r="X59" i="29" s="1"/>
  <c r="AO48" i="29"/>
  <c r="H59" i="29"/>
  <c r="Y59" i="29" s="1"/>
  <c r="E59" i="29"/>
  <c r="V59" i="29" s="1"/>
  <c r="Z49" i="29"/>
  <c r="AG49" i="29" s="1"/>
  <c r="B50" i="29"/>
  <c r="S50" i="29" s="1"/>
  <c r="D59" i="29"/>
  <c r="U59" i="29" s="1"/>
  <c r="Y59" i="28"/>
  <c r="L60" i="28"/>
  <c r="I70" i="28"/>
  <c r="X60" i="28"/>
  <c r="W60" i="28"/>
  <c r="B63" i="28"/>
  <c r="D63" i="28"/>
  <c r="H62" i="28"/>
  <c r="I62" i="28" s="1"/>
  <c r="E63" i="28"/>
  <c r="I61" i="28"/>
  <c r="V61" i="28" s="1"/>
  <c r="G63" i="28"/>
  <c r="AP43" i="26"/>
  <c r="AO43" i="26"/>
  <c r="BD43" i="26"/>
  <c r="BJ43" i="26"/>
  <c r="H44" i="26" s="1"/>
  <c r="Y44" i="26" s="1"/>
  <c r="BH43" i="26"/>
  <c r="F44" i="26" s="1"/>
  <c r="BE43" i="26"/>
  <c r="C44" i="26" s="1"/>
  <c r="Y48" i="25"/>
  <c r="V49" i="25"/>
  <c r="AC49" i="25"/>
  <c r="AD49" i="25"/>
  <c r="U49" i="25"/>
  <c r="P49" i="25"/>
  <c r="AI49" i="25"/>
  <c r="AT49" i="25"/>
  <c r="AU49" i="25" s="1"/>
  <c r="AM49" i="25"/>
  <c r="B50" i="25" s="1"/>
  <c r="AS49" i="25"/>
  <c r="H50" i="25" s="1"/>
  <c r="AN49" i="25"/>
  <c r="C50" i="25" s="1"/>
  <c r="AJ49" i="25"/>
  <c r="J49" i="25"/>
  <c r="K49" i="25" s="1"/>
  <c r="L49" i="25" s="1"/>
  <c r="AQ49" i="25"/>
  <c r="Q49" i="25"/>
  <c r="AO47" i="24"/>
  <c r="E57" i="21"/>
  <c r="V57" i="21" s="1"/>
  <c r="AD43" i="23"/>
  <c r="AA43" i="23"/>
  <c r="AB43" i="23" s="1"/>
  <c r="AC43" i="23" s="1"/>
  <c r="BA43" i="23"/>
  <c r="BK43" i="23"/>
  <c r="AI43" i="23"/>
  <c r="AU43" i="23"/>
  <c r="AX43" i="23"/>
  <c r="AL43" i="23"/>
  <c r="AZ43" i="23"/>
  <c r="AN43" i="23"/>
  <c r="B49" i="21"/>
  <c r="S49" i="21" s="1"/>
  <c r="Z48" i="21"/>
  <c r="AO47" i="21"/>
  <c r="AN47" i="21"/>
  <c r="D57" i="21"/>
  <c r="U57" i="21" s="1"/>
  <c r="H57" i="21"/>
  <c r="Y57" i="21" s="1"/>
  <c r="AH43" i="23"/>
  <c r="AT48" i="24"/>
  <c r="B49" i="24" s="1"/>
  <c r="S49" i="24" s="1"/>
  <c r="Z48" i="24"/>
  <c r="G49" i="24" s="1"/>
  <c r="X49" i="24" s="1"/>
  <c r="G57" i="21"/>
  <c r="X57" i="21" s="1"/>
  <c r="Y49" i="1"/>
  <c r="X50" i="1"/>
  <c r="W50" i="1"/>
  <c r="V51" i="1"/>
  <c r="R51" i="1"/>
  <c r="I52" i="1"/>
  <c r="C15" i="14" s="1"/>
  <c r="X45" i="7"/>
  <c r="W45" i="7"/>
  <c r="E53" i="1"/>
  <c r="H53" i="1"/>
  <c r="AB46" i="7"/>
  <c r="I46" i="7"/>
  <c r="B54" i="1"/>
  <c r="G54" i="1"/>
  <c r="D53" i="1"/>
  <c r="J51" i="1"/>
  <c r="K51" i="1" s="1"/>
  <c r="L51" i="1" s="1"/>
  <c r="P51" i="1"/>
  <c r="U51" i="1"/>
  <c r="S51" i="1"/>
  <c r="AY49" i="24" l="1"/>
  <c r="G50" i="24" s="1"/>
  <c r="X50" i="24" s="1"/>
  <c r="AH45" i="22"/>
  <c r="S46" i="22"/>
  <c r="I46" i="22"/>
  <c r="J46" i="22" s="1"/>
  <c r="K46" i="22" s="1"/>
  <c r="L46" i="22" s="1"/>
  <c r="G47" i="4"/>
  <c r="H47" i="4"/>
  <c r="B47" i="4"/>
  <c r="AU46" i="4"/>
  <c r="AD45" i="22"/>
  <c r="AL45" i="22"/>
  <c r="AA45" i="22"/>
  <c r="AB45" i="22" s="1"/>
  <c r="AC45" i="22" s="1"/>
  <c r="BA45" i="22"/>
  <c r="AZ45" i="22"/>
  <c r="BK45" i="22"/>
  <c r="AI45" i="22"/>
  <c r="BL45" i="22"/>
  <c r="AN45" i="22"/>
  <c r="AU45" i="22"/>
  <c r="X46" i="4"/>
  <c r="W46" i="4"/>
  <c r="AQ47" i="24"/>
  <c r="AP47" i="21"/>
  <c r="AQ43" i="26"/>
  <c r="AP48" i="29"/>
  <c r="D60" i="29"/>
  <c r="U60" i="29" s="1"/>
  <c r="E60" i="29"/>
  <c r="V60" i="29" s="1"/>
  <c r="I50" i="29"/>
  <c r="J50" i="29" s="1"/>
  <c r="K50" i="29" s="1"/>
  <c r="L50" i="29" s="1"/>
  <c r="G60" i="29"/>
  <c r="X60" i="29" s="1"/>
  <c r="AA49" i="29"/>
  <c r="AB49" i="29" s="1"/>
  <c r="AC49" i="29" s="1"/>
  <c r="AD49" i="29"/>
  <c r="AL49" i="29"/>
  <c r="AM49" i="29"/>
  <c r="AH49" i="29"/>
  <c r="H60" i="29"/>
  <c r="Y60" i="29" s="1"/>
  <c r="Y60" i="28"/>
  <c r="J62" i="28"/>
  <c r="K62" i="28" s="1"/>
  <c r="L62" i="28" s="1"/>
  <c r="S62" i="28"/>
  <c r="U62" i="28"/>
  <c r="G64" i="28"/>
  <c r="G65" i="28" s="1"/>
  <c r="J61" i="28"/>
  <c r="K61" i="28" s="1"/>
  <c r="L61" i="28" s="1"/>
  <c r="U61" i="28"/>
  <c r="S61" i="28"/>
  <c r="R61" i="28"/>
  <c r="P61" i="28"/>
  <c r="H63" i="28"/>
  <c r="I63" i="28" s="1"/>
  <c r="J63" i="28" s="1"/>
  <c r="K63" i="28" s="1"/>
  <c r="L63" i="28" s="1"/>
  <c r="V62" i="28"/>
  <c r="P62" i="28"/>
  <c r="D64" i="28"/>
  <c r="D65" i="28" s="1"/>
  <c r="E64" i="28"/>
  <c r="E65" i="28" s="1"/>
  <c r="R62" i="28"/>
  <c r="B64" i="28"/>
  <c r="B65" i="28" s="1"/>
  <c r="B44" i="26"/>
  <c r="S44" i="26" s="1"/>
  <c r="BL43" i="26"/>
  <c r="X49" i="25"/>
  <c r="W49" i="25"/>
  <c r="I50" i="25"/>
  <c r="D58" i="21"/>
  <c r="U58" i="21" s="1"/>
  <c r="AP43" i="23"/>
  <c r="AO43" i="23"/>
  <c r="H58" i="21"/>
  <c r="Y58" i="21" s="1"/>
  <c r="I49" i="21"/>
  <c r="J49" i="21" s="1"/>
  <c r="K49" i="21" s="1"/>
  <c r="L49" i="21" s="1"/>
  <c r="BD43" i="23"/>
  <c r="BH43" i="23"/>
  <c r="F44" i="23" s="1"/>
  <c r="W44" i="23" s="1"/>
  <c r="BJ43" i="23"/>
  <c r="H44" i="23" s="1"/>
  <c r="Y44" i="23" s="1"/>
  <c r="BE43" i="23"/>
  <c r="C44" i="23" s="1"/>
  <c r="T44" i="23" s="1"/>
  <c r="BA48" i="24"/>
  <c r="BV48" i="24"/>
  <c r="AA48" i="24"/>
  <c r="AB48" i="24" s="1"/>
  <c r="AC48" i="24" s="1"/>
  <c r="AD48" i="24"/>
  <c r="BB48" i="24"/>
  <c r="AN48" i="24"/>
  <c r="AL48" i="24"/>
  <c r="BP48" i="24"/>
  <c r="BU48" i="24"/>
  <c r="AI48" i="24"/>
  <c r="BS48" i="24"/>
  <c r="I49" i="24"/>
  <c r="J49" i="24" s="1"/>
  <c r="K49" i="24" s="1"/>
  <c r="L49" i="24" s="1"/>
  <c r="AA48" i="21"/>
  <c r="AB48" i="21" s="1"/>
  <c r="AC48" i="21" s="1"/>
  <c r="AD48" i="21"/>
  <c r="AM48" i="21"/>
  <c r="E58" i="21"/>
  <c r="V58" i="21" s="1"/>
  <c r="G58" i="21"/>
  <c r="X58" i="21" s="1"/>
  <c r="AG48" i="21"/>
  <c r="BO48" i="24"/>
  <c r="AH48" i="24"/>
  <c r="Y50" i="1"/>
  <c r="U52" i="1"/>
  <c r="P52" i="1"/>
  <c r="R52" i="1"/>
  <c r="V52" i="1"/>
  <c r="S52" i="1"/>
  <c r="J52" i="1"/>
  <c r="K52" i="1" s="1"/>
  <c r="L52" i="1" s="1"/>
  <c r="X51" i="1"/>
  <c r="W51" i="1"/>
  <c r="P46" i="7"/>
  <c r="D9" i="14"/>
  <c r="Y45" i="7"/>
  <c r="G55" i="1"/>
  <c r="B55" i="1"/>
  <c r="AI46" i="7"/>
  <c r="AJ46" i="7" s="1"/>
  <c r="B47" i="7"/>
  <c r="D54" i="1"/>
  <c r="I53" i="1"/>
  <c r="C16" i="14" s="1"/>
  <c r="H54" i="1"/>
  <c r="E54" i="1"/>
  <c r="J46" i="7"/>
  <c r="K46" i="7" s="1"/>
  <c r="L46" i="7" s="1"/>
  <c r="Q46" i="7"/>
  <c r="T46" i="7"/>
  <c r="V46" i="7"/>
  <c r="AO45" i="22" l="1"/>
  <c r="AP45" i="22"/>
  <c r="Y46" i="4"/>
  <c r="Z46" i="22"/>
  <c r="AQ43" i="23"/>
  <c r="AO49" i="29"/>
  <c r="H61" i="29"/>
  <c r="Y61" i="29" s="1"/>
  <c r="E61" i="29"/>
  <c r="V61" i="29" s="1"/>
  <c r="G61" i="29"/>
  <c r="X61" i="29" s="1"/>
  <c r="AN49" i="29"/>
  <c r="Z50" i="29"/>
  <c r="B51" i="29"/>
  <c r="S51" i="29" s="1"/>
  <c r="D61" i="29"/>
  <c r="U61" i="29" s="1"/>
  <c r="H64" i="28"/>
  <c r="V63" i="28"/>
  <c r="W61" i="28"/>
  <c r="X61" i="28"/>
  <c r="P63" i="28"/>
  <c r="S63" i="28"/>
  <c r="X62" i="28"/>
  <c r="W62" i="28"/>
  <c r="R63" i="28"/>
  <c r="U63" i="28"/>
  <c r="I44" i="26"/>
  <c r="Y49" i="25"/>
  <c r="AR50" i="25"/>
  <c r="G51" i="25" s="1"/>
  <c r="AJ50" i="25"/>
  <c r="J50" i="25"/>
  <c r="K50" i="25" s="1"/>
  <c r="L50" i="25" s="1"/>
  <c r="AN50" i="25"/>
  <c r="AS50" i="25"/>
  <c r="H51" i="25" s="1"/>
  <c r="U50" i="25"/>
  <c r="AM50" i="25"/>
  <c r="B51" i="25" s="1"/>
  <c r="AT50" i="25"/>
  <c r="AU50" i="25" s="1"/>
  <c r="AH50" i="25"/>
  <c r="P50" i="25"/>
  <c r="V50" i="25"/>
  <c r="AC50" i="25"/>
  <c r="AD50" i="25"/>
  <c r="AI50" i="25"/>
  <c r="Q50" i="25"/>
  <c r="G59" i="21"/>
  <c r="X59" i="21" s="1"/>
  <c r="B44" i="23"/>
  <c r="BL43" i="23"/>
  <c r="E59" i="21"/>
  <c r="V59" i="21" s="1"/>
  <c r="AO48" i="24"/>
  <c r="AP48" i="24"/>
  <c r="AO48" i="21"/>
  <c r="AN48" i="21"/>
  <c r="Z49" i="24"/>
  <c r="AH49" i="24" s="1"/>
  <c r="B50" i="24"/>
  <c r="S50" i="24" s="1"/>
  <c r="H59" i="21"/>
  <c r="Y59" i="21" s="1"/>
  <c r="B50" i="21"/>
  <c r="S50" i="21" s="1"/>
  <c r="Z49" i="21"/>
  <c r="D59" i="21"/>
  <c r="U59" i="21" s="1"/>
  <c r="X52" i="1"/>
  <c r="W52" i="1"/>
  <c r="Y51" i="1"/>
  <c r="V53" i="1"/>
  <c r="X46" i="7"/>
  <c r="W46" i="7"/>
  <c r="H55" i="1"/>
  <c r="J53" i="1"/>
  <c r="K53" i="1" s="1"/>
  <c r="L53" i="1" s="1"/>
  <c r="P53" i="1"/>
  <c r="U53" i="1"/>
  <c r="I47" i="7"/>
  <c r="AB47" i="7"/>
  <c r="B56" i="1"/>
  <c r="E55" i="1"/>
  <c r="D55" i="1"/>
  <c r="S53" i="1"/>
  <c r="R53" i="1"/>
  <c r="I54" i="1"/>
  <c r="G56" i="1"/>
  <c r="AQ45" i="22" l="1"/>
  <c r="I47" i="4"/>
  <c r="AY46" i="22"/>
  <c r="AM46" i="22"/>
  <c r="BA46" i="22"/>
  <c r="AZ46" i="22"/>
  <c r="AA46" i="22"/>
  <c r="AB46" i="22" s="1"/>
  <c r="AC46" i="22" s="1"/>
  <c r="AU46" i="22"/>
  <c r="BK46" i="22"/>
  <c r="AN46" i="22"/>
  <c r="AD46" i="22"/>
  <c r="AI46" i="22"/>
  <c r="AT46" i="22"/>
  <c r="AH46" i="22"/>
  <c r="AP49" i="29"/>
  <c r="I64" i="28"/>
  <c r="U64" i="28" s="1"/>
  <c r="H65" i="28"/>
  <c r="Y52" i="1"/>
  <c r="AP48" i="21"/>
  <c r="AD50" i="29"/>
  <c r="AA50" i="29"/>
  <c r="AB50" i="29" s="1"/>
  <c r="AC50" i="29" s="1"/>
  <c r="AL50" i="29"/>
  <c r="AH50" i="29"/>
  <c r="AM50" i="29"/>
  <c r="E62" i="29"/>
  <c r="V62" i="29" s="1"/>
  <c r="D62" i="29"/>
  <c r="U62" i="29" s="1"/>
  <c r="AG50" i="29"/>
  <c r="I51" i="29"/>
  <c r="J51" i="29" s="1"/>
  <c r="K51" i="29" s="1"/>
  <c r="L51" i="29" s="1"/>
  <c r="G62" i="29"/>
  <c r="X62" i="29" s="1"/>
  <c r="H62" i="29"/>
  <c r="Y62" i="29" s="1"/>
  <c r="Y62" i="28"/>
  <c r="X63" i="28"/>
  <c r="W63" i="28"/>
  <c r="V64" i="28"/>
  <c r="S64" i="28"/>
  <c r="P64" i="28"/>
  <c r="Y61" i="28"/>
  <c r="J44" i="26"/>
  <c r="K44" i="26" s="1"/>
  <c r="L44" i="26" s="1"/>
  <c r="Z44" i="26"/>
  <c r="AH44" i="26" s="1"/>
  <c r="D51" i="25"/>
  <c r="E51" i="25"/>
  <c r="W50" i="25"/>
  <c r="X50" i="25"/>
  <c r="BO49" i="24"/>
  <c r="H60" i="21"/>
  <c r="Y60" i="21" s="1"/>
  <c r="I50" i="21"/>
  <c r="J50" i="21" s="1"/>
  <c r="K50" i="21" s="1"/>
  <c r="L50" i="21" s="1"/>
  <c r="I44" i="23"/>
  <c r="S44" i="23"/>
  <c r="BA49" i="24"/>
  <c r="BV49" i="24"/>
  <c r="AD49" i="24"/>
  <c r="BB49" i="24"/>
  <c r="AA49" i="24"/>
  <c r="AB49" i="24" s="1"/>
  <c r="AC49" i="24" s="1"/>
  <c r="BU49" i="24"/>
  <c r="AN49" i="24"/>
  <c r="AI49" i="24"/>
  <c r="BP49" i="24"/>
  <c r="AM49" i="24"/>
  <c r="BT49" i="24"/>
  <c r="AQ48" i="24"/>
  <c r="AA49" i="21"/>
  <c r="AB49" i="21" s="1"/>
  <c r="AC49" i="21" s="1"/>
  <c r="AD49" i="21"/>
  <c r="AM49" i="21"/>
  <c r="G60" i="21"/>
  <c r="X60" i="21" s="1"/>
  <c r="I50" i="24"/>
  <c r="J50" i="24" s="1"/>
  <c r="K50" i="24" s="1"/>
  <c r="L50" i="24" s="1"/>
  <c r="D60" i="21"/>
  <c r="U60" i="21" s="1"/>
  <c r="E60" i="21"/>
  <c r="V60" i="21" s="1"/>
  <c r="AG49" i="21"/>
  <c r="X53" i="1"/>
  <c r="W53" i="1"/>
  <c r="S54" i="1"/>
  <c r="C17" i="14"/>
  <c r="Y46" i="7"/>
  <c r="P47" i="7"/>
  <c r="D10" i="14"/>
  <c r="B57" i="1"/>
  <c r="E56" i="1"/>
  <c r="J47" i="7"/>
  <c r="K47" i="7" s="1"/>
  <c r="L47" i="7" s="1"/>
  <c r="Q47" i="7"/>
  <c r="T47" i="7"/>
  <c r="V47" i="7"/>
  <c r="G57" i="1"/>
  <c r="J54" i="1"/>
  <c r="K54" i="1" s="1"/>
  <c r="L54" i="1" s="1"/>
  <c r="P54" i="1"/>
  <c r="U54" i="1"/>
  <c r="R54" i="1"/>
  <c r="V54" i="1"/>
  <c r="D56" i="1"/>
  <c r="I55" i="1"/>
  <c r="C18" i="14" s="1"/>
  <c r="B48" i="7"/>
  <c r="AI47" i="7"/>
  <c r="AJ47" i="7" s="1"/>
  <c r="H56" i="1"/>
  <c r="AH47" i="4" l="1"/>
  <c r="U47" i="4"/>
  <c r="S47" i="4"/>
  <c r="R47" i="4"/>
  <c r="B10" i="14"/>
  <c r="AC47" i="4"/>
  <c r="AJ47" i="4"/>
  <c r="AT47" i="4"/>
  <c r="AE47" i="4"/>
  <c r="J47" i="4"/>
  <c r="K47" i="4" s="1"/>
  <c r="L47" i="4" s="1"/>
  <c r="P47" i="4"/>
  <c r="V47" i="4"/>
  <c r="AI47" i="4"/>
  <c r="AF47" i="4"/>
  <c r="AP46" i="22"/>
  <c r="AO46" i="22"/>
  <c r="BE46" i="22"/>
  <c r="BD46" i="22"/>
  <c r="BI46" i="22"/>
  <c r="G47" i="22" s="1"/>
  <c r="BJ46" i="22"/>
  <c r="H47" i="22" s="1"/>
  <c r="R64" i="28"/>
  <c r="X64" i="28" s="1"/>
  <c r="J64" i="28"/>
  <c r="K64" i="28" s="1"/>
  <c r="L64" i="28" s="1"/>
  <c r="Z51" i="29"/>
  <c r="AG51" i="29" s="1"/>
  <c r="B52" i="29"/>
  <c r="S52" i="29" s="1"/>
  <c r="D63" i="29"/>
  <c r="U63" i="29" s="1"/>
  <c r="H63" i="29"/>
  <c r="Y63" i="29" s="1"/>
  <c r="E63" i="29"/>
  <c r="V63" i="29" s="1"/>
  <c r="AO50" i="29"/>
  <c r="AN50" i="29"/>
  <c r="G63" i="29"/>
  <c r="X63" i="29" s="1"/>
  <c r="Y63" i="28"/>
  <c r="W64" i="28"/>
  <c r="BA44" i="26"/>
  <c r="AA44" i="26"/>
  <c r="AB44" i="26" s="1"/>
  <c r="AC44" i="26" s="1"/>
  <c r="BK44" i="26"/>
  <c r="AD44" i="26"/>
  <c r="AZ44" i="26"/>
  <c r="AN44" i="26"/>
  <c r="AI44" i="26"/>
  <c r="AX44" i="26"/>
  <c r="AL44" i="26"/>
  <c r="AU44" i="26"/>
  <c r="AT44" i="26"/>
  <c r="I51" i="25"/>
  <c r="AT51" i="25" s="1"/>
  <c r="AU51" i="25" s="1"/>
  <c r="Y50" i="25"/>
  <c r="AO49" i="24"/>
  <c r="B51" i="21"/>
  <c r="Z50" i="21"/>
  <c r="AG50" i="21" s="1"/>
  <c r="G61" i="21"/>
  <c r="X61" i="21" s="1"/>
  <c r="H61" i="21"/>
  <c r="Y61" i="21" s="1"/>
  <c r="AO49" i="21"/>
  <c r="AN49" i="21"/>
  <c r="J44" i="23"/>
  <c r="K44" i="23" s="1"/>
  <c r="L44" i="23" s="1"/>
  <c r="Z50" i="24"/>
  <c r="AZ50" i="24" s="1"/>
  <c r="B51" i="24"/>
  <c r="E61" i="21"/>
  <c r="V61" i="21" s="1"/>
  <c r="AP49" i="24"/>
  <c r="D61" i="21"/>
  <c r="U61" i="21" s="1"/>
  <c r="Z44" i="23"/>
  <c r="AT44" i="23" s="1"/>
  <c r="I56" i="1"/>
  <c r="C19" i="14" s="1"/>
  <c r="R55" i="1"/>
  <c r="V55" i="1"/>
  <c r="Y53" i="1"/>
  <c r="X54" i="1"/>
  <c r="W54" i="1"/>
  <c r="X47" i="7"/>
  <c r="W47" i="7"/>
  <c r="I48" i="7"/>
  <c r="AB48" i="7"/>
  <c r="G58" i="1"/>
  <c r="E57" i="1"/>
  <c r="B58" i="1"/>
  <c r="H57" i="1"/>
  <c r="J55" i="1"/>
  <c r="K55" i="1" s="1"/>
  <c r="L55" i="1" s="1"/>
  <c r="P55" i="1"/>
  <c r="U55" i="1"/>
  <c r="S55" i="1"/>
  <c r="D57" i="1"/>
  <c r="X47" i="4" l="1"/>
  <c r="AU47" i="4"/>
  <c r="AP47" i="4"/>
  <c r="E48" i="4" s="1"/>
  <c r="AS47" i="4"/>
  <c r="H48" i="4" s="1"/>
  <c r="AO47" i="4"/>
  <c r="D48" i="4" s="1"/>
  <c r="AM47" i="4"/>
  <c r="AR47" i="4"/>
  <c r="G48" i="4" s="1"/>
  <c r="BO50" i="24"/>
  <c r="H51" i="24"/>
  <c r="Y51" i="24" s="1"/>
  <c r="C47" i="22"/>
  <c r="D47" i="22"/>
  <c r="E47" i="22"/>
  <c r="Y47" i="22"/>
  <c r="BJ47" i="22" s="1"/>
  <c r="X47" i="22"/>
  <c r="BI47" i="22" s="1"/>
  <c r="G48" i="22" s="1"/>
  <c r="U47" i="22"/>
  <c r="BF47" i="22" s="1"/>
  <c r="D48" i="22" s="1"/>
  <c r="V47" i="22"/>
  <c r="BG47" i="22" s="1"/>
  <c r="E48" i="22" s="1"/>
  <c r="AQ46" i="22"/>
  <c r="W47" i="4"/>
  <c r="Y47" i="4" s="1"/>
  <c r="BL46" i="22"/>
  <c r="B47" i="22"/>
  <c r="S47" i="22" s="1"/>
  <c r="AQ49" i="24"/>
  <c r="Y64" i="28"/>
  <c r="AP50" i="29"/>
  <c r="G64" i="29"/>
  <c r="X64" i="29" s="1"/>
  <c r="D64" i="29"/>
  <c r="U64" i="29" s="1"/>
  <c r="H64" i="29"/>
  <c r="Y64" i="29" s="1"/>
  <c r="I52" i="29"/>
  <c r="J52" i="29" s="1"/>
  <c r="K52" i="29" s="1"/>
  <c r="L52" i="29" s="1"/>
  <c r="E64" i="29"/>
  <c r="V64" i="29" s="1"/>
  <c r="AA51" i="29"/>
  <c r="AB51" i="29" s="1"/>
  <c r="AC51" i="29" s="1"/>
  <c r="AD51" i="29"/>
  <c r="AI51" i="29"/>
  <c r="AJ51" i="29"/>
  <c r="AL51" i="29"/>
  <c r="AM51" i="29"/>
  <c r="AP44" i="26"/>
  <c r="AO44" i="26"/>
  <c r="BH44" i="26"/>
  <c r="F45" i="26" s="1"/>
  <c r="BE44" i="26"/>
  <c r="C45" i="26" s="1"/>
  <c r="BD44" i="26"/>
  <c r="BJ44" i="26"/>
  <c r="H45" i="26" s="1"/>
  <c r="Y45" i="26" s="1"/>
  <c r="AR51" i="25"/>
  <c r="G52" i="25" s="1"/>
  <c r="S51" i="25"/>
  <c r="U51" i="25"/>
  <c r="AE51" i="25"/>
  <c r="V51" i="25"/>
  <c r="AC51" i="25"/>
  <c r="AP51" i="25"/>
  <c r="E52" i="25" s="1"/>
  <c r="R51" i="25"/>
  <c r="AI51" i="25"/>
  <c r="AH51" i="25"/>
  <c r="J51" i="25"/>
  <c r="K51" i="25" s="1"/>
  <c r="L51" i="25" s="1"/>
  <c r="AF51" i="25"/>
  <c r="P51" i="25"/>
  <c r="AJ51" i="25"/>
  <c r="AM51" i="25"/>
  <c r="B52" i="25" s="1"/>
  <c r="AS51" i="25"/>
  <c r="H52" i="25" s="1"/>
  <c r="AO51" i="25"/>
  <c r="D52" i="25" s="1"/>
  <c r="AH50" i="24"/>
  <c r="AP49" i="21"/>
  <c r="H62" i="21"/>
  <c r="Y62" i="21" s="1"/>
  <c r="I51" i="24"/>
  <c r="J51" i="24" s="1"/>
  <c r="K51" i="24" s="1"/>
  <c r="L51" i="24" s="1"/>
  <c r="S51" i="24"/>
  <c r="E62" i="21"/>
  <c r="V62" i="21" s="1"/>
  <c r="I51" i="21"/>
  <c r="J51" i="21" s="1"/>
  <c r="K51" i="21" s="1"/>
  <c r="L51" i="21" s="1"/>
  <c r="S51" i="21"/>
  <c r="AD44" i="23"/>
  <c r="AA44" i="23"/>
  <c r="AB44" i="23" s="1"/>
  <c r="AC44" i="23" s="1"/>
  <c r="BA44" i="23"/>
  <c r="BK44" i="23"/>
  <c r="AX44" i="23"/>
  <c r="AZ44" i="23"/>
  <c r="AL44" i="23"/>
  <c r="AN44" i="23"/>
  <c r="AU44" i="23"/>
  <c r="AI44" i="23"/>
  <c r="BA50" i="24"/>
  <c r="BB50" i="24"/>
  <c r="AD50" i="24"/>
  <c r="BV50" i="24"/>
  <c r="AA50" i="24"/>
  <c r="AB50" i="24" s="1"/>
  <c r="AC50" i="24" s="1"/>
  <c r="AN50" i="24"/>
  <c r="BP50" i="24"/>
  <c r="BU50" i="24"/>
  <c r="AM50" i="24"/>
  <c r="AI50" i="24"/>
  <c r="BT50" i="24"/>
  <c r="G62" i="21"/>
  <c r="X62" i="21" s="1"/>
  <c r="AH44" i="23"/>
  <c r="D62" i="21"/>
  <c r="U62" i="21" s="1"/>
  <c r="AD50" i="21"/>
  <c r="AA50" i="21"/>
  <c r="AB50" i="21" s="1"/>
  <c r="AC50" i="21" s="1"/>
  <c r="AL50" i="21"/>
  <c r="AM50" i="21"/>
  <c r="P56" i="1"/>
  <c r="V56" i="1"/>
  <c r="S56" i="1"/>
  <c r="J56" i="1"/>
  <c r="K56" i="1" s="1"/>
  <c r="L56" i="1" s="1"/>
  <c r="R56" i="1"/>
  <c r="U56" i="1"/>
  <c r="Y54" i="1"/>
  <c r="P48" i="7"/>
  <c r="D11" i="14"/>
  <c r="X55" i="1"/>
  <c r="W55" i="1"/>
  <c r="Y47" i="7"/>
  <c r="D58" i="1"/>
  <c r="H58" i="1"/>
  <c r="E58" i="1"/>
  <c r="J48" i="7"/>
  <c r="K48" i="7" s="1"/>
  <c r="L48" i="7" s="1"/>
  <c r="Q48" i="7"/>
  <c r="V48" i="7"/>
  <c r="T48" i="7"/>
  <c r="I57" i="1"/>
  <c r="G59" i="1"/>
  <c r="B59" i="1"/>
  <c r="B49" i="7"/>
  <c r="AI48" i="7"/>
  <c r="AJ48" i="7" s="1"/>
  <c r="B48" i="4" l="1"/>
  <c r="AM48" i="4" s="1"/>
  <c r="B49" i="4" s="1"/>
  <c r="AP48" i="4"/>
  <c r="E49" i="4" s="1"/>
  <c r="I48" i="4"/>
  <c r="P48" i="4" s="1"/>
  <c r="AO48" i="4"/>
  <c r="D49" i="4" s="1"/>
  <c r="AS48" i="4"/>
  <c r="H49" i="4" s="1"/>
  <c r="AR48" i="4"/>
  <c r="G49" i="4" s="1"/>
  <c r="I47" i="22"/>
  <c r="J47" i="22" s="1"/>
  <c r="K47" i="22" s="1"/>
  <c r="L47" i="22" s="1"/>
  <c r="X48" i="22"/>
  <c r="H48" i="22"/>
  <c r="Y48" i="22" s="1"/>
  <c r="X65" i="29"/>
  <c r="G65" i="29"/>
  <c r="Y65" i="29"/>
  <c r="H65" i="29"/>
  <c r="E65" i="29"/>
  <c r="V65" i="29"/>
  <c r="U65" i="29"/>
  <c r="D65" i="29"/>
  <c r="AQ44" i="26"/>
  <c r="AO51" i="29"/>
  <c r="Z52" i="29"/>
  <c r="B53" i="29"/>
  <c r="S53" i="29" s="1"/>
  <c r="AN51" i="29"/>
  <c r="B45" i="26"/>
  <c r="S45" i="26" s="1"/>
  <c r="BL44" i="26"/>
  <c r="W51" i="25"/>
  <c r="X51" i="25"/>
  <c r="I52" i="25"/>
  <c r="P52" i="25" s="1"/>
  <c r="AP50" i="24"/>
  <c r="AN50" i="21"/>
  <c r="AO50" i="24"/>
  <c r="AO50" i="21"/>
  <c r="D63" i="21"/>
  <c r="U63" i="21" s="1"/>
  <c r="E63" i="21"/>
  <c r="V63" i="21" s="1"/>
  <c r="G63" i="21"/>
  <c r="X63" i="21" s="1"/>
  <c r="AO44" i="23"/>
  <c r="AP44" i="23"/>
  <c r="BE44" i="23"/>
  <c r="C45" i="23" s="1"/>
  <c r="T45" i="23" s="1"/>
  <c r="BJ44" i="23"/>
  <c r="H45" i="23" s="1"/>
  <c r="Y45" i="23" s="1"/>
  <c r="BH44" i="23"/>
  <c r="BD44" i="23"/>
  <c r="Z51" i="21"/>
  <c r="AG51" i="21" s="1"/>
  <c r="B52" i="21"/>
  <c r="Z51" i="24"/>
  <c r="H63" i="21"/>
  <c r="Y63" i="21" s="1"/>
  <c r="X56" i="1"/>
  <c r="Y55" i="1"/>
  <c r="W56" i="1"/>
  <c r="I58" i="1"/>
  <c r="C21" i="14" s="1"/>
  <c r="R57" i="1"/>
  <c r="C20" i="14"/>
  <c r="X48" i="7"/>
  <c r="W48" i="7"/>
  <c r="B60" i="1"/>
  <c r="E59" i="1"/>
  <c r="I49" i="7"/>
  <c r="D12" i="14" s="1"/>
  <c r="AB49" i="7"/>
  <c r="J57" i="1"/>
  <c r="K57" i="1" s="1"/>
  <c r="L57" i="1" s="1"/>
  <c r="U57" i="1"/>
  <c r="P57" i="1"/>
  <c r="V57" i="1"/>
  <c r="H59" i="1"/>
  <c r="G60" i="1"/>
  <c r="S57" i="1"/>
  <c r="D59" i="1"/>
  <c r="I49" i="4" l="1"/>
  <c r="AF49" i="4" s="1"/>
  <c r="U49" i="4"/>
  <c r="J48" i="4"/>
  <c r="K48" i="4" s="1"/>
  <c r="L48" i="4" s="1"/>
  <c r="AT48" i="4"/>
  <c r="AU48" i="4" s="1"/>
  <c r="B11" i="14"/>
  <c r="AJ48" i="4"/>
  <c r="AC48" i="4"/>
  <c r="U48" i="4"/>
  <c r="AE48" i="4"/>
  <c r="AF48" i="4"/>
  <c r="V48" i="4"/>
  <c r="R49" i="4"/>
  <c r="AH48" i="4"/>
  <c r="AI48" i="4"/>
  <c r="R48" i="4"/>
  <c r="S48" i="4"/>
  <c r="AW51" i="24"/>
  <c r="AV51" i="24"/>
  <c r="AZ51" i="24"/>
  <c r="H52" i="24" s="1"/>
  <c r="Y52" i="24" s="1"/>
  <c r="AZ52" i="24" s="1"/>
  <c r="AT51" i="24"/>
  <c r="B52" i="24" s="1"/>
  <c r="S52" i="24" s="1"/>
  <c r="AT52" i="24" s="1"/>
  <c r="AY51" i="24"/>
  <c r="E52" i="24"/>
  <c r="V52" i="24" s="1"/>
  <c r="AW52" i="24" s="1"/>
  <c r="D52" i="24"/>
  <c r="U52" i="24" s="1"/>
  <c r="AV52" i="24" s="1"/>
  <c r="G52" i="24"/>
  <c r="X52" i="24" s="1"/>
  <c r="AY52" i="24" s="1"/>
  <c r="AE49" i="4"/>
  <c r="P49" i="4"/>
  <c r="AH51" i="24"/>
  <c r="AT49" i="4"/>
  <c r="J49" i="4"/>
  <c r="K49" i="4" s="1"/>
  <c r="L49" i="4" s="1"/>
  <c r="B12" i="14"/>
  <c r="BD47" i="22"/>
  <c r="B48" i="22" s="1"/>
  <c r="S48" i="22" s="1"/>
  <c r="Z47" i="22"/>
  <c r="AT47" i="22" s="1"/>
  <c r="V48" i="22"/>
  <c r="U48" i="22"/>
  <c r="Y56" i="1"/>
  <c r="AQ50" i="24"/>
  <c r="AP51" i="29"/>
  <c r="I53" i="29"/>
  <c r="J53" i="29" s="1"/>
  <c r="K53" i="29" s="1"/>
  <c r="L53" i="29" s="1"/>
  <c r="AA52" i="29"/>
  <c r="AB52" i="29" s="1"/>
  <c r="AC52" i="29" s="1"/>
  <c r="AD52" i="29"/>
  <c r="AL52" i="29"/>
  <c r="AJ52" i="29"/>
  <c r="AI52" i="29"/>
  <c r="AM52" i="29"/>
  <c r="AG52" i="29"/>
  <c r="I45" i="26"/>
  <c r="J45" i="26" s="1"/>
  <c r="K45" i="26" s="1"/>
  <c r="L45" i="26" s="1"/>
  <c r="Y51" i="25"/>
  <c r="AM52" i="25"/>
  <c r="B53" i="25" s="1"/>
  <c r="AT52" i="25"/>
  <c r="AU52" i="25" s="1"/>
  <c r="AE52" i="25"/>
  <c r="AP52" i="25"/>
  <c r="E53" i="25" s="1"/>
  <c r="AF52" i="25"/>
  <c r="V52" i="25"/>
  <c r="AJ52" i="25"/>
  <c r="R52" i="25"/>
  <c r="AO52" i="25"/>
  <c r="D53" i="25" s="1"/>
  <c r="AS52" i="25"/>
  <c r="H53" i="25" s="1"/>
  <c r="AH52" i="25"/>
  <c r="S52" i="25"/>
  <c r="J52" i="25"/>
  <c r="K52" i="25" s="1"/>
  <c r="L52" i="25" s="1"/>
  <c r="AR52" i="25"/>
  <c r="G53" i="25" s="1"/>
  <c r="U52" i="25"/>
  <c r="AI52" i="25"/>
  <c r="AC52" i="25"/>
  <c r="AP50" i="21"/>
  <c r="D64" i="21"/>
  <c r="U64" i="21" s="1"/>
  <c r="U65" i="21" s="1"/>
  <c r="G64" i="21"/>
  <c r="X64" i="21" s="1"/>
  <c r="X65" i="21" s="1"/>
  <c r="I52" i="21"/>
  <c r="J52" i="21" s="1"/>
  <c r="K52" i="21" s="1"/>
  <c r="L52" i="21" s="1"/>
  <c r="S52" i="21"/>
  <c r="E64" i="21"/>
  <c r="V64" i="21" s="1"/>
  <c r="V65" i="21" s="1"/>
  <c r="H64" i="21"/>
  <c r="Y64" i="21" s="1"/>
  <c r="Y65" i="21" s="1"/>
  <c r="AD51" i="21"/>
  <c r="AA51" i="21"/>
  <c r="AB51" i="21" s="1"/>
  <c r="AC51" i="21" s="1"/>
  <c r="AJ51" i="21"/>
  <c r="AI51" i="21"/>
  <c r="AM51" i="21"/>
  <c r="AL51" i="21"/>
  <c r="BV51" i="24"/>
  <c r="BA51" i="24"/>
  <c r="AD51" i="24"/>
  <c r="AA51" i="24"/>
  <c r="AB51" i="24" s="1"/>
  <c r="AC51" i="24" s="1"/>
  <c r="BT51" i="24"/>
  <c r="BU51" i="24"/>
  <c r="AN51" i="24"/>
  <c r="AM51" i="24"/>
  <c r="BQ51" i="24"/>
  <c r="AK51" i="24"/>
  <c r="AJ51" i="24"/>
  <c r="BR51" i="24"/>
  <c r="B45" i="23"/>
  <c r="BL44" i="23"/>
  <c r="BO51" i="24"/>
  <c r="AQ44" i="23"/>
  <c r="V58" i="1"/>
  <c r="P58" i="1"/>
  <c r="U58" i="1"/>
  <c r="R58" i="1"/>
  <c r="J58" i="1"/>
  <c r="K58" i="1" s="1"/>
  <c r="L58" i="1" s="1"/>
  <c r="S58" i="1"/>
  <c r="X57" i="1"/>
  <c r="W57" i="1"/>
  <c r="Y48" i="7"/>
  <c r="H60" i="1"/>
  <c r="J49" i="7"/>
  <c r="K49" i="7" s="1"/>
  <c r="L49" i="7" s="1"/>
  <c r="Q49" i="7"/>
  <c r="U49" i="7"/>
  <c r="V49" i="7"/>
  <c r="D60" i="1"/>
  <c r="P49" i="7"/>
  <c r="E60" i="1"/>
  <c r="I59" i="1"/>
  <c r="C22" i="14" s="1"/>
  <c r="G61" i="1"/>
  <c r="AI49" i="7"/>
  <c r="AJ49" i="7" s="1"/>
  <c r="B50" i="7"/>
  <c r="B61" i="1"/>
  <c r="V49" i="4" l="1"/>
  <c r="AI49" i="4"/>
  <c r="AC49" i="4"/>
  <c r="AJ49" i="4"/>
  <c r="AH49" i="4"/>
  <c r="S49" i="4"/>
  <c r="X49" i="4" s="1"/>
  <c r="W48" i="4"/>
  <c r="X48" i="4"/>
  <c r="Y48" i="4" s="1"/>
  <c r="AU49" i="4"/>
  <c r="AS49" i="4"/>
  <c r="H50" i="4" s="1"/>
  <c r="AM49" i="4"/>
  <c r="AP49" i="4"/>
  <c r="E50" i="4" s="1"/>
  <c r="AR49" i="4"/>
  <c r="G50" i="4" s="1"/>
  <c r="AO49" i="4"/>
  <c r="D50" i="4" s="1"/>
  <c r="BL47" i="22"/>
  <c r="I52" i="24"/>
  <c r="J52" i="24" s="1"/>
  <c r="K52" i="24" s="1"/>
  <c r="L52" i="24" s="1"/>
  <c r="BB51" i="24"/>
  <c r="AH47" i="22"/>
  <c r="AD47" i="22"/>
  <c r="AY47" i="22"/>
  <c r="AZ47" i="22"/>
  <c r="AN47" i="22"/>
  <c r="BA47" i="22"/>
  <c r="AM47" i="22"/>
  <c r="BK47" i="22"/>
  <c r="AA47" i="22"/>
  <c r="AB47" i="22" s="1"/>
  <c r="AC47" i="22" s="1"/>
  <c r="AI47" i="22"/>
  <c r="I48" i="22"/>
  <c r="J48" i="22" s="1"/>
  <c r="K48" i="22" s="1"/>
  <c r="L48" i="22" s="1"/>
  <c r="G65" i="21"/>
  <c r="E65" i="21"/>
  <c r="H65" i="21"/>
  <c r="D65" i="21"/>
  <c r="AO52" i="29"/>
  <c r="AN52" i="29"/>
  <c r="Z53" i="29"/>
  <c r="AG53" i="29" s="1"/>
  <c r="B54" i="29"/>
  <c r="S54" i="29" s="1"/>
  <c r="I67" i="28"/>
  <c r="I73" i="28"/>
  <c r="I65" i="28"/>
  <c r="I71" i="28" s="1"/>
  <c r="Z45" i="26"/>
  <c r="I53" i="25"/>
  <c r="U53" i="25" s="1"/>
  <c r="W52" i="25"/>
  <c r="X52" i="25"/>
  <c r="AP51" i="24"/>
  <c r="AO51" i="21"/>
  <c r="Z52" i="24"/>
  <c r="Z52" i="21"/>
  <c r="AG52" i="21" s="1"/>
  <c r="B53" i="21"/>
  <c r="AN51" i="21"/>
  <c r="AO51" i="24"/>
  <c r="I45" i="23"/>
  <c r="J45" i="23" s="1"/>
  <c r="K45" i="23" s="1"/>
  <c r="L45" i="23" s="1"/>
  <c r="S45" i="23"/>
  <c r="X58" i="1"/>
  <c r="W58" i="1"/>
  <c r="I60" i="1"/>
  <c r="P60" i="1" s="1"/>
  <c r="Y57" i="1"/>
  <c r="X49" i="7"/>
  <c r="J59" i="1"/>
  <c r="K59" i="1" s="1"/>
  <c r="L59" i="1" s="1"/>
  <c r="U59" i="1"/>
  <c r="P59" i="1"/>
  <c r="G62" i="1"/>
  <c r="S59" i="1"/>
  <c r="E61" i="1"/>
  <c r="R59" i="1"/>
  <c r="H61" i="1"/>
  <c r="I50" i="7"/>
  <c r="W49" i="7"/>
  <c r="D61" i="1"/>
  <c r="V59" i="1"/>
  <c r="B62" i="1"/>
  <c r="W49" i="4" l="1"/>
  <c r="B50" i="4"/>
  <c r="I50" i="4"/>
  <c r="S50" i="4" s="1"/>
  <c r="R50" i="4"/>
  <c r="B53" i="24"/>
  <c r="S53" i="24" s="1"/>
  <c r="AT53" i="24" s="1"/>
  <c r="AP47" i="22"/>
  <c r="E53" i="24"/>
  <c r="V53" i="24" s="1"/>
  <c r="AW53" i="24" s="1"/>
  <c r="D53" i="24"/>
  <c r="U53" i="24" s="1"/>
  <c r="AV53" i="24" s="1"/>
  <c r="G53" i="24"/>
  <c r="X53" i="24" s="1"/>
  <c r="AY53" i="24" s="1"/>
  <c r="AO47" i="22"/>
  <c r="Y49" i="4"/>
  <c r="AH52" i="24"/>
  <c r="Z48" i="22"/>
  <c r="AC50" i="4"/>
  <c r="B13" i="14"/>
  <c r="V53" i="25"/>
  <c r="AQ51" i="24"/>
  <c r="Y58" i="1"/>
  <c r="AP53" i="25"/>
  <c r="E54" i="25" s="1"/>
  <c r="AT53" i="25"/>
  <c r="AU53" i="25" s="1"/>
  <c r="AE53" i="25"/>
  <c r="BO52" i="24"/>
  <c r="R53" i="25"/>
  <c r="J53" i="25"/>
  <c r="K53" i="25" s="1"/>
  <c r="L53" i="25" s="1"/>
  <c r="Y52" i="25"/>
  <c r="AI53" i="25"/>
  <c r="AO53" i="25"/>
  <c r="D54" i="25" s="1"/>
  <c r="I54" i="29"/>
  <c r="J54" i="29" s="1"/>
  <c r="K54" i="29" s="1"/>
  <c r="L54" i="29" s="1"/>
  <c r="AP52" i="29"/>
  <c r="AA53" i="29"/>
  <c r="AB53" i="29" s="1"/>
  <c r="AC53" i="29" s="1"/>
  <c r="AD53" i="29"/>
  <c r="AM53" i="29"/>
  <c r="AJ53" i="29"/>
  <c r="AL53" i="29"/>
  <c r="AI53" i="29"/>
  <c r="I72" i="28"/>
  <c r="I66" i="28"/>
  <c r="I68" i="28" s="1"/>
  <c r="BK45" i="26"/>
  <c r="AD45" i="26"/>
  <c r="BA45" i="26"/>
  <c r="AA45" i="26"/>
  <c r="AB45" i="26" s="1"/>
  <c r="AC45" i="26" s="1"/>
  <c r="AN45" i="26"/>
  <c r="AI45" i="26"/>
  <c r="AX45" i="26"/>
  <c r="AL45" i="26"/>
  <c r="AZ45" i="26"/>
  <c r="AU45" i="26"/>
  <c r="AH45" i="26"/>
  <c r="AT45" i="26"/>
  <c r="P53" i="25"/>
  <c r="S53" i="25"/>
  <c r="AS53" i="25"/>
  <c r="H54" i="25" s="1"/>
  <c r="AJ53" i="25"/>
  <c r="AC53" i="25"/>
  <c r="AH53" i="25"/>
  <c r="AF53" i="25"/>
  <c r="AM53" i="25"/>
  <c r="B54" i="25" s="1"/>
  <c r="AR53" i="25"/>
  <c r="G54" i="25" s="1"/>
  <c r="AP51" i="21"/>
  <c r="Z45" i="23"/>
  <c r="AT45" i="23" s="1"/>
  <c r="AD52" i="21"/>
  <c r="AA52" i="21"/>
  <c r="AB52" i="21" s="1"/>
  <c r="AC52" i="21" s="1"/>
  <c r="AM52" i="21"/>
  <c r="AJ52" i="21"/>
  <c r="AI52" i="21"/>
  <c r="AL52" i="21"/>
  <c r="S53" i="21"/>
  <c r="I53" i="21"/>
  <c r="J53" i="21" s="1"/>
  <c r="K53" i="21" s="1"/>
  <c r="L53" i="21" s="1"/>
  <c r="AA52" i="24"/>
  <c r="AB52" i="24" s="1"/>
  <c r="AC52" i="24" s="1"/>
  <c r="BA52" i="24"/>
  <c r="BV52" i="24"/>
  <c r="AD52" i="24"/>
  <c r="AN52" i="24"/>
  <c r="AM52" i="24"/>
  <c r="BT52" i="24"/>
  <c r="BU52" i="24"/>
  <c r="AK52" i="24"/>
  <c r="AJ52" i="24"/>
  <c r="BR52" i="24"/>
  <c r="BQ52" i="24"/>
  <c r="V60" i="1"/>
  <c r="J60" i="1"/>
  <c r="K60" i="1" s="1"/>
  <c r="S60" i="1"/>
  <c r="R60" i="1"/>
  <c r="U60" i="1"/>
  <c r="C23" i="14"/>
  <c r="Y49" i="7"/>
  <c r="I61" i="1"/>
  <c r="C24" i="14" s="1"/>
  <c r="X59" i="1"/>
  <c r="W59" i="1"/>
  <c r="P50" i="7"/>
  <c r="D13" i="14"/>
  <c r="D62" i="1"/>
  <c r="AI50" i="7"/>
  <c r="AJ50" i="7" s="1"/>
  <c r="B51" i="7"/>
  <c r="G63" i="1"/>
  <c r="J50" i="7"/>
  <c r="K50" i="7" s="1"/>
  <c r="L50" i="7" s="1"/>
  <c r="Q50" i="7"/>
  <c r="V50" i="7"/>
  <c r="U50" i="7"/>
  <c r="H62" i="1"/>
  <c r="E62" i="1"/>
  <c r="B63" i="1"/>
  <c r="I69" i="1"/>
  <c r="C10" i="8" s="1"/>
  <c r="P50" i="4" l="1"/>
  <c r="AH50" i="4"/>
  <c r="U50" i="4"/>
  <c r="X50" i="4" s="1"/>
  <c r="AI50" i="4"/>
  <c r="AF50" i="4"/>
  <c r="AE50" i="4"/>
  <c r="AT50" i="4"/>
  <c r="AS50" i="4" s="1"/>
  <c r="H51" i="4" s="1"/>
  <c r="AJ50" i="4"/>
  <c r="V50" i="4"/>
  <c r="J50" i="4"/>
  <c r="K50" i="4" s="1"/>
  <c r="L50" i="4" s="1"/>
  <c r="AQ47" i="22"/>
  <c r="BB52" i="24"/>
  <c r="AP50" i="4"/>
  <c r="E51" i="4" s="1"/>
  <c r="H53" i="24"/>
  <c r="Y53" i="24" s="1"/>
  <c r="AT48" i="22"/>
  <c r="AY48" i="22"/>
  <c r="AM48" i="22"/>
  <c r="AJ48" i="22"/>
  <c r="AK48" i="22"/>
  <c r="AH48" i="22"/>
  <c r="AI48" i="22"/>
  <c r="BA48" i="22"/>
  <c r="AD48" i="22"/>
  <c r="AZ48" i="22"/>
  <c r="BK48" i="22"/>
  <c r="AA48" i="22"/>
  <c r="AB48" i="22" s="1"/>
  <c r="AC48" i="22" s="1"/>
  <c r="AN48" i="22"/>
  <c r="W50" i="4"/>
  <c r="W53" i="25"/>
  <c r="AH45" i="23"/>
  <c r="W60" i="1"/>
  <c r="AO53" i="29"/>
  <c r="AN53" i="29"/>
  <c r="B55" i="29"/>
  <c r="S55" i="29" s="1"/>
  <c r="Z54" i="29"/>
  <c r="AG54" i="29" s="1"/>
  <c r="BD45" i="26"/>
  <c r="BJ45" i="26"/>
  <c r="H46" i="26" s="1"/>
  <c r="Y46" i="26" s="1"/>
  <c r="BH45" i="26"/>
  <c r="F46" i="26" s="1"/>
  <c r="BE45" i="26"/>
  <c r="C46" i="26" s="1"/>
  <c r="AP45" i="26"/>
  <c r="AO45" i="26"/>
  <c r="I54" i="25"/>
  <c r="V54" i="25" s="1"/>
  <c r="X53" i="25"/>
  <c r="AO52" i="24"/>
  <c r="AN52" i="21"/>
  <c r="Z53" i="21"/>
  <c r="B54" i="21"/>
  <c r="AP52" i="24"/>
  <c r="AO52" i="21"/>
  <c r="BK45" i="23"/>
  <c r="BA45" i="23"/>
  <c r="AD45" i="23"/>
  <c r="AA45" i="23"/>
  <c r="AB45" i="23" s="1"/>
  <c r="AC45" i="23" s="1"/>
  <c r="AI45" i="23"/>
  <c r="AZ45" i="23"/>
  <c r="AX45" i="23"/>
  <c r="AN45" i="23"/>
  <c r="AU45" i="23"/>
  <c r="X60" i="1"/>
  <c r="R61" i="1"/>
  <c r="V61" i="1"/>
  <c r="I62" i="1"/>
  <c r="P62" i="1" s="1"/>
  <c r="P61" i="1"/>
  <c r="U61" i="1"/>
  <c r="S61" i="1"/>
  <c r="J61" i="1"/>
  <c r="K61" i="1" s="1"/>
  <c r="L61" i="1" s="1"/>
  <c r="Y59" i="1"/>
  <c r="X50" i="7"/>
  <c r="W50" i="7"/>
  <c r="E63" i="1"/>
  <c r="G64" i="1"/>
  <c r="G65" i="1" s="1"/>
  <c r="I51" i="7"/>
  <c r="I70" i="1"/>
  <c r="C11" i="8" s="1"/>
  <c r="L60" i="1"/>
  <c r="B64" i="1"/>
  <c r="D63" i="1"/>
  <c r="H63" i="1"/>
  <c r="AU50" i="4" l="1"/>
  <c r="AM50" i="4"/>
  <c r="AR50" i="4"/>
  <c r="G51" i="4" s="1"/>
  <c r="AO50" i="4"/>
  <c r="D51" i="4" s="1"/>
  <c r="B51" i="4"/>
  <c r="I51" i="4" s="1"/>
  <c r="AC51" i="4" s="1"/>
  <c r="AD51" i="7"/>
  <c r="D52" i="7" s="1"/>
  <c r="AD52" i="7" s="1"/>
  <c r="AH51" i="7"/>
  <c r="H52" i="7" s="1"/>
  <c r="AH52" i="7" s="1"/>
  <c r="AB51" i="7"/>
  <c r="AE51" i="7"/>
  <c r="E52" i="7" s="1"/>
  <c r="AE52" i="7" s="1"/>
  <c r="AG51" i="7"/>
  <c r="G52" i="7" s="1"/>
  <c r="AG52" i="7" s="1"/>
  <c r="I53" i="24"/>
  <c r="J53" i="24" s="1"/>
  <c r="K53" i="24" s="1"/>
  <c r="L53" i="24" s="1"/>
  <c r="BJ48" i="22"/>
  <c r="H49" i="22" s="1"/>
  <c r="Y49" i="22" s="1"/>
  <c r="BJ49" i="22" s="1"/>
  <c r="BD48" i="22"/>
  <c r="BI48" i="22"/>
  <c r="BG48" i="22"/>
  <c r="E49" i="22" s="1"/>
  <c r="BF48" i="22"/>
  <c r="D49" i="22" s="1"/>
  <c r="AO48" i="22"/>
  <c r="G49" i="22"/>
  <c r="X49" i="22" s="1"/>
  <c r="AP48" i="22"/>
  <c r="Y50" i="4"/>
  <c r="Y60" i="1"/>
  <c r="S54" i="25"/>
  <c r="AP45" i="23"/>
  <c r="AT54" i="25"/>
  <c r="AU54" i="25" s="1"/>
  <c r="J54" i="25"/>
  <c r="K54" i="25" s="1"/>
  <c r="L54" i="25" s="1"/>
  <c r="U54" i="25"/>
  <c r="Y53" i="25"/>
  <c r="AQ45" i="26"/>
  <c r="AP53" i="29"/>
  <c r="AO45" i="23"/>
  <c r="B65" i="1"/>
  <c r="AQ52" i="24"/>
  <c r="I55" i="29"/>
  <c r="J55" i="29" s="1"/>
  <c r="K55" i="29" s="1"/>
  <c r="L55" i="29" s="1"/>
  <c r="AA54" i="29"/>
  <c r="AB54" i="29" s="1"/>
  <c r="AC54" i="29" s="1"/>
  <c r="AD54" i="29"/>
  <c r="AI54" i="29"/>
  <c r="AL54" i="29"/>
  <c r="AJ54" i="29"/>
  <c r="AM54" i="29"/>
  <c r="B46" i="26"/>
  <c r="S46" i="26" s="1"/>
  <c r="BL45" i="26"/>
  <c r="AE54" i="25"/>
  <c r="AP54" i="25"/>
  <c r="E55" i="25" s="1"/>
  <c r="AM54" i="25"/>
  <c r="B55" i="25" s="1"/>
  <c r="AF54" i="25"/>
  <c r="R54" i="25"/>
  <c r="P54" i="25"/>
  <c r="AR54" i="25"/>
  <c r="G55" i="25" s="1"/>
  <c r="AS54" i="25"/>
  <c r="H55" i="25" s="1"/>
  <c r="AC54" i="25"/>
  <c r="AI54" i="25"/>
  <c r="AJ54" i="25"/>
  <c r="AO54" i="25"/>
  <c r="D55" i="25" s="1"/>
  <c r="AH54" i="25"/>
  <c r="AP52" i="21"/>
  <c r="I54" i="21"/>
  <c r="J54" i="21" s="1"/>
  <c r="K54" i="21" s="1"/>
  <c r="L54" i="21" s="1"/>
  <c r="S54" i="21"/>
  <c r="AD53" i="21"/>
  <c r="AA53" i="21"/>
  <c r="AB53" i="21" s="1"/>
  <c r="AC53" i="21" s="1"/>
  <c r="AJ53" i="21"/>
  <c r="AI53" i="21"/>
  <c r="AM53" i="21"/>
  <c r="AL53" i="21"/>
  <c r="BJ45" i="23"/>
  <c r="H46" i="23" s="1"/>
  <c r="Y46" i="23" s="1"/>
  <c r="BE45" i="23"/>
  <c r="C46" i="23" s="1"/>
  <c r="T46" i="23" s="1"/>
  <c r="BD45" i="23"/>
  <c r="AG53" i="21"/>
  <c r="C25" i="14"/>
  <c r="U62" i="1"/>
  <c r="R62" i="1"/>
  <c r="J62" i="1"/>
  <c r="K62" i="1" s="1"/>
  <c r="L62" i="1" s="1"/>
  <c r="W61" i="1"/>
  <c r="V62" i="1"/>
  <c r="S62" i="1"/>
  <c r="X61" i="1"/>
  <c r="Y50" i="7"/>
  <c r="P51" i="7"/>
  <c r="D14" i="14"/>
  <c r="D64" i="1"/>
  <c r="D65" i="1" s="1"/>
  <c r="B52" i="7"/>
  <c r="AB52" i="7" s="1"/>
  <c r="AI51" i="7"/>
  <c r="AJ51" i="7" s="1"/>
  <c r="I63" i="1"/>
  <c r="V63" i="1" s="1"/>
  <c r="H64" i="1"/>
  <c r="H65" i="1" s="1"/>
  <c r="E64" i="1"/>
  <c r="E65" i="1" s="1"/>
  <c r="J51" i="7"/>
  <c r="K51" i="7" s="1"/>
  <c r="L51" i="7" s="1"/>
  <c r="S51" i="7"/>
  <c r="R51" i="7"/>
  <c r="U51" i="7"/>
  <c r="V51" i="7"/>
  <c r="AQ45" i="23" l="1"/>
  <c r="AF51" i="4"/>
  <c r="V51" i="4"/>
  <c r="R51" i="4"/>
  <c r="AT51" i="4"/>
  <c r="AJ51" i="4"/>
  <c r="J51" i="4"/>
  <c r="K51" i="4" s="1"/>
  <c r="L51" i="4" s="1"/>
  <c r="B14" i="14"/>
  <c r="S51" i="4"/>
  <c r="AE51" i="4"/>
  <c r="U51" i="4"/>
  <c r="AI51" i="4"/>
  <c r="P51" i="4"/>
  <c r="AH51" i="4"/>
  <c r="Z53" i="24"/>
  <c r="BV53" i="24" s="1"/>
  <c r="AZ53" i="24"/>
  <c r="H54" i="24" s="1"/>
  <c r="B54" i="24"/>
  <c r="E54" i="24"/>
  <c r="V54" i="24" s="1"/>
  <c r="D54" i="24"/>
  <c r="U54" i="24" s="1"/>
  <c r="G54" i="24"/>
  <c r="X54" i="24" s="1"/>
  <c r="BI49" i="22"/>
  <c r="AQ48" i="22"/>
  <c r="U49" i="22"/>
  <c r="V49" i="22"/>
  <c r="BL48" i="22"/>
  <c r="B49" i="22"/>
  <c r="W54" i="25"/>
  <c r="X54" i="25"/>
  <c r="I55" i="25"/>
  <c r="S55" i="25" s="1"/>
  <c r="I65" i="1"/>
  <c r="X62" i="1"/>
  <c r="AN54" i="29"/>
  <c r="AO54" i="29"/>
  <c r="Z55" i="29"/>
  <c r="AG55" i="29" s="1"/>
  <c r="B56" i="29"/>
  <c r="S56" i="29" s="1"/>
  <c r="I46" i="26"/>
  <c r="J46" i="26" s="1"/>
  <c r="K46" i="26" s="1"/>
  <c r="L46" i="26" s="1"/>
  <c r="AH55" i="25"/>
  <c r="AJ55" i="25"/>
  <c r="B46" i="23"/>
  <c r="BL45" i="23"/>
  <c r="AO53" i="21"/>
  <c r="AN53" i="21"/>
  <c r="Z54" i="21"/>
  <c r="AG54" i="21" s="1"/>
  <c r="B55" i="21"/>
  <c r="Y61" i="1"/>
  <c r="W62" i="1"/>
  <c r="S63" i="1"/>
  <c r="R63" i="1"/>
  <c r="C26" i="14"/>
  <c r="X51" i="7"/>
  <c r="W51" i="7"/>
  <c r="I52" i="7"/>
  <c r="J63" i="1"/>
  <c r="K63" i="1" s="1"/>
  <c r="L63" i="1" s="1"/>
  <c r="U63" i="1"/>
  <c r="P63" i="1"/>
  <c r="I64" i="1"/>
  <c r="X51" i="4" l="1"/>
  <c r="W51" i="4"/>
  <c r="AR51" i="4"/>
  <c r="G52" i="4" s="1"/>
  <c r="AR52" i="4" s="1"/>
  <c r="AP51" i="4"/>
  <c r="E52" i="4" s="1"/>
  <c r="AP52" i="4" s="1"/>
  <c r="AO51" i="4"/>
  <c r="D52" i="4" s="1"/>
  <c r="AO52" i="4" s="1"/>
  <c r="AS51" i="4"/>
  <c r="H52" i="4" s="1"/>
  <c r="AS52" i="4" s="1"/>
  <c r="AU51" i="4"/>
  <c r="AM51" i="4"/>
  <c r="BA53" i="24"/>
  <c r="BT53" i="24"/>
  <c r="BO53" i="24"/>
  <c r="AH53" i="24"/>
  <c r="AK53" i="24"/>
  <c r="AD53" i="24"/>
  <c r="BR53" i="24"/>
  <c r="BQ53" i="24"/>
  <c r="BU53" i="24"/>
  <c r="AJ53" i="24"/>
  <c r="AN53" i="24"/>
  <c r="AM53" i="24"/>
  <c r="AA53" i="24"/>
  <c r="AB53" i="24" s="1"/>
  <c r="AC53" i="24" s="1"/>
  <c r="S54" i="24"/>
  <c r="AT54" i="24" s="1"/>
  <c r="B55" i="24" s="1"/>
  <c r="S55" i="24" s="1"/>
  <c r="Y54" i="24"/>
  <c r="AZ54" i="24" s="1"/>
  <c r="H55" i="24" s="1"/>
  <c r="AW54" i="24"/>
  <c r="E55" i="24" s="1"/>
  <c r="V55" i="24" s="1"/>
  <c r="AV54" i="24"/>
  <c r="D55" i="24" s="1"/>
  <c r="U55" i="24" s="1"/>
  <c r="BB53" i="24"/>
  <c r="I54" i="24"/>
  <c r="J54" i="24" s="1"/>
  <c r="K54" i="24" s="1"/>
  <c r="L54" i="24" s="1"/>
  <c r="BG49" i="22"/>
  <c r="E53" i="7"/>
  <c r="AE53" i="7" s="1"/>
  <c r="H53" i="7"/>
  <c r="AH53" i="7" s="1"/>
  <c r="G53" i="7"/>
  <c r="AG53" i="7" s="1"/>
  <c r="D53" i="7"/>
  <c r="AD53" i="7" s="1"/>
  <c r="S49" i="22"/>
  <c r="I49" i="22"/>
  <c r="J49" i="22" s="1"/>
  <c r="K49" i="22" s="1"/>
  <c r="L49" i="22" s="1"/>
  <c r="Y54" i="25"/>
  <c r="BF49" i="22"/>
  <c r="H50" i="22"/>
  <c r="Y50" i="22" s="1"/>
  <c r="BJ50" i="22" s="1"/>
  <c r="G50" i="22"/>
  <c r="X50" i="22" s="1"/>
  <c r="AI55" i="25"/>
  <c r="AM55" i="25"/>
  <c r="B56" i="25" s="1"/>
  <c r="AE55" i="25"/>
  <c r="AS55" i="25"/>
  <c r="H56" i="25" s="1"/>
  <c r="V55" i="25"/>
  <c r="I71" i="1"/>
  <c r="AO55" i="25"/>
  <c r="D56" i="25" s="1"/>
  <c r="AP55" i="25"/>
  <c r="E56" i="25" s="1"/>
  <c r="AC55" i="25"/>
  <c r="AF55" i="25"/>
  <c r="J55" i="25"/>
  <c r="K55" i="25" s="1"/>
  <c r="L55" i="25" s="1"/>
  <c r="AR55" i="25"/>
  <c r="G56" i="25" s="1"/>
  <c r="U55" i="25"/>
  <c r="R55" i="25"/>
  <c r="Y62" i="1"/>
  <c r="AT55" i="25"/>
  <c r="AU55" i="25" s="1"/>
  <c r="P55" i="25"/>
  <c r="AP54" i="29"/>
  <c r="I56" i="29"/>
  <c r="J56" i="29" s="1"/>
  <c r="K56" i="29" s="1"/>
  <c r="L56" i="29" s="1"/>
  <c r="AD55" i="29"/>
  <c r="AA55" i="29"/>
  <c r="AB55" i="29" s="1"/>
  <c r="AC55" i="29" s="1"/>
  <c r="AI55" i="29"/>
  <c r="AM55" i="29"/>
  <c r="AJ55" i="29"/>
  <c r="AL55" i="29"/>
  <c r="Z46" i="26"/>
  <c r="AH46" i="26" s="1"/>
  <c r="AP53" i="21"/>
  <c r="S55" i="21"/>
  <c r="I55" i="21"/>
  <c r="J55" i="21" s="1"/>
  <c r="K55" i="21" s="1"/>
  <c r="L55" i="21" s="1"/>
  <c r="AD54" i="21"/>
  <c r="AA54" i="21"/>
  <c r="AB54" i="21" s="1"/>
  <c r="AC54" i="21" s="1"/>
  <c r="AM54" i="21"/>
  <c r="AI54" i="21"/>
  <c r="AL54" i="21"/>
  <c r="AJ54" i="21"/>
  <c r="S46" i="23"/>
  <c r="I46" i="23"/>
  <c r="J46" i="23" s="1"/>
  <c r="K46" i="23" s="1"/>
  <c r="L46" i="23" s="1"/>
  <c r="C27" i="14"/>
  <c r="J64" i="1"/>
  <c r="K64" i="1" s="1"/>
  <c r="L64" i="1" s="1"/>
  <c r="V64" i="1"/>
  <c r="S64" i="1"/>
  <c r="P52" i="7"/>
  <c r="D15" i="14"/>
  <c r="X63" i="1"/>
  <c r="W63" i="1"/>
  <c r="R64" i="1"/>
  <c r="Y51" i="7"/>
  <c r="J52" i="7"/>
  <c r="K52" i="7" s="1"/>
  <c r="L52" i="7" s="1"/>
  <c r="R52" i="7"/>
  <c r="S52" i="7"/>
  <c r="V52" i="7"/>
  <c r="U52" i="7"/>
  <c r="P64" i="1"/>
  <c r="U64" i="1"/>
  <c r="B53" i="7"/>
  <c r="AB53" i="7" s="1"/>
  <c r="B52" i="4" l="1"/>
  <c r="AM52" i="4" s="1"/>
  <c r="Y51" i="4"/>
  <c r="E50" i="22"/>
  <c r="V50" i="22" s="1"/>
  <c r="BG50" i="22" s="1"/>
  <c r="E51" i="22" s="1"/>
  <c r="D50" i="22"/>
  <c r="U50" i="22" s="1"/>
  <c r="BF50" i="22" s="1"/>
  <c r="D51" i="22" s="1"/>
  <c r="AP53" i="24"/>
  <c r="AO53" i="24"/>
  <c r="Y55" i="24"/>
  <c r="AZ55" i="24" s="1"/>
  <c r="H56" i="24" s="1"/>
  <c r="AV55" i="24"/>
  <c r="D56" i="24" s="1"/>
  <c r="AW55" i="24"/>
  <c r="E56" i="24" s="1"/>
  <c r="AT55" i="24"/>
  <c r="B56" i="24" s="1"/>
  <c r="AY54" i="24"/>
  <c r="G55" i="24" s="1"/>
  <c r="X55" i="24" s="1"/>
  <c r="Z54" i="24"/>
  <c r="AJ54" i="24" s="1"/>
  <c r="BI50" i="22"/>
  <c r="AI52" i="7"/>
  <c r="AJ52" i="7" s="1"/>
  <c r="BD49" i="22"/>
  <c r="B50" i="22" s="1"/>
  <c r="Z49" i="22"/>
  <c r="I56" i="25"/>
  <c r="U56" i="25" s="1"/>
  <c r="X55" i="25"/>
  <c r="W55" i="25"/>
  <c r="AN55" i="29"/>
  <c r="AO55" i="29"/>
  <c r="Z56" i="29"/>
  <c r="AG56" i="29" s="1"/>
  <c r="B57" i="29"/>
  <c r="S57" i="29" s="1"/>
  <c r="BA46" i="26"/>
  <c r="AA46" i="26"/>
  <c r="AB46" i="26" s="1"/>
  <c r="AC46" i="26" s="1"/>
  <c r="BK46" i="26"/>
  <c r="AD46" i="26"/>
  <c r="AI46" i="26"/>
  <c r="AZ46" i="26"/>
  <c r="AX46" i="26"/>
  <c r="AU46" i="26"/>
  <c r="AN46" i="26"/>
  <c r="AL46" i="26"/>
  <c r="AT46" i="26"/>
  <c r="S56" i="25"/>
  <c r="R56" i="25"/>
  <c r="AT56" i="25"/>
  <c r="AU56" i="25" s="1"/>
  <c r="AO56" i="25"/>
  <c r="D57" i="25" s="1"/>
  <c r="AS56" i="25"/>
  <c r="H57" i="25" s="1"/>
  <c r="AM56" i="25"/>
  <c r="B57" i="25" s="1"/>
  <c r="J56" i="25"/>
  <c r="K56" i="25" s="1"/>
  <c r="L56" i="25" s="1"/>
  <c r="AR56" i="25"/>
  <c r="G57" i="25" s="1"/>
  <c r="AP56" i="25"/>
  <c r="E57" i="25" s="1"/>
  <c r="AJ56" i="25"/>
  <c r="AH56" i="25"/>
  <c r="AF56" i="25"/>
  <c r="P56" i="25"/>
  <c r="V56" i="25"/>
  <c r="AE56" i="25"/>
  <c r="AC56" i="25"/>
  <c r="AI56" i="25"/>
  <c r="AN54" i="21"/>
  <c r="AO54" i="21"/>
  <c r="Z46" i="23"/>
  <c r="AT46" i="23" s="1"/>
  <c r="Z55" i="21"/>
  <c r="AG55" i="21" s="1"/>
  <c r="B56" i="21"/>
  <c r="I73" i="1"/>
  <c r="Y63" i="1"/>
  <c r="X64" i="1"/>
  <c r="W64" i="1"/>
  <c r="X52" i="7"/>
  <c r="W52" i="7"/>
  <c r="I53" i="7"/>
  <c r="I52" i="4" l="1"/>
  <c r="P52" i="4" s="1"/>
  <c r="AF52" i="4"/>
  <c r="V52" i="4"/>
  <c r="R52" i="4"/>
  <c r="AI52" i="4"/>
  <c r="AH52" i="4"/>
  <c r="AQ53" i="24"/>
  <c r="BB54" i="24"/>
  <c r="BT54" i="24"/>
  <c r="Y56" i="24"/>
  <c r="U56" i="24"/>
  <c r="V56" i="24"/>
  <c r="S56" i="24"/>
  <c r="I55" i="24"/>
  <c r="J55" i="24" s="1"/>
  <c r="K55" i="24" s="1"/>
  <c r="L55" i="24" s="1"/>
  <c r="AD54" i="24"/>
  <c r="AA54" i="24"/>
  <c r="AB54" i="24" s="1"/>
  <c r="AC54" i="24" s="1"/>
  <c r="AK54" i="24"/>
  <c r="BO54" i="24"/>
  <c r="AN54" i="24"/>
  <c r="BQ54" i="24"/>
  <c r="BA54" i="24"/>
  <c r="BU54" i="24"/>
  <c r="AH54" i="24"/>
  <c r="BR54" i="24"/>
  <c r="BV54" i="24"/>
  <c r="AM54" i="24"/>
  <c r="AH49" i="22"/>
  <c r="AM49" i="22"/>
  <c r="AJ49" i="22"/>
  <c r="AK49" i="22"/>
  <c r="AT49" i="22"/>
  <c r="BL49" i="22"/>
  <c r="G54" i="7"/>
  <c r="AG54" i="7" s="1"/>
  <c r="D54" i="7"/>
  <c r="AD54" i="7" s="1"/>
  <c r="Y55" i="25"/>
  <c r="BK49" i="22"/>
  <c r="AY49" i="22"/>
  <c r="AD49" i="22"/>
  <c r="AI49" i="22"/>
  <c r="AN49" i="22"/>
  <c r="BA49" i="22"/>
  <c r="AA49" i="22"/>
  <c r="AB49" i="22" s="1"/>
  <c r="AC49" i="22" s="1"/>
  <c r="AZ49" i="22"/>
  <c r="S50" i="22"/>
  <c r="BD50" i="22" s="1"/>
  <c r="I50" i="22"/>
  <c r="J50" i="22" s="1"/>
  <c r="K50" i="22" s="1"/>
  <c r="L50" i="22" s="1"/>
  <c r="H54" i="7"/>
  <c r="AH54" i="7" s="1"/>
  <c r="B54" i="7"/>
  <c r="AB54" i="7" s="1"/>
  <c r="E54" i="7"/>
  <c r="AE54" i="7" s="1"/>
  <c r="AH46" i="23"/>
  <c r="AP55" i="29"/>
  <c r="I57" i="29"/>
  <c r="J57" i="29" s="1"/>
  <c r="K57" i="29" s="1"/>
  <c r="L57" i="29" s="1"/>
  <c r="AD56" i="29"/>
  <c r="AA56" i="29"/>
  <c r="AB56" i="29" s="1"/>
  <c r="AC56" i="29" s="1"/>
  <c r="AJ56" i="29"/>
  <c r="AI56" i="29"/>
  <c r="AL56" i="29"/>
  <c r="AM56" i="29"/>
  <c r="AO46" i="26"/>
  <c r="BH46" i="26"/>
  <c r="F47" i="26" s="1"/>
  <c r="BE46" i="26"/>
  <c r="C47" i="26" s="1"/>
  <c r="BD46" i="26"/>
  <c r="BJ46" i="26"/>
  <c r="H47" i="26" s="1"/>
  <c r="Y47" i="26" s="1"/>
  <c r="AP46" i="26"/>
  <c r="I57" i="25"/>
  <c r="AI57" i="25" s="1"/>
  <c r="W56" i="25"/>
  <c r="X56" i="25"/>
  <c r="AP54" i="21"/>
  <c r="S56" i="21"/>
  <c r="I56" i="21"/>
  <c r="J56" i="21" s="1"/>
  <c r="K56" i="21" s="1"/>
  <c r="L56" i="21" s="1"/>
  <c r="AD55" i="21"/>
  <c r="AA55" i="21"/>
  <c r="AB55" i="21" s="1"/>
  <c r="AC55" i="21" s="1"/>
  <c r="AM55" i="21"/>
  <c r="AL55" i="21"/>
  <c r="AI55" i="21"/>
  <c r="AJ55" i="21"/>
  <c r="Z55" i="24"/>
  <c r="AA46" i="23"/>
  <c r="AB46" i="23" s="1"/>
  <c r="AC46" i="23" s="1"/>
  <c r="BA46" i="23"/>
  <c r="AD46" i="23"/>
  <c r="BK46" i="23"/>
  <c r="AI46" i="23"/>
  <c r="AU46" i="23"/>
  <c r="AX46" i="23"/>
  <c r="AZ46" i="23"/>
  <c r="AN46" i="23"/>
  <c r="I72" i="1"/>
  <c r="C14" i="8"/>
  <c r="I67" i="1"/>
  <c r="C8" i="8" s="1"/>
  <c r="I66" i="1"/>
  <c r="I68" i="1" s="1"/>
  <c r="C6" i="8"/>
  <c r="Y52" i="7"/>
  <c r="P53" i="7"/>
  <c r="D16" i="14"/>
  <c r="Y64" i="1"/>
  <c r="J53" i="7"/>
  <c r="K53" i="7" s="1"/>
  <c r="L53" i="7" s="1"/>
  <c r="S53" i="7"/>
  <c r="R53" i="7"/>
  <c r="U53" i="7"/>
  <c r="V53" i="7"/>
  <c r="J52" i="4" l="1"/>
  <c r="K52" i="4" s="1"/>
  <c r="L52" i="4" s="1"/>
  <c r="AJ52" i="4"/>
  <c r="U52" i="4"/>
  <c r="AT52" i="4"/>
  <c r="AC52" i="4"/>
  <c r="B15" i="14"/>
  <c r="S52" i="4"/>
  <c r="W52" i="4" s="1"/>
  <c r="AE52" i="4"/>
  <c r="BI46" i="23"/>
  <c r="G47" i="23" s="1"/>
  <c r="B53" i="4"/>
  <c r="AU52" i="4"/>
  <c r="G53" i="4"/>
  <c r="E53" i="4"/>
  <c r="D53" i="4"/>
  <c r="H53" i="4"/>
  <c r="AY55" i="24"/>
  <c r="G56" i="24" s="1"/>
  <c r="AP54" i="24"/>
  <c r="AO54" i="24"/>
  <c r="E57" i="24"/>
  <c r="AO49" i="22"/>
  <c r="AP49" i="22"/>
  <c r="Z50" i="22"/>
  <c r="AI53" i="7"/>
  <c r="AJ53" i="7" s="1"/>
  <c r="D57" i="24"/>
  <c r="AN55" i="24"/>
  <c r="AP46" i="23"/>
  <c r="AQ46" i="26"/>
  <c r="AO56" i="29"/>
  <c r="Z57" i="29"/>
  <c r="AG57" i="29" s="1"/>
  <c r="B58" i="29"/>
  <c r="S58" i="29" s="1"/>
  <c r="AN56" i="29"/>
  <c r="B47" i="26"/>
  <c r="S47" i="26" s="1"/>
  <c r="BL46" i="26"/>
  <c r="R57" i="25"/>
  <c r="AT57" i="25"/>
  <c r="AU57" i="25" s="1"/>
  <c r="AS57" i="25"/>
  <c r="H58" i="25" s="1"/>
  <c r="AR57" i="25"/>
  <c r="G58" i="25" s="1"/>
  <c r="AP57" i="25"/>
  <c r="E58" i="25" s="1"/>
  <c r="AJ57" i="25"/>
  <c r="AO57" i="25"/>
  <c r="D58" i="25" s="1"/>
  <c r="AM57" i="25"/>
  <c r="B58" i="25" s="1"/>
  <c r="J57" i="25"/>
  <c r="K57" i="25" s="1"/>
  <c r="L57" i="25" s="1"/>
  <c r="AE57" i="25"/>
  <c r="V57" i="25"/>
  <c r="Y56" i="25"/>
  <c r="AH57" i="25"/>
  <c r="S57" i="25"/>
  <c r="P57" i="25"/>
  <c r="U57" i="25"/>
  <c r="AF57" i="25"/>
  <c r="AC57" i="25"/>
  <c r="AO55" i="21"/>
  <c r="BE46" i="23"/>
  <c r="BD46" i="23"/>
  <c r="BJ46" i="23"/>
  <c r="H47" i="23" s="1"/>
  <c r="BT55" i="24"/>
  <c r="BR55" i="24"/>
  <c r="AM55" i="24"/>
  <c r="AA55" i="24"/>
  <c r="AB55" i="24" s="1"/>
  <c r="AC55" i="24" s="1"/>
  <c r="BA55" i="24"/>
  <c r="AJ55" i="24"/>
  <c r="AH55" i="24"/>
  <c r="BV55" i="24"/>
  <c r="AK55" i="24"/>
  <c r="AD55" i="24"/>
  <c r="BQ55" i="24"/>
  <c r="BO55" i="24"/>
  <c r="BU55" i="24"/>
  <c r="Z56" i="21"/>
  <c r="B57" i="21"/>
  <c r="AO46" i="23"/>
  <c r="AN55" i="21"/>
  <c r="C9" i="8"/>
  <c r="C7" i="8"/>
  <c r="X53" i="7"/>
  <c r="W53" i="7"/>
  <c r="I54" i="7"/>
  <c r="X52" i="4" l="1"/>
  <c r="Y52" i="4"/>
  <c r="E47" i="23"/>
  <c r="V47" i="23" s="1"/>
  <c r="D47" i="23"/>
  <c r="U47" i="23" s="1"/>
  <c r="AQ46" i="23"/>
  <c r="AO53" i="4"/>
  <c r="D54" i="4" s="1"/>
  <c r="AM53" i="4"/>
  <c r="B54" i="4" s="1"/>
  <c r="I53" i="4"/>
  <c r="R53" i="4" s="1"/>
  <c r="AS53" i="4"/>
  <c r="H54" i="4" s="1"/>
  <c r="AP53" i="4"/>
  <c r="E54" i="4" s="1"/>
  <c r="AR53" i="4"/>
  <c r="G54" i="4" s="1"/>
  <c r="AQ54" i="24"/>
  <c r="U57" i="24"/>
  <c r="V57" i="24"/>
  <c r="X56" i="24"/>
  <c r="G57" i="24" s="1"/>
  <c r="AM50" i="22"/>
  <c r="AK50" i="22"/>
  <c r="AJ50" i="22"/>
  <c r="AQ49" i="22"/>
  <c r="AH50" i="22"/>
  <c r="AT50" i="22"/>
  <c r="BA50" i="22"/>
  <c r="AD50" i="22"/>
  <c r="AI50" i="22"/>
  <c r="AN50" i="22"/>
  <c r="AZ50" i="22"/>
  <c r="BK50" i="22"/>
  <c r="AY50" i="22"/>
  <c r="AA50" i="22"/>
  <c r="AB50" i="22" s="1"/>
  <c r="AC50" i="22" s="1"/>
  <c r="D17" i="14"/>
  <c r="B55" i="7"/>
  <c r="AB55" i="7" s="1"/>
  <c r="E55" i="7"/>
  <c r="AE55" i="7" s="1"/>
  <c r="G55" i="7"/>
  <c r="AG55" i="7" s="1"/>
  <c r="D55" i="7"/>
  <c r="AD55" i="7" s="1"/>
  <c r="AP55" i="21"/>
  <c r="AP56" i="29"/>
  <c r="I58" i="29"/>
  <c r="J58" i="29" s="1"/>
  <c r="K58" i="29" s="1"/>
  <c r="L58" i="29" s="1"/>
  <c r="AD57" i="29"/>
  <c r="AA57" i="29"/>
  <c r="AB57" i="29" s="1"/>
  <c r="AC57" i="29" s="1"/>
  <c r="AJ57" i="29"/>
  <c r="AL57" i="29"/>
  <c r="AI57" i="29"/>
  <c r="AM57" i="29"/>
  <c r="I47" i="26"/>
  <c r="J47" i="26" s="1"/>
  <c r="K47" i="26" s="1"/>
  <c r="L47" i="26" s="1"/>
  <c r="I58" i="25"/>
  <c r="AC58" i="25" s="1"/>
  <c r="X57" i="25"/>
  <c r="W57" i="25"/>
  <c r="BB55" i="24"/>
  <c r="S57" i="21"/>
  <c r="I57" i="21"/>
  <c r="J57" i="21" s="1"/>
  <c r="K57" i="21" s="1"/>
  <c r="L57" i="21" s="1"/>
  <c r="AD56" i="21"/>
  <c r="AA56" i="21"/>
  <c r="AB56" i="21" s="1"/>
  <c r="AC56" i="21" s="1"/>
  <c r="AI56" i="21"/>
  <c r="AM56" i="21"/>
  <c r="AJ56" i="21"/>
  <c r="AL56" i="21"/>
  <c r="AG56" i="21"/>
  <c r="B57" i="24"/>
  <c r="I56" i="24"/>
  <c r="J56" i="24" s="1"/>
  <c r="K56" i="24" s="1"/>
  <c r="L56" i="24" s="1"/>
  <c r="B47" i="23"/>
  <c r="BL46" i="23"/>
  <c r="AP55" i="24"/>
  <c r="AO55" i="24"/>
  <c r="Y53" i="7"/>
  <c r="P54" i="7"/>
  <c r="J54" i="7"/>
  <c r="K54" i="7" s="1"/>
  <c r="L54" i="7" s="1"/>
  <c r="R54" i="7"/>
  <c r="S54" i="7"/>
  <c r="V54" i="7"/>
  <c r="U54" i="7"/>
  <c r="AH53" i="4" l="1"/>
  <c r="AE53" i="4"/>
  <c r="AI53" i="4"/>
  <c r="AF53" i="4"/>
  <c r="P53" i="4"/>
  <c r="I54" i="4"/>
  <c r="P54" i="4" s="1"/>
  <c r="U53" i="4"/>
  <c r="V53" i="4"/>
  <c r="AC53" i="4"/>
  <c r="S53" i="4"/>
  <c r="AT53" i="4"/>
  <c r="AU53" i="4" s="1"/>
  <c r="J53" i="4"/>
  <c r="K53" i="4" s="1"/>
  <c r="L53" i="4" s="1"/>
  <c r="AJ53" i="4"/>
  <c r="B16" i="14"/>
  <c r="X57" i="24"/>
  <c r="S57" i="24"/>
  <c r="AP50" i="22"/>
  <c r="U51" i="22"/>
  <c r="H51" i="22"/>
  <c r="Y51" i="22" s="1"/>
  <c r="G51" i="22"/>
  <c r="X51" i="22" s="1"/>
  <c r="V51" i="22"/>
  <c r="AO50" i="22"/>
  <c r="AQ55" i="24"/>
  <c r="AO57" i="29"/>
  <c r="Z58" i="29"/>
  <c r="AG58" i="29" s="1"/>
  <c r="B59" i="29"/>
  <c r="S59" i="29" s="1"/>
  <c r="AN57" i="29"/>
  <c r="Z47" i="26"/>
  <c r="V58" i="25"/>
  <c r="AI58" i="25"/>
  <c r="AH58" i="25"/>
  <c r="R58" i="25"/>
  <c r="AR58" i="25"/>
  <c r="G59" i="25" s="1"/>
  <c r="AP58" i="25"/>
  <c r="E59" i="25" s="1"/>
  <c r="AJ58" i="25"/>
  <c r="AO58" i="25"/>
  <c r="D59" i="25" s="1"/>
  <c r="AM58" i="25"/>
  <c r="B59" i="25" s="1"/>
  <c r="J58" i="25"/>
  <c r="K58" i="25" s="1"/>
  <c r="L58" i="25" s="1"/>
  <c r="AS58" i="25"/>
  <c r="H59" i="25" s="1"/>
  <c r="AT58" i="25"/>
  <c r="AU58" i="25" s="1"/>
  <c r="AE58" i="25"/>
  <c r="U58" i="25"/>
  <c r="S58" i="25"/>
  <c r="Y57" i="25"/>
  <c r="P58" i="25"/>
  <c r="AF58" i="25"/>
  <c r="I47" i="23"/>
  <c r="J47" i="23" s="1"/>
  <c r="K47" i="23" s="1"/>
  <c r="L47" i="23" s="1"/>
  <c r="Z56" i="24"/>
  <c r="AN56" i="21"/>
  <c r="AO56" i="21"/>
  <c r="Z57" i="21"/>
  <c r="AG57" i="21" s="1"/>
  <c r="B58" i="21"/>
  <c r="W54" i="7"/>
  <c r="X54" i="7"/>
  <c r="AI54" i="7"/>
  <c r="AJ54" i="7" s="1"/>
  <c r="H55" i="7"/>
  <c r="AH55" i="7" s="1"/>
  <c r="AI54" i="4" l="1"/>
  <c r="AH56" i="24"/>
  <c r="AZ56" i="24"/>
  <c r="H57" i="24" s="1"/>
  <c r="Y57" i="24" s="1"/>
  <c r="W53" i="4"/>
  <c r="V54" i="4"/>
  <c r="X53" i="4"/>
  <c r="S54" i="4"/>
  <c r="R54" i="4"/>
  <c r="AT54" i="4"/>
  <c r="AF54" i="4"/>
  <c r="AE54" i="4"/>
  <c r="B17" i="14"/>
  <c r="AH54" i="4"/>
  <c r="AC54" i="4"/>
  <c r="J54" i="4"/>
  <c r="K54" i="4" s="1"/>
  <c r="L54" i="4" s="1"/>
  <c r="U54" i="4"/>
  <c r="AJ54" i="4"/>
  <c r="AQ50" i="22"/>
  <c r="B51" i="22"/>
  <c r="BL50" i="22"/>
  <c r="AP57" i="29"/>
  <c r="I59" i="29"/>
  <c r="J59" i="29" s="1"/>
  <c r="K59" i="29" s="1"/>
  <c r="L59" i="29" s="1"/>
  <c r="AD58" i="29"/>
  <c r="AA58" i="29"/>
  <c r="AB58" i="29" s="1"/>
  <c r="AC58" i="29" s="1"/>
  <c r="AI58" i="29"/>
  <c r="AM58" i="29"/>
  <c r="AL58" i="29"/>
  <c r="AJ58" i="29"/>
  <c r="BK47" i="26"/>
  <c r="AD47" i="26"/>
  <c r="BA47" i="26"/>
  <c r="AA47" i="26"/>
  <c r="AB47" i="26" s="1"/>
  <c r="AC47" i="26" s="1"/>
  <c r="AZ47" i="26"/>
  <c r="AU47" i="26"/>
  <c r="AN47" i="26"/>
  <c r="AI47" i="26"/>
  <c r="AX47" i="26"/>
  <c r="AL47" i="26"/>
  <c r="AH47" i="26"/>
  <c r="AT47" i="26"/>
  <c r="X58" i="25"/>
  <c r="W58" i="25"/>
  <c r="I59" i="25"/>
  <c r="P59" i="25" s="1"/>
  <c r="BA56" i="24"/>
  <c r="BV56" i="24"/>
  <c r="BB56" i="24"/>
  <c r="AA56" i="24"/>
  <c r="AB56" i="24" s="1"/>
  <c r="AC56" i="24" s="1"/>
  <c r="AD56" i="24"/>
  <c r="BQ56" i="24"/>
  <c r="AM56" i="24"/>
  <c r="AJ56" i="24"/>
  <c r="AK56" i="24"/>
  <c r="BR56" i="24"/>
  <c r="BU56" i="24"/>
  <c r="AN56" i="24"/>
  <c r="BT56" i="24"/>
  <c r="I58" i="21"/>
  <c r="J58" i="21" s="1"/>
  <c r="K58" i="21" s="1"/>
  <c r="L58" i="21" s="1"/>
  <c r="S58" i="21"/>
  <c r="I57" i="24"/>
  <c r="J57" i="24" s="1"/>
  <c r="K57" i="24" s="1"/>
  <c r="L57" i="24" s="1"/>
  <c r="AD57" i="21"/>
  <c r="AA57" i="21"/>
  <c r="AB57" i="21" s="1"/>
  <c r="AC57" i="21" s="1"/>
  <c r="AM57" i="21"/>
  <c r="AI57" i="21"/>
  <c r="AJ57" i="21"/>
  <c r="AL57" i="21"/>
  <c r="BO56" i="24"/>
  <c r="AP56" i="21"/>
  <c r="Z47" i="23"/>
  <c r="AH47" i="23" s="1"/>
  <c r="Y54" i="7"/>
  <c r="I55" i="7"/>
  <c r="AU54" i="4" l="1"/>
  <c r="AO54" i="4"/>
  <c r="D55" i="4" s="1"/>
  <c r="AO55" i="4" s="1"/>
  <c r="AR54" i="4"/>
  <c r="G55" i="4" s="1"/>
  <c r="AR55" i="4" s="1"/>
  <c r="AP54" i="4"/>
  <c r="E55" i="4" s="1"/>
  <c r="AP55" i="4" s="1"/>
  <c r="AS54" i="4"/>
  <c r="H55" i="4" s="1"/>
  <c r="AM54" i="4"/>
  <c r="Y53" i="4"/>
  <c r="W54" i="4"/>
  <c r="X54" i="4"/>
  <c r="I51" i="22"/>
  <c r="J51" i="22" s="1"/>
  <c r="K51" i="22" s="1"/>
  <c r="L51" i="22" s="1"/>
  <c r="S51" i="22"/>
  <c r="AO57" i="21"/>
  <c r="AP56" i="24"/>
  <c r="AO58" i="29"/>
  <c r="Z59" i="29"/>
  <c r="AG59" i="29" s="1"/>
  <c r="B60" i="29"/>
  <c r="S60" i="29" s="1"/>
  <c r="AN58" i="29"/>
  <c r="BD47" i="26"/>
  <c r="BJ47" i="26"/>
  <c r="H48" i="26" s="1"/>
  <c r="Y48" i="26" s="1"/>
  <c r="BH47" i="26"/>
  <c r="F48" i="26" s="1"/>
  <c r="BE47" i="26"/>
  <c r="C48" i="26" s="1"/>
  <c r="AP47" i="26"/>
  <c r="AO47" i="26"/>
  <c r="AF59" i="25"/>
  <c r="Y58" i="25"/>
  <c r="AI59" i="25"/>
  <c r="U59" i="25"/>
  <c r="AS59" i="25"/>
  <c r="H60" i="25" s="1"/>
  <c r="AM59" i="25"/>
  <c r="B60" i="25" s="1"/>
  <c r="AR59" i="25"/>
  <c r="G60" i="25" s="1"/>
  <c r="J59" i="25"/>
  <c r="K59" i="25" s="1"/>
  <c r="L59" i="25" s="1"/>
  <c r="AJ59" i="25"/>
  <c r="AT59" i="25"/>
  <c r="AU59" i="25" s="1"/>
  <c r="AO59" i="25"/>
  <c r="D60" i="25" s="1"/>
  <c r="AP59" i="25"/>
  <c r="E60" i="25" s="1"/>
  <c r="V59" i="25"/>
  <c r="AH59" i="25"/>
  <c r="R59" i="25"/>
  <c r="S59" i="25"/>
  <c r="AE59" i="25"/>
  <c r="AC59" i="25"/>
  <c r="AO56" i="24"/>
  <c r="Z57" i="24"/>
  <c r="AN57" i="21"/>
  <c r="Z58" i="21"/>
  <c r="AG58" i="21" s="1"/>
  <c r="B59" i="21"/>
  <c r="BK47" i="23"/>
  <c r="BA47" i="23"/>
  <c r="AD47" i="23"/>
  <c r="AA47" i="23"/>
  <c r="AB47" i="23" s="1"/>
  <c r="AC47" i="23" s="1"/>
  <c r="AZ47" i="23"/>
  <c r="AU47" i="23"/>
  <c r="AX47" i="23"/>
  <c r="AN47" i="23"/>
  <c r="AT47" i="23"/>
  <c r="V55" i="7"/>
  <c r="D18" i="14"/>
  <c r="D56" i="7"/>
  <c r="E56" i="7"/>
  <c r="G56" i="7"/>
  <c r="H56" i="7"/>
  <c r="U55" i="7"/>
  <c r="J55" i="7"/>
  <c r="K55" i="7" s="1"/>
  <c r="L55" i="7" s="1"/>
  <c r="R55" i="7"/>
  <c r="S55" i="7"/>
  <c r="P55" i="7"/>
  <c r="B55" i="4" l="1"/>
  <c r="AM55" i="4" s="1"/>
  <c r="B56" i="4" s="1"/>
  <c r="I55" i="4"/>
  <c r="R55" i="4" s="1"/>
  <c r="AS55" i="4"/>
  <c r="H56" i="4" s="1"/>
  <c r="AV57" i="24"/>
  <c r="D58" i="24" s="1"/>
  <c r="U58" i="24" s="1"/>
  <c r="AV58" i="24" s="1"/>
  <c r="AZ57" i="24"/>
  <c r="H58" i="24" s="1"/>
  <c r="AT57" i="24"/>
  <c r="B58" i="24" s="1"/>
  <c r="S58" i="24" s="1"/>
  <c r="AT58" i="24" s="1"/>
  <c r="AY57" i="24"/>
  <c r="G58" i="24" s="1"/>
  <c r="X58" i="24" s="1"/>
  <c r="AY58" i="24" s="1"/>
  <c r="AW57" i="24"/>
  <c r="E58" i="24" s="1"/>
  <c r="V58" i="24" s="1"/>
  <c r="AW58" i="24" s="1"/>
  <c r="BI47" i="23"/>
  <c r="G48" i="23" s="1"/>
  <c r="X48" i="23" s="1"/>
  <c r="BF47" i="23"/>
  <c r="D48" i="23" s="1"/>
  <c r="U48" i="23" s="1"/>
  <c r="BG47" i="23"/>
  <c r="E48" i="23" s="1"/>
  <c r="V48" i="23" s="1"/>
  <c r="Y54" i="4"/>
  <c r="E56" i="4"/>
  <c r="D56" i="4"/>
  <c r="G56" i="4"/>
  <c r="BO57" i="24"/>
  <c r="Z51" i="22"/>
  <c r="AQ56" i="24"/>
  <c r="AP57" i="21"/>
  <c r="AH57" i="24"/>
  <c r="AP58" i="29"/>
  <c r="I60" i="29"/>
  <c r="J60" i="29" s="1"/>
  <c r="AD59" i="29"/>
  <c r="AA59" i="29"/>
  <c r="AB59" i="29" s="1"/>
  <c r="AC59" i="29" s="1"/>
  <c r="AM59" i="29"/>
  <c r="AI59" i="29"/>
  <c r="AJ59" i="29"/>
  <c r="AL59" i="29"/>
  <c r="AQ47" i="26"/>
  <c r="B48" i="26"/>
  <c r="S48" i="26" s="1"/>
  <c r="BL47" i="26"/>
  <c r="W59" i="25"/>
  <c r="I60" i="25"/>
  <c r="AI60" i="25" s="1"/>
  <c r="X59" i="25"/>
  <c r="AA59" i="25"/>
  <c r="AO47" i="23"/>
  <c r="BV57" i="24"/>
  <c r="BA57" i="24"/>
  <c r="AD57" i="24"/>
  <c r="AA57" i="24"/>
  <c r="AB57" i="24" s="1"/>
  <c r="AC57" i="24" s="1"/>
  <c r="AJ57" i="24"/>
  <c r="BU57" i="24"/>
  <c r="BQ57" i="24"/>
  <c r="AN57" i="24"/>
  <c r="AM57" i="24"/>
  <c r="BR57" i="24"/>
  <c r="AK57" i="24"/>
  <c r="BT57" i="24"/>
  <c r="BJ47" i="23"/>
  <c r="H48" i="23" s="1"/>
  <c r="Y48" i="23" s="1"/>
  <c r="BD47" i="23"/>
  <c r="I59" i="21"/>
  <c r="J59" i="21" s="1"/>
  <c r="K59" i="21" s="1"/>
  <c r="L59" i="21" s="1"/>
  <c r="S59" i="21"/>
  <c r="AA58" i="21"/>
  <c r="AB58" i="21" s="1"/>
  <c r="AC58" i="21" s="1"/>
  <c r="AD58" i="21"/>
  <c r="AJ58" i="21"/>
  <c r="AM58" i="21"/>
  <c r="AI58" i="21"/>
  <c r="AL58" i="21"/>
  <c r="AP47" i="23"/>
  <c r="X55" i="7"/>
  <c r="W55" i="7"/>
  <c r="D57" i="7"/>
  <c r="B56" i="7"/>
  <c r="AI55" i="7"/>
  <c r="AJ55" i="7" s="1"/>
  <c r="G57" i="7"/>
  <c r="E57" i="7"/>
  <c r="AI55" i="4" l="1"/>
  <c r="S55" i="4"/>
  <c r="AC55" i="4"/>
  <c r="AJ55" i="4"/>
  <c r="B18" i="14"/>
  <c r="AT55" i="4"/>
  <c r="AU55" i="4" s="1"/>
  <c r="AE55" i="4"/>
  <c r="P55" i="4"/>
  <c r="V55" i="4"/>
  <c r="AF55" i="4"/>
  <c r="AH55" i="4"/>
  <c r="J55" i="4"/>
  <c r="K55" i="4" s="1"/>
  <c r="L55" i="4" s="1"/>
  <c r="U55" i="4"/>
  <c r="I56" i="4"/>
  <c r="AI56" i="4" s="1"/>
  <c r="Y58" i="24"/>
  <c r="AZ58" i="24" s="1"/>
  <c r="BB57" i="24"/>
  <c r="I58" i="24"/>
  <c r="J58" i="24" s="1"/>
  <c r="K58" i="24" s="1"/>
  <c r="L58" i="24" s="1"/>
  <c r="AH51" i="22"/>
  <c r="AJ51" i="22"/>
  <c r="AK51" i="22"/>
  <c r="AT51" i="22"/>
  <c r="AD51" i="22"/>
  <c r="BA51" i="22"/>
  <c r="AA51" i="22"/>
  <c r="AB51" i="22" s="1"/>
  <c r="AC51" i="22" s="1"/>
  <c r="BK51" i="22"/>
  <c r="AY51" i="22"/>
  <c r="AW51" i="22"/>
  <c r="AV51" i="22"/>
  <c r="AM51" i="22"/>
  <c r="AN51" i="22"/>
  <c r="AZ51" i="22"/>
  <c r="AP57" i="24"/>
  <c r="AO58" i="21"/>
  <c r="AO59" i="29"/>
  <c r="AN59" i="29"/>
  <c r="Z60" i="29"/>
  <c r="AG60" i="29" s="1"/>
  <c r="B61" i="29"/>
  <c r="S61" i="29" s="1"/>
  <c r="I69" i="29"/>
  <c r="K60" i="29"/>
  <c r="I48" i="26"/>
  <c r="J48" i="26" s="1"/>
  <c r="K48" i="26" s="1"/>
  <c r="L48" i="26" s="1"/>
  <c r="Y59" i="25"/>
  <c r="P60" i="25"/>
  <c r="AF60" i="25"/>
  <c r="AH60" i="25"/>
  <c r="V60" i="25"/>
  <c r="U60" i="25"/>
  <c r="R60" i="25"/>
  <c r="AE60" i="25"/>
  <c r="AC60" i="25"/>
  <c r="S60" i="25"/>
  <c r="AS60" i="25"/>
  <c r="H61" i="25" s="1"/>
  <c r="AM60" i="25"/>
  <c r="B61" i="25" s="1"/>
  <c r="AP60" i="25"/>
  <c r="E61" i="25" s="1"/>
  <c r="AO60" i="25"/>
  <c r="D61" i="25" s="1"/>
  <c r="J60" i="25"/>
  <c r="AJ60" i="25"/>
  <c r="AR60" i="25"/>
  <c r="G61" i="25" s="1"/>
  <c r="AT60" i="25"/>
  <c r="AU60" i="25" s="1"/>
  <c r="AQ47" i="23"/>
  <c r="AO57" i="24"/>
  <c r="AN58" i="21"/>
  <c r="Z59" i="21"/>
  <c r="AG59" i="21" s="1"/>
  <c r="B60" i="21"/>
  <c r="B48" i="23"/>
  <c r="S48" i="23" s="1"/>
  <c r="BL47" i="23"/>
  <c r="Y55" i="7"/>
  <c r="I56" i="7"/>
  <c r="AH56" i="7" s="1"/>
  <c r="H57" i="7" s="1"/>
  <c r="W55" i="4" l="1"/>
  <c r="X55" i="4"/>
  <c r="AP58" i="21"/>
  <c r="BI51" i="22"/>
  <c r="G52" i="22" s="1"/>
  <c r="X52" i="22" s="1"/>
  <c r="BG51" i="22"/>
  <c r="E52" i="22" s="1"/>
  <c r="V52" i="22" s="1"/>
  <c r="BJ51" i="22"/>
  <c r="H52" i="22" s="1"/>
  <c r="Y52" i="22" s="1"/>
  <c r="BF51" i="22"/>
  <c r="D52" i="22" s="1"/>
  <c r="U52" i="22" s="1"/>
  <c r="BD51" i="22"/>
  <c r="U56" i="4"/>
  <c r="AF56" i="4"/>
  <c r="J56" i="4"/>
  <c r="K56" i="4" s="1"/>
  <c r="L56" i="4" s="1"/>
  <c r="AJ56" i="4"/>
  <c r="P56" i="4"/>
  <c r="AH56" i="4"/>
  <c r="AC56" i="4"/>
  <c r="S56" i="4"/>
  <c r="B19" i="14"/>
  <c r="AT56" i="4"/>
  <c r="R56" i="4"/>
  <c r="V56" i="4"/>
  <c r="AE56" i="4"/>
  <c r="Z58" i="24"/>
  <c r="AO51" i="22"/>
  <c r="AP51" i="22"/>
  <c r="AQ57" i="24"/>
  <c r="AP59" i="29"/>
  <c r="I61" i="29"/>
  <c r="J61" i="29" s="1"/>
  <c r="K61" i="29" s="1"/>
  <c r="L61" i="29" s="1"/>
  <c r="I70" i="29"/>
  <c r="L60" i="29"/>
  <c r="AD60" i="29"/>
  <c r="AA60" i="29"/>
  <c r="AB60" i="29" s="1"/>
  <c r="AC60" i="29" s="1"/>
  <c r="AM60" i="29"/>
  <c r="AL60" i="29"/>
  <c r="AJ60" i="29"/>
  <c r="AI60" i="29"/>
  <c r="Z48" i="26"/>
  <c r="AT48" i="26" s="1"/>
  <c r="W60" i="25"/>
  <c r="X60" i="25"/>
  <c r="I61" i="25"/>
  <c r="AH61" i="25" s="1"/>
  <c r="I69" i="25"/>
  <c r="K60" i="25"/>
  <c r="I48" i="23"/>
  <c r="J48" i="23" s="1"/>
  <c r="K48" i="23" s="1"/>
  <c r="L48" i="23" s="1"/>
  <c r="S60" i="21"/>
  <c r="I60" i="21"/>
  <c r="J60" i="21" s="1"/>
  <c r="AD59" i="21"/>
  <c r="AA59" i="21"/>
  <c r="AB59" i="21" s="1"/>
  <c r="AC59" i="21" s="1"/>
  <c r="AJ59" i="21"/>
  <c r="AM59" i="21"/>
  <c r="AL59" i="21"/>
  <c r="AI59" i="21"/>
  <c r="P56" i="7"/>
  <c r="D19" i="14"/>
  <c r="B57" i="7"/>
  <c r="AI56" i="7"/>
  <c r="AJ56" i="7" s="1"/>
  <c r="J56" i="7"/>
  <c r="K56" i="7" s="1"/>
  <c r="L56" i="7" s="1"/>
  <c r="R56" i="7"/>
  <c r="U56" i="7"/>
  <c r="V56" i="7"/>
  <c r="S56" i="7"/>
  <c r="AU56" i="4" l="1"/>
  <c r="AO56" i="4"/>
  <c r="D57" i="4" s="1"/>
  <c r="AO57" i="4" s="1"/>
  <c r="AR56" i="4"/>
  <c r="G57" i="4" s="1"/>
  <c r="AR57" i="4" s="1"/>
  <c r="AS56" i="4"/>
  <c r="H57" i="4" s="1"/>
  <c r="AS57" i="4" s="1"/>
  <c r="AM56" i="4"/>
  <c r="AP56" i="4"/>
  <c r="E57" i="4" s="1"/>
  <c r="AP57" i="4" s="1"/>
  <c r="Y55" i="4"/>
  <c r="H59" i="24"/>
  <c r="Y59" i="24" s="1"/>
  <c r="AZ59" i="24" s="1"/>
  <c r="H60" i="24" s="1"/>
  <c r="B59" i="24"/>
  <c r="S59" i="24" s="1"/>
  <c r="AT59" i="24" s="1"/>
  <c r="G59" i="24"/>
  <c r="X59" i="24" s="1"/>
  <c r="AY59" i="24" s="1"/>
  <c r="G60" i="24" s="1"/>
  <c r="X56" i="4"/>
  <c r="W56" i="4"/>
  <c r="B52" i="22"/>
  <c r="BL51" i="22"/>
  <c r="BO58" i="24"/>
  <c r="AM58" i="24"/>
  <c r="AA58" i="24"/>
  <c r="AB58" i="24" s="1"/>
  <c r="AC58" i="24" s="1"/>
  <c r="BT58" i="24"/>
  <c r="BQ58" i="24"/>
  <c r="BR58" i="24"/>
  <c r="AK58" i="24"/>
  <c r="BV58" i="24"/>
  <c r="AD58" i="24"/>
  <c r="AJ58" i="24"/>
  <c r="AN58" i="24"/>
  <c r="BU58" i="24"/>
  <c r="BA58" i="24"/>
  <c r="AH58" i="24"/>
  <c r="D59" i="24"/>
  <c r="U59" i="24" s="1"/>
  <c r="AQ51" i="22"/>
  <c r="AO60" i="29"/>
  <c r="AN60" i="29"/>
  <c r="Z61" i="29"/>
  <c r="AG61" i="29" s="1"/>
  <c r="B62" i="29"/>
  <c r="S62" i="29" s="1"/>
  <c r="AH48" i="26"/>
  <c r="BA48" i="26"/>
  <c r="AA48" i="26"/>
  <c r="AB48" i="26" s="1"/>
  <c r="AC48" i="26" s="1"/>
  <c r="BK48" i="26"/>
  <c r="AD48" i="26"/>
  <c r="AI48" i="26"/>
  <c r="AZ48" i="26"/>
  <c r="AU48" i="26"/>
  <c r="AN48" i="26"/>
  <c r="AX48" i="26"/>
  <c r="AL48" i="26"/>
  <c r="Y60" i="25"/>
  <c r="V61" i="25"/>
  <c r="I70" i="25"/>
  <c r="L60" i="25"/>
  <c r="AE61" i="25"/>
  <c r="R61" i="25"/>
  <c r="AF61" i="25"/>
  <c r="AP61" i="25"/>
  <c r="E62" i="25" s="1"/>
  <c r="AJ61" i="25"/>
  <c r="AT61" i="25"/>
  <c r="AU61" i="25" s="1"/>
  <c r="AM61" i="25"/>
  <c r="B62" i="25" s="1"/>
  <c r="AS61" i="25"/>
  <c r="H62" i="25" s="1"/>
  <c r="AR61" i="25"/>
  <c r="G62" i="25" s="1"/>
  <c r="AO61" i="25"/>
  <c r="D62" i="25" s="1"/>
  <c r="J61" i="25"/>
  <c r="K61" i="25" s="1"/>
  <c r="L61" i="25" s="1"/>
  <c r="P61" i="25"/>
  <c r="AI61" i="25"/>
  <c r="AC61" i="25"/>
  <c r="S61" i="25"/>
  <c r="U61" i="25"/>
  <c r="AN59" i="21"/>
  <c r="AO59" i="21"/>
  <c r="I69" i="21"/>
  <c r="K60" i="21"/>
  <c r="Z48" i="23"/>
  <c r="AH48" i="23" s="1"/>
  <c r="Z60" i="21"/>
  <c r="AG60" i="21" s="1"/>
  <c r="B61" i="21"/>
  <c r="X56" i="7"/>
  <c r="W56" i="7"/>
  <c r="I57" i="7"/>
  <c r="B57" i="4" l="1"/>
  <c r="AM57" i="4"/>
  <c r="I57" i="4"/>
  <c r="U57" i="4" s="1"/>
  <c r="BB58" i="24"/>
  <c r="E59" i="24"/>
  <c r="V59" i="24" s="1"/>
  <c r="AD57" i="7"/>
  <c r="D58" i="7" s="1"/>
  <c r="AD58" i="7" s="1"/>
  <c r="AH57" i="7"/>
  <c r="H58" i="7" s="1"/>
  <c r="AH58" i="7" s="1"/>
  <c r="AB57" i="7"/>
  <c r="AG57" i="7"/>
  <c r="G58" i="7" s="1"/>
  <c r="AG58" i="7" s="1"/>
  <c r="AE57" i="7"/>
  <c r="E58" i="7" s="1"/>
  <c r="AE58" i="7" s="1"/>
  <c r="D58" i="4"/>
  <c r="Y56" i="4"/>
  <c r="G58" i="4"/>
  <c r="E58" i="4"/>
  <c r="B58" i="4"/>
  <c r="H58" i="4"/>
  <c r="I52" i="22"/>
  <c r="J52" i="22" s="1"/>
  <c r="K52" i="22" s="1"/>
  <c r="L52" i="22" s="1"/>
  <c r="S52" i="22"/>
  <c r="AP58" i="24"/>
  <c r="AO58" i="24"/>
  <c r="X60" i="24"/>
  <c r="AY60" i="24" s="1"/>
  <c r="Y60" i="24"/>
  <c r="AZ60" i="24" s="1"/>
  <c r="AP59" i="21"/>
  <c r="AP48" i="26"/>
  <c r="AT48" i="23"/>
  <c r="AP60" i="29"/>
  <c r="I62" i="29"/>
  <c r="J62" i="29" s="1"/>
  <c r="K62" i="29" s="1"/>
  <c r="L62" i="29" s="1"/>
  <c r="AD61" i="29"/>
  <c r="AA61" i="29"/>
  <c r="AB61" i="29" s="1"/>
  <c r="AC61" i="29" s="1"/>
  <c r="AI61" i="29"/>
  <c r="AJ61" i="29"/>
  <c r="AL61" i="29"/>
  <c r="AM61" i="29"/>
  <c r="AO48" i="26"/>
  <c r="BH48" i="26"/>
  <c r="G49" i="26" s="1"/>
  <c r="BE48" i="26"/>
  <c r="C49" i="26" s="1"/>
  <c r="BD48" i="26"/>
  <c r="BJ48" i="26"/>
  <c r="H49" i="26" s="1"/>
  <c r="Y49" i="26" s="1"/>
  <c r="X61" i="25"/>
  <c r="W61" i="25"/>
  <c r="I62" i="25"/>
  <c r="S62" i="25" s="1"/>
  <c r="I61" i="21"/>
  <c r="J61" i="21" s="1"/>
  <c r="K61" i="21" s="1"/>
  <c r="L61" i="21" s="1"/>
  <c r="S61" i="21"/>
  <c r="AD60" i="21"/>
  <c r="AA60" i="21"/>
  <c r="AB60" i="21" s="1"/>
  <c r="AC60" i="21" s="1"/>
  <c r="AM60" i="21"/>
  <c r="AI60" i="21"/>
  <c r="AJ60" i="21"/>
  <c r="AL60" i="21"/>
  <c r="AA48" i="23"/>
  <c r="AB48" i="23" s="1"/>
  <c r="AC48" i="23" s="1"/>
  <c r="BA48" i="23"/>
  <c r="BK48" i="23"/>
  <c r="AD48" i="23"/>
  <c r="AN48" i="23"/>
  <c r="AZ48" i="23"/>
  <c r="AX48" i="23"/>
  <c r="AU48" i="23"/>
  <c r="I70" i="21"/>
  <c r="L60" i="21"/>
  <c r="Y56" i="7"/>
  <c r="P57" i="7"/>
  <c r="D20" i="14"/>
  <c r="J57" i="7"/>
  <c r="K57" i="7" s="1"/>
  <c r="L57" i="7" s="1"/>
  <c r="S57" i="7"/>
  <c r="U57" i="7"/>
  <c r="V57" i="7"/>
  <c r="R57" i="7"/>
  <c r="B58" i="7"/>
  <c r="AB58" i="7" s="1"/>
  <c r="R57" i="4" l="1"/>
  <c r="S57" i="4"/>
  <c r="B20" i="14"/>
  <c r="P57" i="4"/>
  <c r="AJ57" i="4"/>
  <c r="AE57" i="4"/>
  <c r="AC57" i="4"/>
  <c r="AH57" i="4"/>
  <c r="AI57" i="4"/>
  <c r="J57" i="4"/>
  <c r="K57" i="4" s="1"/>
  <c r="L57" i="4" s="1"/>
  <c r="AT57" i="4"/>
  <c r="AU57" i="4" s="1"/>
  <c r="AF57" i="4"/>
  <c r="V57" i="4"/>
  <c r="I59" i="24"/>
  <c r="J59" i="24" s="1"/>
  <c r="K59" i="24" s="1"/>
  <c r="L59" i="24" s="1"/>
  <c r="BI48" i="23"/>
  <c r="BG48" i="23"/>
  <c r="BF48" i="23"/>
  <c r="AI57" i="7"/>
  <c r="AJ57" i="7" s="1"/>
  <c r="Z52" i="22"/>
  <c r="AH52" i="22" s="1"/>
  <c r="I58" i="4"/>
  <c r="S58" i="4" s="1"/>
  <c r="AQ58" i="24"/>
  <c r="AW59" i="24"/>
  <c r="E60" i="24" s="1"/>
  <c r="AV59" i="24"/>
  <c r="D60" i="24" s="1"/>
  <c r="U60" i="24" s="1"/>
  <c r="B60" i="24"/>
  <c r="Z59" i="24"/>
  <c r="G49" i="23"/>
  <c r="X49" i="23" s="1"/>
  <c r="AQ48" i="26"/>
  <c r="AN60" i="21"/>
  <c r="AO61" i="29"/>
  <c r="Z62" i="29"/>
  <c r="B63" i="29"/>
  <c r="S63" i="29" s="1"/>
  <c r="AN61" i="29"/>
  <c r="B49" i="26"/>
  <c r="S49" i="26" s="1"/>
  <c r="BL48" i="26"/>
  <c r="P62" i="25"/>
  <c r="V62" i="25"/>
  <c r="AE62" i="25"/>
  <c r="R62" i="25"/>
  <c r="AF62" i="25"/>
  <c r="Y61" i="25"/>
  <c r="AS62" i="25"/>
  <c r="H63" i="25" s="1"/>
  <c r="AM62" i="25"/>
  <c r="B63" i="25" s="1"/>
  <c r="J62" i="25"/>
  <c r="K62" i="25" s="1"/>
  <c r="L62" i="25" s="1"/>
  <c r="AR62" i="25"/>
  <c r="G63" i="25" s="1"/>
  <c r="AJ62" i="25"/>
  <c r="AP62" i="25"/>
  <c r="E63" i="25" s="1"/>
  <c r="AT62" i="25"/>
  <c r="AU62" i="25" s="1"/>
  <c r="AO62" i="25"/>
  <c r="D63" i="25" s="1"/>
  <c r="AC62" i="25"/>
  <c r="AI62" i="25"/>
  <c r="U62" i="25"/>
  <c r="AH62" i="25"/>
  <c r="AO48" i="23"/>
  <c r="AO60" i="21"/>
  <c r="BD48" i="23"/>
  <c r="BJ48" i="23"/>
  <c r="H49" i="23" s="1"/>
  <c r="Y49" i="23" s="1"/>
  <c r="Z61" i="21"/>
  <c r="AG61" i="21" s="1"/>
  <c r="B62" i="21"/>
  <c r="AP48" i="23"/>
  <c r="X57" i="7"/>
  <c r="W57" i="7"/>
  <c r="I58" i="7"/>
  <c r="X57" i="4" l="1"/>
  <c r="W57" i="4"/>
  <c r="Y57" i="4" s="1"/>
  <c r="D49" i="23"/>
  <c r="U49" i="23" s="1"/>
  <c r="E49" i="23"/>
  <c r="V49" i="23" s="1"/>
  <c r="AT52" i="22"/>
  <c r="R58" i="4"/>
  <c r="V58" i="4"/>
  <c r="AC58" i="4"/>
  <c r="AT58" i="4"/>
  <c r="B21" i="14"/>
  <c r="J58" i="4"/>
  <c r="K58" i="4" s="1"/>
  <c r="L58" i="4" s="1"/>
  <c r="AI58" i="4"/>
  <c r="P58" i="4"/>
  <c r="AE58" i="4"/>
  <c r="AJ58" i="4"/>
  <c r="U58" i="4"/>
  <c r="AH58" i="4"/>
  <c r="AF58" i="4"/>
  <c r="AK52" i="22"/>
  <c r="BK52" i="22"/>
  <c r="AY52" i="22"/>
  <c r="AW52" i="22"/>
  <c r="AA52" i="22"/>
  <c r="AB52" i="22" s="1"/>
  <c r="AC52" i="22" s="1"/>
  <c r="AM52" i="22"/>
  <c r="AJ52" i="22"/>
  <c r="BA52" i="22"/>
  <c r="AV52" i="22"/>
  <c r="AD52" i="22"/>
  <c r="AZ52" i="22"/>
  <c r="AN52" i="22"/>
  <c r="S60" i="24"/>
  <c r="AT60" i="24" s="1"/>
  <c r="B61" i="24" s="1"/>
  <c r="V60" i="24"/>
  <c r="AV60" i="24"/>
  <c r="D61" i="24" s="1"/>
  <c r="AD59" i="24"/>
  <c r="AJ59" i="24"/>
  <c r="AM59" i="24"/>
  <c r="BO59" i="24"/>
  <c r="BU59" i="24"/>
  <c r="BV59" i="24"/>
  <c r="AH59" i="24"/>
  <c r="BA59" i="24"/>
  <c r="BR59" i="24"/>
  <c r="BT59" i="24"/>
  <c r="AK59" i="24"/>
  <c r="AA59" i="24"/>
  <c r="AB59" i="24" s="1"/>
  <c r="AC59" i="24" s="1"/>
  <c r="AN59" i="24"/>
  <c r="BQ59" i="24"/>
  <c r="I60" i="24"/>
  <c r="J60" i="24" s="1"/>
  <c r="BB59" i="24"/>
  <c r="D59" i="7"/>
  <c r="AD59" i="7" s="1"/>
  <c r="H59" i="7"/>
  <c r="AH59" i="7" s="1"/>
  <c r="G59" i="7"/>
  <c r="AG59" i="7" s="1"/>
  <c r="E59" i="7"/>
  <c r="AE59" i="7" s="1"/>
  <c r="H61" i="24"/>
  <c r="Y61" i="24" s="1"/>
  <c r="G61" i="24"/>
  <c r="AP60" i="21"/>
  <c r="AQ48" i="23"/>
  <c r="AP61" i="29"/>
  <c r="I63" i="29"/>
  <c r="J63" i="29" s="1"/>
  <c r="K63" i="29" s="1"/>
  <c r="L63" i="29" s="1"/>
  <c r="AD62" i="29"/>
  <c r="AA62" i="29"/>
  <c r="AB62" i="29" s="1"/>
  <c r="AC62" i="29" s="1"/>
  <c r="AI62" i="29"/>
  <c r="AL62" i="29"/>
  <c r="AM62" i="29"/>
  <c r="AJ62" i="29"/>
  <c r="AG62" i="29"/>
  <c r="I49" i="26"/>
  <c r="J49" i="26" s="1"/>
  <c r="K49" i="26" s="1"/>
  <c r="L49" i="26" s="1"/>
  <c r="X62" i="25"/>
  <c r="W62" i="25"/>
  <c r="I63" i="25"/>
  <c r="R63" i="25" s="1"/>
  <c r="B49" i="23"/>
  <c r="S49" i="23" s="1"/>
  <c r="BL48" i="23"/>
  <c r="S62" i="21"/>
  <c r="I62" i="21"/>
  <c r="J62" i="21" s="1"/>
  <c r="K62" i="21" s="1"/>
  <c r="L62" i="21" s="1"/>
  <c r="AD61" i="21"/>
  <c r="AA61" i="21"/>
  <c r="AB61" i="21" s="1"/>
  <c r="AC61" i="21" s="1"/>
  <c r="AM61" i="21"/>
  <c r="AJ61" i="21"/>
  <c r="AL61" i="21"/>
  <c r="AI61" i="21"/>
  <c r="Y57" i="7"/>
  <c r="P58" i="7"/>
  <c r="D21" i="14"/>
  <c r="J58" i="7"/>
  <c r="K58" i="7" s="1"/>
  <c r="L58" i="7" s="1"/>
  <c r="S58" i="7"/>
  <c r="U58" i="7"/>
  <c r="R58" i="7"/>
  <c r="V58" i="7"/>
  <c r="AU58" i="4" l="1"/>
  <c r="AR58" i="4"/>
  <c r="G59" i="4" s="1"/>
  <c r="AR59" i="4" s="1"/>
  <c r="AO58" i="4"/>
  <c r="D59" i="4" s="1"/>
  <c r="AO59" i="4" s="1"/>
  <c r="AS58" i="4"/>
  <c r="H59" i="4" s="1"/>
  <c r="AS59" i="4" s="1"/>
  <c r="AP58" i="4"/>
  <c r="E59" i="4" s="1"/>
  <c r="AP59" i="4" s="1"/>
  <c r="AM58" i="4"/>
  <c r="AP52" i="22"/>
  <c r="AI58" i="7"/>
  <c r="AJ58" i="7" s="1"/>
  <c r="X58" i="4"/>
  <c r="W58" i="4"/>
  <c r="G53" i="22"/>
  <c r="X53" i="22" s="1"/>
  <c r="BI53" i="22" s="1"/>
  <c r="E53" i="22"/>
  <c r="V53" i="22" s="1"/>
  <c r="BG53" i="22" s="1"/>
  <c r="H53" i="22"/>
  <c r="Y53" i="22" s="1"/>
  <c r="BJ53" i="22" s="1"/>
  <c r="D53" i="22"/>
  <c r="U53" i="22" s="1"/>
  <c r="BF53" i="22" s="1"/>
  <c r="B59" i="7"/>
  <c r="AB59" i="7" s="1"/>
  <c r="AO52" i="22"/>
  <c r="S61" i="24"/>
  <c r="AT61" i="24" s="1"/>
  <c r="X61" i="24"/>
  <c r="AY61" i="24" s="1"/>
  <c r="U61" i="24"/>
  <c r="AV61" i="24" s="1"/>
  <c r="AW60" i="24"/>
  <c r="E61" i="24" s="1"/>
  <c r="I61" i="24" s="1"/>
  <c r="J61" i="24" s="1"/>
  <c r="K61" i="24" s="1"/>
  <c r="L61" i="24" s="1"/>
  <c r="Z60" i="24"/>
  <c r="K60" i="24"/>
  <c r="I69" i="24"/>
  <c r="AO59" i="24"/>
  <c r="AP59" i="24"/>
  <c r="AZ61" i="24"/>
  <c r="Z63" i="29"/>
  <c r="B64" i="29"/>
  <c r="S64" i="29" s="1"/>
  <c r="AO62" i="29"/>
  <c r="AN62" i="29"/>
  <c r="Z49" i="26"/>
  <c r="AT49" i="26" s="1"/>
  <c r="Y62" i="25"/>
  <c r="AC63" i="25"/>
  <c r="AF63" i="25"/>
  <c r="S63" i="25"/>
  <c r="AE63" i="25"/>
  <c r="AI63" i="25"/>
  <c r="AH63" i="25"/>
  <c r="P63" i="25"/>
  <c r="AP63" i="25"/>
  <c r="E64" i="25" s="1"/>
  <c r="E65" i="25" s="1"/>
  <c r="AJ63" i="25"/>
  <c r="AO63" i="25"/>
  <c r="D64" i="25" s="1"/>
  <c r="D65" i="25" s="1"/>
  <c r="J63" i="25"/>
  <c r="K63" i="25" s="1"/>
  <c r="L63" i="25" s="1"/>
  <c r="AT63" i="25"/>
  <c r="AU63" i="25" s="1"/>
  <c r="AM63" i="25"/>
  <c r="B64" i="25" s="1"/>
  <c r="B65" i="25" s="1"/>
  <c r="AS63" i="25"/>
  <c r="H64" i="25" s="1"/>
  <c r="H65" i="25" s="1"/>
  <c r="AR63" i="25"/>
  <c r="G64" i="25" s="1"/>
  <c r="G65" i="25" s="1"/>
  <c r="U63" i="25"/>
  <c r="V63" i="25"/>
  <c r="AO61" i="21"/>
  <c r="I49" i="23"/>
  <c r="J49" i="23" s="1"/>
  <c r="K49" i="23" s="1"/>
  <c r="L49" i="23" s="1"/>
  <c r="Z62" i="21"/>
  <c r="AG62" i="21" s="1"/>
  <c r="B63" i="21"/>
  <c r="AN61" i="21"/>
  <c r="X58" i="7"/>
  <c r="W58" i="7"/>
  <c r="B59" i="4" l="1"/>
  <c r="AM59" i="4" s="1"/>
  <c r="B60" i="4" s="1"/>
  <c r="AM60" i="4" s="1"/>
  <c r="AQ52" i="22"/>
  <c r="Y58" i="4"/>
  <c r="I59" i="7"/>
  <c r="D60" i="4"/>
  <c r="AO60" i="4" s="1"/>
  <c r="H60" i="4"/>
  <c r="AS60" i="4" s="1"/>
  <c r="G60" i="4"/>
  <c r="AR60" i="4" s="1"/>
  <c r="E60" i="4"/>
  <c r="AP60" i="4" s="1"/>
  <c r="B53" i="22"/>
  <c r="BL52" i="22"/>
  <c r="BB60" i="24"/>
  <c r="AD60" i="24"/>
  <c r="AM60" i="24"/>
  <c r="AN60" i="24"/>
  <c r="BO60" i="24"/>
  <c r="BQ60" i="24"/>
  <c r="BT60" i="24"/>
  <c r="BA60" i="24"/>
  <c r="AJ60" i="24"/>
  <c r="AH60" i="24"/>
  <c r="BU60" i="24"/>
  <c r="AA60" i="24"/>
  <c r="AB60" i="24" s="1"/>
  <c r="AC60" i="24" s="1"/>
  <c r="BV60" i="24"/>
  <c r="AK60" i="24"/>
  <c r="V61" i="24"/>
  <c r="AW61" i="24" s="1"/>
  <c r="BR60" i="24"/>
  <c r="AQ59" i="24"/>
  <c r="L60" i="24"/>
  <c r="I70" i="24"/>
  <c r="D60" i="7"/>
  <c r="AD60" i="7" s="1"/>
  <c r="H60" i="7"/>
  <c r="AH60" i="7" s="1"/>
  <c r="B60" i="7"/>
  <c r="AB60" i="7" s="1"/>
  <c r="E60" i="7"/>
  <c r="AE60" i="7" s="1"/>
  <c r="G60" i="7"/>
  <c r="AG60" i="7" s="1"/>
  <c r="S65" i="29"/>
  <c r="B65" i="29"/>
  <c r="AP61" i="21"/>
  <c r="AP62" i="29"/>
  <c r="I64" i="29"/>
  <c r="J64" i="29" s="1"/>
  <c r="K64" i="29" s="1"/>
  <c r="L64" i="29" s="1"/>
  <c r="AD63" i="29"/>
  <c r="AA63" i="29"/>
  <c r="AB63" i="29" s="1"/>
  <c r="AC63" i="29" s="1"/>
  <c r="AL63" i="29"/>
  <c r="AJ63" i="29"/>
  <c r="AI63" i="29"/>
  <c r="AM63" i="29"/>
  <c r="AG63" i="29"/>
  <c r="BK49" i="26"/>
  <c r="AD49" i="26"/>
  <c r="BA49" i="26"/>
  <c r="AA49" i="26"/>
  <c r="AB49" i="26" s="1"/>
  <c r="AC49" i="26" s="1"/>
  <c r="AY49" i="26"/>
  <c r="AI49" i="26"/>
  <c r="AM49" i="26"/>
  <c r="AU49" i="26"/>
  <c r="AN49" i="26"/>
  <c r="AZ49" i="26"/>
  <c r="AH49" i="26"/>
  <c r="W63" i="25"/>
  <c r="X63" i="25"/>
  <c r="I64" i="25"/>
  <c r="I63" i="21"/>
  <c r="J63" i="21" s="1"/>
  <c r="K63" i="21" s="1"/>
  <c r="L63" i="21" s="1"/>
  <c r="S63" i="21"/>
  <c r="AA62" i="21"/>
  <c r="AB62" i="21" s="1"/>
  <c r="AC62" i="21" s="1"/>
  <c r="AD62" i="21"/>
  <c r="AI62" i="21"/>
  <c r="AM62" i="21"/>
  <c r="AJ62" i="21"/>
  <c r="AL62" i="21"/>
  <c r="Z49" i="23"/>
  <c r="AT49" i="23" s="1"/>
  <c r="Y58" i="7"/>
  <c r="P59" i="7"/>
  <c r="D22" i="14"/>
  <c r="J59" i="7"/>
  <c r="K59" i="7" s="1"/>
  <c r="L59" i="7" s="1"/>
  <c r="R59" i="7"/>
  <c r="S59" i="7"/>
  <c r="U59" i="7"/>
  <c r="V59" i="7"/>
  <c r="I59" i="4" l="1"/>
  <c r="S59" i="4"/>
  <c r="AF59" i="4"/>
  <c r="AJ59" i="4"/>
  <c r="B22" i="14"/>
  <c r="AH59" i="4"/>
  <c r="J59" i="4"/>
  <c r="K59" i="4" s="1"/>
  <c r="L59" i="4" s="1"/>
  <c r="U59" i="4"/>
  <c r="R59" i="4"/>
  <c r="V59" i="4"/>
  <c r="P59" i="4"/>
  <c r="S53" i="22"/>
  <c r="I53" i="22"/>
  <c r="J53" i="22" s="1"/>
  <c r="K53" i="22" s="1"/>
  <c r="L53" i="22" s="1"/>
  <c r="I60" i="4"/>
  <c r="U60" i="4" s="1"/>
  <c r="Z61" i="24"/>
  <c r="AN61" i="24" s="1"/>
  <c r="AO60" i="24"/>
  <c r="AP60" i="24"/>
  <c r="D54" i="22"/>
  <c r="U54" i="22" s="1"/>
  <c r="E54" i="22"/>
  <c r="V54" i="22" s="1"/>
  <c r="G54" i="22"/>
  <c r="X54" i="22" s="1"/>
  <c r="H54" i="22"/>
  <c r="Y54" i="22" s="1"/>
  <c r="AI59" i="7"/>
  <c r="AJ59" i="7" s="1"/>
  <c r="D62" i="24"/>
  <c r="U62" i="24" s="1"/>
  <c r="G62" i="24"/>
  <c r="X62" i="24" s="1"/>
  <c r="H62" i="24"/>
  <c r="Y62" i="24" s="1"/>
  <c r="S64" i="25"/>
  <c r="Z64" i="29"/>
  <c r="AO63" i="29"/>
  <c r="AN63" i="29"/>
  <c r="AP49" i="26"/>
  <c r="AO49" i="26"/>
  <c r="BD49" i="26"/>
  <c r="BJ49" i="26"/>
  <c r="H50" i="26" s="1"/>
  <c r="Y50" i="26" s="1"/>
  <c r="BI49" i="26"/>
  <c r="G50" i="26" s="1"/>
  <c r="BE49" i="26"/>
  <c r="C50" i="26" s="1"/>
  <c r="U64" i="25"/>
  <c r="V64" i="25"/>
  <c r="Y63" i="25"/>
  <c r="AS64" i="25"/>
  <c r="AM64" i="25"/>
  <c r="J64" i="25"/>
  <c r="K64" i="25" s="1"/>
  <c r="L64" i="25" s="1"/>
  <c r="AT64" i="25"/>
  <c r="AU64" i="25" s="1"/>
  <c r="AR64" i="25"/>
  <c r="AJ64" i="25"/>
  <c r="AP64" i="25"/>
  <c r="AO64" i="25"/>
  <c r="R64" i="25"/>
  <c r="AH64" i="25"/>
  <c r="AC64" i="25"/>
  <c r="AE64" i="25"/>
  <c r="AF64" i="25"/>
  <c r="P64" i="25"/>
  <c r="AI64" i="25"/>
  <c r="AN62" i="21"/>
  <c r="AD49" i="23"/>
  <c r="AA49" i="23"/>
  <c r="AB49" i="23" s="1"/>
  <c r="AC49" i="23" s="1"/>
  <c r="BK49" i="23"/>
  <c r="BA49" i="23"/>
  <c r="AM49" i="23"/>
  <c r="AY49" i="23"/>
  <c r="AZ49" i="23"/>
  <c r="AN49" i="23"/>
  <c r="AU49" i="23"/>
  <c r="AH49" i="23"/>
  <c r="B62" i="24"/>
  <c r="E62" i="24"/>
  <c r="V62" i="24" s="1"/>
  <c r="Z63" i="21"/>
  <c r="AG63" i="21" s="1"/>
  <c r="B64" i="21"/>
  <c r="AO62" i="21"/>
  <c r="X59" i="7"/>
  <c r="W59" i="7"/>
  <c r="I60" i="7"/>
  <c r="AE59" i="4" l="1"/>
  <c r="AI59" i="4"/>
  <c r="AT59" i="4"/>
  <c r="AU59" i="4" s="1"/>
  <c r="AC59" i="4"/>
  <c r="W59" i="4"/>
  <c r="X59" i="4"/>
  <c r="BO61" i="24"/>
  <c r="BI49" i="23"/>
  <c r="BG49" i="23"/>
  <c r="E50" i="23" s="1"/>
  <c r="V50" i="23" s="1"/>
  <c r="BF49" i="23"/>
  <c r="D50" i="23" s="1"/>
  <c r="U50" i="23" s="1"/>
  <c r="V60" i="4"/>
  <c r="R60" i="4"/>
  <c r="P60" i="4"/>
  <c r="B23" i="14"/>
  <c r="AF60" i="4"/>
  <c r="AJ60" i="4"/>
  <c r="AC60" i="4"/>
  <c r="AT60" i="4"/>
  <c r="J60" i="4"/>
  <c r="AH60" i="4"/>
  <c r="AE60" i="4"/>
  <c r="S60" i="4"/>
  <c r="BD53" i="22"/>
  <c r="B54" i="22" s="1"/>
  <c r="Z53" i="22"/>
  <c r="AT53" i="22" s="1"/>
  <c r="AI60" i="4"/>
  <c r="BA61" i="24"/>
  <c r="AA61" i="24"/>
  <c r="AB61" i="24" s="1"/>
  <c r="AC61" i="24" s="1"/>
  <c r="BT61" i="24"/>
  <c r="AM61" i="24"/>
  <c r="BR61" i="24"/>
  <c r="BV61" i="24"/>
  <c r="AK61" i="24"/>
  <c r="AD61" i="24"/>
  <c r="AH61" i="24"/>
  <c r="AJ61" i="24"/>
  <c r="BQ61" i="24"/>
  <c r="BU61" i="24"/>
  <c r="AQ60" i="24"/>
  <c r="E55" i="22"/>
  <c r="V55" i="22" s="1"/>
  <c r="H55" i="22"/>
  <c r="Y55" i="22" s="1"/>
  <c r="D55" i="22"/>
  <c r="U55" i="22" s="1"/>
  <c r="G55" i="22"/>
  <c r="X55" i="22" s="1"/>
  <c r="AP62" i="21"/>
  <c r="D23" i="14"/>
  <c r="B61" i="7"/>
  <c r="AB61" i="7" s="1"/>
  <c r="G61" i="7"/>
  <c r="AG61" i="7" s="1"/>
  <c r="E61" i="7"/>
  <c r="AE61" i="7" s="1"/>
  <c r="D61" i="7"/>
  <c r="AD61" i="7" s="1"/>
  <c r="AQ49" i="26"/>
  <c r="AP63" i="29"/>
  <c r="AD64" i="29"/>
  <c r="AA64" i="29"/>
  <c r="AB64" i="29" s="1"/>
  <c r="AC64" i="29" s="1"/>
  <c r="AJ64" i="29"/>
  <c r="AI64" i="29"/>
  <c r="AM64" i="29"/>
  <c r="AL64" i="29"/>
  <c r="AG64" i="29"/>
  <c r="B50" i="26"/>
  <c r="S50" i="26" s="1"/>
  <c r="BL49" i="26"/>
  <c r="W64" i="25"/>
  <c r="X64" i="25"/>
  <c r="AP49" i="23"/>
  <c r="AO49" i="23"/>
  <c r="AW62" i="24"/>
  <c r="E63" i="24" s="1"/>
  <c r="V63" i="24" s="1"/>
  <c r="AZ62" i="24"/>
  <c r="H63" i="24" s="1"/>
  <c r="Y63" i="24" s="1"/>
  <c r="AY62" i="24"/>
  <c r="G63" i="24" s="1"/>
  <c r="X63" i="24" s="1"/>
  <c r="I62" i="24"/>
  <c r="J62" i="24" s="1"/>
  <c r="K62" i="24" s="1"/>
  <c r="L62" i="24" s="1"/>
  <c r="S62" i="24"/>
  <c r="S64" i="21"/>
  <c r="S65" i="21" s="1"/>
  <c r="I64" i="21"/>
  <c r="J64" i="21" s="1"/>
  <c r="K64" i="21" s="1"/>
  <c r="L64" i="21" s="1"/>
  <c r="BJ49" i="23"/>
  <c r="H50" i="23" s="1"/>
  <c r="Y50" i="23" s="1"/>
  <c r="G50" i="23"/>
  <c r="BD49" i="23"/>
  <c r="AD63" i="21"/>
  <c r="AA63" i="21"/>
  <c r="AB63" i="21" s="1"/>
  <c r="AC63" i="21" s="1"/>
  <c r="AL63" i="21"/>
  <c r="AI63" i="21"/>
  <c r="AJ63" i="21"/>
  <c r="AM63" i="21"/>
  <c r="BB61" i="24"/>
  <c r="AV62" i="24"/>
  <c r="D63" i="24" s="1"/>
  <c r="U63" i="24" s="1"/>
  <c r="Y59" i="7"/>
  <c r="J60" i="7"/>
  <c r="U60" i="7"/>
  <c r="S60" i="7"/>
  <c r="R60" i="7"/>
  <c r="V60" i="7"/>
  <c r="P60" i="7"/>
  <c r="Y59" i="4" l="1"/>
  <c r="BL53" i="22"/>
  <c r="E61" i="4"/>
  <c r="I69" i="4"/>
  <c r="B10" i="8" s="1"/>
  <c r="H10" i="8" s="1"/>
  <c r="K60" i="4"/>
  <c r="H61" i="4"/>
  <c r="AU60" i="4"/>
  <c r="D61" i="4"/>
  <c r="B61" i="4"/>
  <c r="G61" i="4"/>
  <c r="X60" i="4"/>
  <c r="W60" i="4"/>
  <c r="AH53" i="22"/>
  <c r="BA53" i="22"/>
  <c r="AY53" i="22"/>
  <c r="AZ53" i="22"/>
  <c r="AJ53" i="22"/>
  <c r="AK53" i="22"/>
  <c r="AD53" i="22"/>
  <c r="AM53" i="22"/>
  <c r="AV53" i="22"/>
  <c r="BK53" i="22"/>
  <c r="AW53" i="22"/>
  <c r="AA53" i="22"/>
  <c r="AB53" i="22" s="1"/>
  <c r="AC53" i="22" s="1"/>
  <c r="AN53" i="22"/>
  <c r="AO61" i="24"/>
  <c r="AP61" i="24"/>
  <c r="S54" i="22"/>
  <c r="I54" i="22"/>
  <c r="J54" i="22" s="1"/>
  <c r="K54" i="22" s="1"/>
  <c r="L54" i="22" s="1"/>
  <c r="B65" i="21"/>
  <c r="AO64" i="29"/>
  <c r="AN64" i="29"/>
  <c r="I50" i="26"/>
  <c r="J50" i="26" s="1"/>
  <c r="K50" i="26" s="1"/>
  <c r="L50" i="26" s="1"/>
  <c r="Y64" i="25"/>
  <c r="AN63" i="21"/>
  <c r="AO63" i="21"/>
  <c r="AW63" i="24"/>
  <c r="E64" i="24" s="1"/>
  <c r="V64" i="24" s="1"/>
  <c r="V65" i="24" s="1"/>
  <c r="Z64" i="21"/>
  <c r="AG64" i="21" s="1"/>
  <c r="Z62" i="24"/>
  <c r="BO62" i="24" s="1"/>
  <c r="AT62" i="24"/>
  <c r="B63" i="24" s="1"/>
  <c r="AV63" i="24"/>
  <c r="D64" i="24" s="1"/>
  <c r="U64" i="24" s="1"/>
  <c r="U65" i="24" s="1"/>
  <c r="AQ49" i="23"/>
  <c r="B50" i="23"/>
  <c r="S50" i="23" s="1"/>
  <c r="BL49" i="23"/>
  <c r="AY63" i="24"/>
  <c r="G64" i="24" s="1"/>
  <c r="X64" i="24" s="1"/>
  <c r="X65" i="24" s="1"/>
  <c r="AZ63" i="24"/>
  <c r="H64" i="24" s="1"/>
  <c r="Y64" i="24" s="1"/>
  <c r="Y65" i="24" s="1"/>
  <c r="X60" i="7"/>
  <c r="W60" i="7"/>
  <c r="I69" i="7"/>
  <c r="D10" i="8" s="1"/>
  <c r="K60" i="7"/>
  <c r="H61" i="7"/>
  <c r="AH61" i="7" s="1"/>
  <c r="AI60" i="7"/>
  <c r="AJ60" i="7" s="1"/>
  <c r="Y60" i="4" l="1"/>
  <c r="AP53" i="22"/>
  <c r="AO53" i="22"/>
  <c r="I61" i="4"/>
  <c r="U61" i="4" s="1"/>
  <c r="L60" i="4"/>
  <c r="I70" i="4"/>
  <c r="B11" i="8" s="1"/>
  <c r="H11" i="8" s="1"/>
  <c r="AQ61" i="24"/>
  <c r="B55" i="22"/>
  <c r="Z54" i="22"/>
  <c r="AT54" i="22" s="1"/>
  <c r="AH62" i="24"/>
  <c r="AP64" i="29"/>
  <c r="Z50" i="26"/>
  <c r="AT50" i="26" s="1"/>
  <c r="AP63" i="21"/>
  <c r="AY64" i="24"/>
  <c r="G65" i="24" s="1"/>
  <c r="AV64" i="24"/>
  <c r="D65" i="24" s="1"/>
  <c r="AA64" i="21"/>
  <c r="AB64" i="21" s="1"/>
  <c r="AC64" i="21" s="1"/>
  <c r="AD64" i="21"/>
  <c r="AJ64" i="21"/>
  <c r="AL64" i="21"/>
  <c r="AI64" i="21"/>
  <c r="AM64" i="21"/>
  <c r="I50" i="23"/>
  <c r="J50" i="23" s="1"/>
  <c r="K50" i="23" s="1"/>
  <c r="L50" i="23" s="1"/>
  <c r="S63" i="24"/>
  <c r="I63" i="24"/>
  <c r="J63" i="24" s="1"/>
  <c r="K63" i="24" s="1"/>
  <c r="L63" i="24" s="1"/>
  <c r="AZ64" i="24"/>
  <c r="H65" i="24" s="1"/>
  <c r="AA62" i="24"/>
  <c r="AB62" i="24" s="1"/>
  <c r="AC62" i="24" s="1"/>
  <c r="BV62" i="24"/>
  <c r="BA62" i="24"/>
  <c r="AD62" i="24"/>
  <c r="BB62" i="24"/>
  <c r="AK62" i="24"/>
  <c r="AM62" i="24"/>
  <c r="BU62" i="24"/>
  <c r="BT62" i="24"/>
  <c r="BQ62" i="24"/>
  <c r="AN62" i="24"/>
  <c r="AJ62" i="24"/>
  <c r="BR62" i="24"/>
  <c r="AW64" i="24"/>
  <c r="E65" i="24" s="1"/>
  <c r="Y60" i="7"/>
  <c r="G10" i="8"/>
  <c r="F10" i="8"/>
  <c r="I70" i="7"/>
  <c r="D11" i="8" s="1"/>
  <c r="L60" i="7"/>
  <c r="I61" i="7"/>
  <c r="AQ53" i="22" l="1"/>
  <c r="R61" i="4"/>
  <c r="B24" i="14"/>
  <c r="AJ61" i="4"/>
  <c r="AF61" i="4"/>
  <c r="J61" i="4"/>
  <c r="K61" i="4" s="1"/>
  <c r="L61" i="4" s="1"/>
  <c r="S61" i="4"/>
  <c r="AC61" i="4"/>
  <c r="AT61" i="4"/>
  <c r="V61" i="4"/>
  <c r="P61" i="4"/>
  <c r="AH61" i="4"/>
  <c r="AE61" i="4"/>
  <c r="AI61" i="4"/>
  <c r="AH54" i="22"/>
  <c r="BA54" i="22"/>
  <c r="AD54" i="22"/>
  <c r="AA54" i="22"/>
  <c r="AB54" i="22" s="1"/>
  <c r="AC54" i="22" s="1"/>
  <c r="BK54" i="22"/>
  <c r="BL54" i="22"/>
  <c r="AZ54" i="22"/>
  <c r="AV54" i="22"/>
  <c r="AY54" i="22"/>
  <c r="AK54" i="22"/>
  <c r="AN54" i="22"/>
  <c r="AM54" i="22"/>
  <c r="AJ54" i="22"/>
  <c r="AW54" i="22"/>
  <c r="S55" i="22"/>
  <c r="I55" i="22"/>
  <c r="J55" i="22" s="1"/>
  <c r="K55" i="22" s="1"/>
  <c r="L55" i="22" s="1"/>
  <c r="AP62" i="24"/>
  <c r="AH50" i="26"/>
  <c r="BA50" i="26"/>
  <c r="AA50" i="26"/>
  <c r="AB50" i="26" s="1"/>
  <c r="AC50" i="26" s="1"/>
  <c r="BK50" i="26"/>
  <c r="AD50" i="26"/>
  <c r="AZ50" i="26"/>
  <c r="AU50" i="26"/>
  <c r="AN50" i="26"/>
  <c r="AI50" i="26"/>
  <c r="AY50" i="26"/>
  <c r="AM50" i="26"/>
  <c r="AN64" i="21"/>
  <c r="AO62" i="24"/>
  <c r="AT63" i="24"/>
  <c r="B64" i="24" s="1"/>
  <c r="Z63" i="24"/>
  <c r="Z50" i="23"/>
  <c r="AO64" i="21"/>
  <c r="V61" i="7"/>
  <c r="D24" i="14"/>
  <c r="G11" i="8"/>
  <c r="F11" i="8"/>
  <c r="G25" i="8"/>
  <c r="G62" i="7"/>
  <c r="D62" i="7"/>
  <c r="H62" i="7"/>
  <c r="E62" i="7"/>
  <c r="R61" i="7"/>
  <c r="S61" i="7"/>
  <c r="J61" i="7"/>
  <c r="K61" i="7" s="1"/>
  <c r="L61" i="7" s="1"/>
  <c r="U61" i="7"/>
  <c r="P61" i="7"/>
  <c r="AU61" i="4" l="1"/>
  <c r="AR61" i="4"/>
  <c r="G62" i="4" s="1"/>
  <c r="AR62" i="4" s="1"/>
  <c r="AS61" i="4"/>
  <c r="H62" i="4" s="1"/>
  <c r="AS62" i="4" s="1"/>
  <c r="AM61" i="4"/>
  <c r="AP61" i="4"/>
  <c r="E62" i="4" s="1"/>
  <c r="AP62" i="4" s="1"/>
  <c r="AO61" i="4"/>
  <c r="D62" i="4" s="1"/>
  <c r="AO62" i="4" s="1"/>
  <c r="W61" i="4"/>
  <c r="X61" i="4"/>
  <c r="Z55" i="22"/>
  <c r="AH55" i="22" s="1"/>
  <c r="AO54" i="22"/>
  <c r="AP54" i="22"/>
  <c r="AQ62" i="24"/>
  <c r="AP64" i="21"/>
  <c r="AP50" i="26"/>
  <c r="AO50" i="26"/>
  <c r="BI50" i="26"/>
  <c r="G51" i="26" s="1"/>
  <c r="BE50" i="26"/>
  <c r="BD50" i="26"/>
  <c r="BJ50" i="26"/>
  <c r="H51" i="26" s="1"/>
  <c r="Y51" i="26" s="1"/>
  <c r="AA63" i="24"/>
  <c r="AB63" i="24" s="1"/>
  <c r="AC63" i="24" s="1"/>
  <c r="BB63" i="24"/>
  <c r="BV63" i="24"/>
  <c r="BA63" i="24"/>
  <c r="AD63" i="24"/>
  <c r="AN63" i="24"/>
  <c r="AK63" i="24"/>
  <c r="BU63" i="24"/>
  <c r="AJ63" i="24"/>
  <c r="BQ63" i="24"/>
  <c r="BT63" i="24"/>
  <c r="BR63" i="24"/>
  <c r="AM63" i="24"/>
  <c r="S64" i="24"/>
  <c r="S65" i="24" s="1"/>
  <c r="I64" i="24"/>
  <c r="J64" i="24" s="1"/>
  <c r="K64" i="24" s="1"/>
  <c r="L64" i="24" s="1"/>
  <c r="AH63" i="24"/>
  <c r="AA50" i="23"/>
  <c r="AB50" i="23" s="1"/>
  <c r="AC50" i="23" s="1"/>
  <c r="BA50" i="23"/>
  <c r="BK50" i="23"/>
  <c r="AD50" i="23"/>
  <c r="AU50" i="23"/>
  <c r="AM50" i="23"/>
  <c r="AY50" i="23"/>
  <c r="AN50" i="23"/>
  <c r="AZ50" i="23"/>
  <c r="BO63" i="24"/>
  <c r="AH50" i="23"/>
  <c r="AT50" i="23"/>
  <c r="X61" i="7"/>
  <c r="B62" i="7"/>
  <c r="AI61" i="7"/>
  <c r="AJ61" i="7" s="1"/>
  <c r="AE62" i="7"/>
  <c r="E63" i="7" s="1"/>
  <c r="W61" i="7"/>
  <c r="AD62" i="7"/>
  <c r="D63" i="7" s="1"/>
  <c r="AH62" i="7"/>
  <c r="H63" i="7" s="1"/>
  <c r="AG62" i="7"/>
  <c r="G63" i="7" s="1"/>
  <c r="G26" i="8"/>
  <c r="B62" i="4" l="1"/>
  <c r="AM67" i="4"/>
  <c r="AM62" i="4"/>
  <c r="I62" i="4"/>
  <c r="P62" i="4"/>
  <c r="V62" i="4"/>
  <c r="H63" i="4"/>
  <c r="AS63" i="4" s="1"/>
  <c r="G63" i="4"/>
  <c r="AR63" i="4" s="1"/>
  <c r="E63" i="4"/>
  <c r="AP63" i="4" s="1"/>
  <c r="D63" i="4"/>
  <c r="AO63" i="4" s="1"/>
  <c r="Y61" i="4"/>
  <c r="BG50" i="23"/>
  <c r="E51" i="23" s="1"/>
  <c r="V51" i="23" s="1"/>
  <c r="BF50" i="23"/>
  <c r="D51" i="23" s="1"/>
  <c r="U51" i="23" s="1"/>
  <c r="AQ54" i="22"/>
  <c r="AT55" i="22"/>
  <c r="BK55" i="22"/>
  <c r="BA55" i="22"/>
  <c r="AD55" i="22"/>
  <c r="AA55" i="22"/>
  <c r="AB55" i="22" s="1"/>
  <c r="AC55" i="22" s="1"/>
  <c r="AY55" i="22"/>
  <c r="AV55" i="22"/>
  <c r="AW55" i="22"/>
  <c r="AZ55" i="22"/>
  <c r="AM55" i="22"/>
  <c r="AK55" i="22"/>
  <c r="AN55" i="22"/>
  <c r="AJ55" i="22"/>
  <c r="AQ50" i="26"/>
  <c r="B51" i="26"/>
  <c r="S51" i="26" s="1"/>
  <c r="BL50" i="26"/>
  <c r="E51" i="26"/>
  <c r="D51" i="26"/>
  <c r="AO63" i="24"/>
  <c r="AP63" i="24"/>
  <c r="AT64" i="24"/>
  <c r="B65" i="24" s="1"/>
  <c r="Z64" i="24"/>
  <c r="AH64" i="24" s="1"/>
  <c r="BJ50" i="23"/>
  <c r="H51" i="23" s="1"/>
  <c r="Y51" i="23" s="1"/>
  <c r="BD50" i="23"/>
  <c r="BI50" i="23"/>
  <c r="G51" i="23" s="1"/>
  <c r="X51" i="23" s="1"/>
  <c r="AO50" i="23"/>
  <c r="AP50" i="23"/>
  <c r="Y61" i="7"/>
  <c r="AD63" i="7"/>
  <c r="D64" i="7" s="1"/>
  <c r="D65" i="7" s="1"/>
  <c r="AG63" i="7"/>
  <c r="G64" i="7" s="1"/>
  <c r="G65" i="7" s="1"/>
  <c r="AE63" i="7"/>
  <c r="E64" i="7" s="1"/>
  <c r="E65" i="7" s="1"/>
  <c r="AB62" i="7"/>
  <c r="I62" i="7"/>
  <c r="D25" i="14" s="1"/>
  <c r="AH63" i="7"/>
  <c r="H64" i="7" s="1"/>
  <c r="H65" i="7" s="1"/>
  <c r="D56" i="22" l="1"/>
  <c r="U56" i="22" s="1"/>
  <c r="S62" i="4"/>
  <c r="AJ62" i="4"/>
  <c r="B25" i="14"/>
  <c r="AC62" i="4"/>
  <c r="AF62" i="4"/>
  <c r="R62" i="4"/>
  <c r="U62" i="4"/>
  <c r="AT62" i="4"/>
  <c r="AU62" i="4" s="1"/>
  <c r="AE62" i="4"/>
  <c r="AI62" i="4"/>
  <c r="J62" i="4"/>
  <c r="K62" i="4" s="1"/>
  <c r="L62" i="4" s="1"/>
  <c r="AH62" i="4"/>
  <c r="H56" i="22"/>
  <c r="Y56" i="22" s="1"/>
  <c r="G56" i="22"/>
  <c r="X56" i="22" s="1"/>
  <c r="E56" i="22"/>
  <c r="V56" i="22" s="1"/>
  <c r="AM69" i="4"/>
  <c r="B63" i="4"/>
  <c r="AO55" i="22"/>
  <c r="AP55" i="22"/>
  <c r="BO64" i="24"/>
  <c r="I51" i="26"/>
  <c r="J51" i="26" s="1"/>
  <c r="K51" i="26" s="1"/>
  <c r="L51" i="26" s="1"/>
  <c r="AQ63" i="24"/>
  <c r="AQ50" i="23"/>
  <c r="B51" i="23"/>
  <c r="BL50" i="23"/>
  <c r="BV64" i="24"/>
  <c r="AA64" i="24"/>
  <c r="AB64" i="24" s="1"/>
  <c r="AC64" i="24" s="1"/>
  <c r="BB64" i="24"/>
  <c r="AD64" i="24"/>
  <c r="BA64" i="24"/>
  <c r="AJ64" i="24"/>
  <c r="BT64" i="24"/>
  <c r="BU64" i="24"/>
  <c r="BQ64" i="24"/>
  <c r="AM64" i="24"/>
  <c r="BR64" i="24"/>
  <c r="AK64" i="24"/>
  <c r="AN64" i="24"/>
  <c r="J62" i="7"/>
  <c r="K62" i="7" s="1"/>
  <c r="L62" i="7" s="1"/>
  <c r="V62" i="7"/>
  <c r="U62" i="7"/>
  <c r="S62" i="7"/>
  <c r="R62" i="7"/>
  <c r="AE64" i="7"/>
  <c r="AG64" i="7"/>
  <c r="P62" i="7"/>
  <c r="AD64" i="7"/>
  <c r="B63" i="7"/>
  <c r="AI62" i="7"/>
  <c r="AJ62" i="7" s="1"/>
  <c r="AH64" i="7"/>
  <c r="W62" i="4" l="1"/>
  <c r="X62" i="4"/>
  <c r="B56" i="22"/>
  <c r="BL55" i="22"/>
  <c r="AM63" i="4"/>
  <c r="B64" i="4" s="1"/>
  <c r="I63" i="4"/>
  <c r="AQ55" i="22"/>
  <c r="H64" i="4"/>
  <c r="E64" i="4"/>
  <c r="D64" i="4"/>
  <c r="G64" i="4"/>
  <c r="Z51" i="26"/>
  <c r="AT51" i="26" s="1"/>
  <c r="AO64" i="24"/>
  <c r="AP64" i="24"/>
  <c r="I51" i="23"/>
  <c r="J51" i="23" s="1"/>
  <c r="K51" i="23" s="1"/>
  <c r="L51" i="23" s="1"/>
  <c r="S51" i="23"/>
  <c r="W62" i="7"/>
  <c r="X62" i="7"/>
  <c r="AB63" i="7"/>
  <c r="I63" i="7"/>
  <c r="Y62" i="4" l="1"/>
  <c r="P63" i="4"/>
  <c r="AE63" i="4"/>
  <c r="B26" i="14"/>
  <c r="U63" i="4"/>
  <c r="AC63" i="4"/>
  <c r="AF63" i="4"/>
  <c r="AT63" i="4"/>
  <c r="AU63" i="4" s="1"/>
  <c r="AI63" i="4"/>
  <c r="R63" i="4"/>
  <c r="AJ63" i="4"/>
  <c r="V63" i="4"/>
  <c r="S63" i="4"/>
  <c r="J63" i="4"/>
  <c r="K63" i="4" s="1"/>
  <c r="L63" i="4" s="1"/>
  <c r="AH63" i="4"/>
  <c r="S56" i="22"/>
  <c r="I56" i="22"/>
  <c r="J56" i="22" s="1"/>
  <c r="K56" i="22" s="1"/>
  <c r="L56" i="22" s="1"/>
  <c r="E65" i="4"/>
  <c r="AP64" i="4"/>
  <c r="I64" i="4"/>
  <c r="S64" i="4" s="1"/>
  <c r="I65" i="4"/>
  <c r="AM64" i="4"/>
  <c r="B65" i="4"/>
  <c r="G65" i="4"/>
  <c r="AR64" i="4"/>
  <c r="H65" i="4"/>
  <c r="AS64" i="4"/>
  <c r="D65" i="4"/>
  <c r="AO64" i="4"/>
  <c r="AQ64" i="24"/>
  <c r="AA51" i="26"/>
  <c r="AB51" i="26" s="1"/>
  <c r="AC51" i="26" s="1"/>
  <c r="BA51" i="26"/>
  <c r="AD51" i="26"/>
  <c r="BK51" i="26"/>
  <c r="AN51" i="26"/>
  <c r="AZ51" i="26"/>
  <c r="AY51" i="26"/>
  <c r="AM51" i="26"/>
  <c r="AW51" i="26"/>
  <c r="AK51" i="26"/>
  <c r="AV51" i="26"/>
  <c r="AJ51" i="26"/>
  <c r="AH51" i="26"/>
  <c r="Z51" i="23"/>
  <c r="AT51" i="23" s="1"/>
  <c r="P63" i="7"/>
  <c r="D26" i="14"/>
  <c r="Y62" i="7"/>
  <c r="J63" i="7"/>
  <c r="K63" i="7" s="1"/>
  <c r="L63" i="7" s="1"/>
  <c r="U63" i="7"/>
  <c r="S63" i="7"/>
  <c r="V63" i="7"/>
  <c r="R63" i="7"/>
  <c r="B64" i="7"/>
  <c r="B65" i="7" s="1"/>
  <c r="AI63" i="7"/>
  <c r="AJ63" i="7" s="1"/>
  <c r="B6" i="8" l="1"/>
  <c r="H6" i="8" s="1"/>
  <c r="I74" i="4"/>
  <c r="I75" i="4"/>
  <c r="B13" i="8" s="1"/>
  <c r="Z56" i="22"/>
  <c r="AT56" i="22" s="1"/>
  <c r="X63" i="4"/>
  <c r="W63" i="4"/>
  <c r="AC64" i="4"/>
  <c r="AE64" i="4"/>
  <c r="I66" i="4"/>
  <c r="B7" i="8" s="1"/>
  <c r="H7" i="8" s="1"/>
  <c r="AH64" i="4"/>
  <c r="AI64" i="4"/>
  <c r="AF64" i="4"/>
  <c r="R64" i="4"/>
  <c r="V64" i="4"/>
  <c r="U64" i="4"/>
  <c r="P64" i="4"/>
  <c r="B27" i="14"/>
  <c r="AT64" i="4"/>
  <c r="AU64" i="4" s="1"/>
  <c r="J64" i="4"/>
  <c r="AJ64" i="4"/>
  <c r="I71" i="4"/>
  <c r="I73" i="4"/>
  <c r="I68" i="4" s="1"/>
  <c r="B9" i="8" s="1"/>
  <c r="H9" i="8" s="1"/>
  <c r="B2" i="18"/>
  <c r="AH51" i="23"/>
  <c r="I75" i="29"/>
  <c r="AP51" i="26"/>
  <c r="AO51" i="26"/>
  <c r="BJ51" i="26"/>
  <c r="H52" i="26" s="1"/>
  <c r="Y52" i="26" s="1"/>
  <c r="BD51" i="26"/>
  <c r="BI51" i="26"/>
  <c r="G52" i="26" s="1"/>
  <c r="BG51" i="26"/>
  <c r="E52" i="26" s="1"/>
  <c r="BF51" i="26"/>
  <c r="D52" i="26" s="1"/>
  <c r="I67" i="25"/>
  <c r="I73" i="25"/>
  <c r="AA51" i="23"/>
  <c r="AB51" i="23" s="1"/>
  <c r="AC51" i="23" s="1"/>
  <c r="BK51" i="23"/>
  <c r="AD51" i="23"/>
  <c r="BA51" i="23"/>
  <c r="AM51" i="23"/>
  <c r="AZ51" i="23"/>
  <c r="AN51" i="23"/>
  <c r="AY51" i="23"/>
  <c r="AV51" i="23"/>
  <c r="AW51" i="23"/>
  <c r="W63" i="7"/>
  <c r="X63" i="7"/>
  <c r="AB64" i="7"/>
  <c r="I64" i="7"/>
  <c r="I76" i="4" l="1"/>
  <c r="B12" i="8"/>
  <c r="B14" i="8" s="1"/>
  <c r="AH56" i="22"/>
  <c r="AA56" i="22"/>
  <c r="AB56" i="22" s="1"/>
  <c r="AC56" i="22" s="1"/>
  <c r="BK56" i="22"/>
  <c r="AW56" i="22"/>
  <c r="AM56" i="22"/>
  <c r="AN56" i="22"/>
  <c r="AK56" i="22"/>
  <c r="AD56" i="22"/>
  <c r="AZ56" i="22"/>
  <c r="AY56" i="22"/>
  <c r="BA56" i="22"/>
  <c r="AV56" i="22"/>
  <c r="AJ56" i="22"/>
  <c r="Y63" i="4"/>
  <c r="BG51" i="23"/>
  <c r="E52" i="23" s="1"/>
  <c r="V52" i="23" s="1"/>
  <c r="BF51" i="23"/>
  <c r="D52" i="23" s="1"/>
  <c r="U52" i="23" s="1"/>
  <c r="W64" i="4"/>
  <c r="X64" i="4"/>
  <c r="K64" i="4"/>
  <c r="L64" i="4" s="1"/>
  <c r="I67" i="4" s="1"/>
  <c r="B8" i="8" s="1"/>
  <c r="I72" i="4"/>
  <c r="O9" i="8"/>
  <c r="I65" i="25"/>
  <c r="I71" i="25" s="1"/>
  <c r="AM65" i="25"/>
  <c r="AS65" i="25"/>
  <c r="AQ51" i="26"/>
  <c r="I65" i="29"/>
  <c r="Z65" i="29"/>
  <c r="I66" i="29" s="1"/>
  <c r="I68" i="29" s="1"/>
  <c r="I67" i="29"/>
  <c r="B52" i="26"/>
  <c r="S52" i="26" s="1"/>
  <c r="BL51" i="26"/>
  <c r="AO51" i="23"/>
  <c r="AP51" i="23"/>
  <c r="BI51" i="23"/>
  <c r="G52" i="23" s="1"/>
  <c r="X52" i="23" s="1"/>
  <c r="BD51" i="23"/>
  <c r="BJ51" i="23"/>
  <c r="H52" i="23" s="1"/>
  <c r="Y52" i="23" s="1"/>
  <c r="Y63" i="7"/>
  <c r="P64" i="7"/>
  <c r="D27" i="14"/>
  <c r="AI64" i="7"/>
  <c r="AJ64" i="7" s="1"/>
  <c r="J64" i="7"/>
  <c r="K64" i="7" s="1"/>
  <c r="L64" i="7" s="1"/>
  <c r="S64" i="7"/>
  <c r="R64" i="7"/>
  <c r="U64" i="7"/>
  <c r="V64" i="7"/>
  <c r="BJ56" i="22" l="1"/>
  <c r="H57" i="22" s="1"/>
  <c r="Y57" i="22" s="1"/>
  <c r="BD56" i="22"/>
  <c r="BI56" i="22"/>
  <c r="G57" i="22" s="1"/>
  <c r="X57" i="22" s="1"/>
  <c r="BG56" i="22"/>
  <c r="E57" i="22" s="1"/>
  <c r="V57" i="22" s="1"/>
  <c r="BF56" i="22"/>
  <c r="D57" i="22" s="1"/>
  <c r="U57" i="22" s="1"/>
  <c r="AP56" i="22"/>
  <c r="AO56" i="22"/>
  <c r="Y64" i="4"/>
  <c r="O8" i="8"/>
  <c r="H8" i="8"/>
  <c r="I73" i="29"/>
  <c r="I72" i="29"/>
  <c r="I52" i="26"/>
  <c r="J52" i="26" s="1"/>
  <c r="K52" i="26" s="1"/>
  <c r="L52" i="26" s="1"/>
  <c r="I72" i="25"/>
  <c r="I66" i="25"/>
  <c r="I68" i="25" s="1"/>
  <c r="AQ51" i="23"/>
  <c r="I75" i="21"/>
  <c r="B52" i="23"/>
  <c r="BL51" i="23"/>
  <c r="X64" i="7"/>
  <c r="W64" i="7"/>
  <c r="B57" i="22" l="1"/>
  <c r="BL56" i="22"/>
  <c r="AQ56" i="22"/>
  <c r="Z52" i="26"/>
  <c r="I65" i="21"/>
  <c r="I72" i="21" s="1"/>
  <c r="Z65" i="21"/>
  <c r="I66" i="21" s="1"/>
  <c r="I68" i="21" s="1"/>
  <c r="I67" i="21"/>
  <c r="I52" i="23"/>
  <c r="J52" i="23" s="1"/>
  <c r="K52" i="23" s="1"/>
  <c r="L52" i="23" s="1"/>
  <c r="S52" i="23"/>
  <c r="Y64" i="7"/>
  <c r="I57" i="22" l="1"/>
  <c r="J57" i="22" s="1"/>
  <c r="K57" i="22" s="1"/>
  <c r="L57" i="22" s="1"/>
  <c r="S57" i="22"/>
  <c r="G58" i="22"/>
  <c r="X58" i="22" s="1"/>
  <c r="E58" i="22"/>
  <c r="V58" i="22" s="1"/>
  <c r="D58" i="22"/>
  <c r="U58" i="22" s="1"/>
  <c r="H58" i="22"/>
  <c r="Y58" i="22" s="1"/>
  <c r="BK52" i="26"/>
  <c r="AA52" i="26"/>
  <c r="AB52" i="26" s="1"/>
  <c r="AC52" i="26" s="1"/>
  <c r="BA52" i="26"/>
  <c r="AD52" i="26"/>
  <c r="AZ52" i="26"/>
  <c r="AY52" i="26"/>
  <c r="AN52" i="26"/>
  <c r="AM52" i="26"/>
  <c r="AJ52" i="26"/>
  <c r="AW52" i="26"/>
  <c r="AV52" i="26"/>
  <c r="AK52" i="26"/>
  <c r="AH52" i="26"/>
  <c r="AT52" i="26"/>
  <c r="Z52" i="23"/>
  <c r="AT52" i="23" s="1"/>
  <c r="I73" i="21"/>
  <c r="Z57" i="22" l="1"/>
  <c r="AH57" i="22"/>
  <c r="B58" i="22"/>
  <c r="AO52" i="26"/>
  <c r="AP52" i="26"/>
  <c r="BF52" i="26"/>
  <c r="D53" i="26" s="1"/>
  <c r="BJ52" i="26"/>
  <c r="H53" i="26" s="1"/>
  <c r="Y53" i="26" s="1"/>
  <c r="BD52" i="26"/>
  <c r="BI52" i="26"/>
  <c r="G53" i="26" s="1"/>
  <c r="BG52" i="26"/>
  <c r="E53" i="26" s="1"/>
  <c r="BK52" i="23"/>
  <c r="AD52" i="23"/>
  <c r="AA52" i="23"/>
  <c r="AB52" i="23" s="1"/>
  <c r="AC52" i="23" s="1"/>
  <c r="BA52" i="23"/>
  <c r="AY52" i="23"/>
  <c r="AW52" i="23"/>
  <c r="AM52" i="23"/>
  <c r="AZ52" i="23"/>
  <c r="AN52" i="23"/>
  <c r="AV52" i="23"/>
  <c r="AH52" i="23"/>
  <c r="AT57" i="22" l="1"/>
  <c r="BK57" i="22"/>
  <c r="AV57" i="22"/>
  <c r="AZ57" i="22"/>
  <c r="AA57" i="22"/>
  <c r="AB57" i="22" s="1"/>
  <c r="AC57" i="22" s="1"/>
  <c r="AJ57" i="22"/>
  <c r="AM57" i="22"/>
  <c r="BA57" i="22"/>
  <c r="AY57" i="22"/>
  <c r="AN57" i="22"/>
  <c r="AD57" i="22"/>
  <c r="AK57" i="22"/>
  <c r="AW57" i="22"/>
  <c r="BL57" i="22"/>
  <c r="S58" i="22"/>
  <c r="I58" i="22"/>
  <c r="J58" i="22" s="1"/>
  <c r="K58" i="22" s="1"/>
  <c r="L58" i="22" s="1"/>
  <c r="AQ52" i="26"/>
  <c r="B53" i="26"/>
  <c r="S53" i="26" s="1"/>
  <c r="BL52" i="26"/>
  <c r="AP52" i="23"/>
  <c r="AO52" i="23"/>
  <c r="BD52" i="23"/>
  <c r="BJ52" i="23"/>
  <c r="H53" i="23" s="1"/>
  <c r="Y53" i="23" s="1"/>
  <c r="BG52" i="23"/>
  <c r="E53" i="23" s="1"/>
  <c r="V53" i="23" s="1"/>
  <c r="BF52" i="23"/>
  <c r="D53" i="23" s="1"/>
  <c r="U53" i="23" s="1"/>
  <c r="BI52" i="23"/>
  <c r="G53" i="23" s="1"/>
  <c r="X53" i="23" s="1"/>
  <c r="Z65" i="24"/>
  <c r="I66" i="24" s="1"/>
  <c r="I65" i="24"/>
  <c r="I75" i="24"/>
  <c r="AO57" i="22" l="1"/>
  <c r="AP57" i="22"/>
  <c r="AQ57" i="22" s="1"/>
  <c r="Z58" i="22"/>
  <c r="AH58" i="22" s="1"/>
  <c r="I53" i="26"/>
  <c r="J53" i="26" s="1"/>
  <c r="K53" i="26" s="1"/>
  <c r="L53" i="26" s="1"/>
  <c r="I68" i="24"/>
  <c r="I67" i="24"/>
  <c r="B53" i="23"/>
  <c r="BL52" i="23"/>
  <c r="I72" i="24"/>
  <c r="AQ52" i="23"/>
  <c r="I73" i="7"/>
  <c r="C30" i="8"/>
  <c r="AT58" i="22" l="1"/>
  <c r="AA58" i="22"/>
  <c r="AB58" i="22" s="1"/>
  <c r="AC58" i="22" s="1"/>
  <c r="AV58" i="22"/>
  <c r="AN58" i="22"/>
  <c r="AD58" i="22"/>
  <c r="AZ58" i="22"/>
  <c r="AY58" i="22"/>
  <c r="BK58" i="22"/>
  <c r="AM58" i="22"/>
  <c r="AW58" i="22"/>
  <c r="BA58" i="22"/>
  <c r="AJ58" i="22"/>
  <c r="AK58" i="22"/>
  <c r="I65" i="7"/>
  <c r="Z53" i="26"/>
  <c r="AT53" i="26" s="1"/>
  <c r="I73" i="24"/>
  <c r="I53" i="23"/>
  <c r="J53" i="23" s="1"/>
  <c r="K53" i="23" s="1"/>
  <c r="L53" i="23" s="1"/>
  <c r="S53" i="23"/>
  <c r="I67" i="7"/>
  <c r="D8" i="8" s="1"/>
  <c r="G8" i="8" s="1"/>
  <c r="BG58" i="22" l="1"/>
  <c r="E59" i="22" s="1"/>
  <c r="V59" i="22" s="1"/>
  <c r="BG59" i="22" s="1"/>
  <c r="BF58" i="22"/>
  <c r="D59" i="22" s="1"/>
  <c r="U59" i="22" s="1"/>
  <c r="BF59" i="22" s="1"/>
  <c r="BJ58" i="22"/>
  <c r="H59" i="22" s="1"/>
  <c r="Y59" i="22" s="1"/>
  <c r="BJ59" i="22" s="1"/>
  <c r="BD58" i="22"/>
  <c r="BI58" i="22"/>
  <c r="G59" i="22" s="1"/>
  <c r="X59" i="22" s="1"/>
  <c r="BI59" i="22" s="1"/>
  <c r="AO58" i="22"/>
  <c r="AP58" i="22"/>
  <c r="I66" i="7"/>
  <c r="D7" i="8" s="1"/>
  <c r="G7" i="8" s="1"/>
  <c r="I71" i="7"/>
  <c r="D6" i="8"/>
  <c r="B3" i="18" s="1"/>
  <c r="D14" i="8"/>
  <c r="AH53" i="26"/>
  <c r="BA53" i="26"/>
  <c r="AD53" i="26"/>
  <c r="BK53" i="26"/>
  <c r="AA53" i="26"/>
  <c r="AB53" i="26" s="1"/>
  <c r="AC53" i="26" s="1"/>
  <c r="AZ53" i="26"/>
  <c r="AV53" i="26"/>
  <c r="AN53" i="26"/>
  <c r="AJ53" i="26"/>
  <c r="AK53" i="26"/>
  <c r="AY53" i="26"/>
  <c r="AW53" i="26"/>
  <c r="AM53" i="26"/>
  <c r="Z53" i="23"/>
  <c r="F8" i="8"/>
  <c r="I72" i="7"/>
  <c r="B59" i="22" l="1"/>
  <c r="BL58" i="22"/>
  <c r="AQ58" i="22"/>
  <c r="F7" i="8"/>
  <c r="I68" i="7"/>
  <c r="D9" i="8" s="1"/>
  <c r="G6" i="8"/>
  <c r="F6" i="8"/>
  <c r="J6" i="8"/>
  <c r="K6" i="8"/>
  <c r="BG53" i="26"/>
  <c r="E54" i="26" s="1"/>
  <c r="BF53" i="26"/>
  <c r="D54" i="26" s="1"/>
  <c r="BJ53" i="26"/>
  <c r="H54" i="26" s="1"/>
  <c r="Y54" i="26" s="1"/>
  <c r="BD53" i="26"/>
  <c r="BI53" i="26"/>
  <c r="G54" i="26" s="1"/>
  <c r="AP53" i="26"/>
  <c r="AO53" i="26"/>
  <c r="AD53" i="23"/>
  <c r="BK53" i="23"/>
  <c r="BA53" i="23"/>
  <c r="AA53" i="23"/>
  <c r="AB53" i="23" s="1"/>
  <c r="AC53" i="23" s="1"/>
  <c r="AN53" i="23"/>
  <c r="AZ53" i="23"/>
  <c r="AV53" i="23"/>
  <c r="AW53" i="23"/>
  <c r="AM53" i="23"/>
  <c r="AY53" i="23"/>
  <c r="AT53" i="23"/>
  <c r="AH53" i="23"/>
  <c r="S59" i="22" l="1"/>
  <c r="I59" i="22"/>
  <c r="J59" i="22" s="1"/>
  <c r="K59" i="22" s="1"/>
  <c r="L59" i="22" s="1"/>
  <c r="D60" i="22"/>
  <c r="U60" i="22" s="1"/>
  <c r="BF60" i="22" s="1"/>
  <c r="H60" i="22"/>
  <c r="Y60" i="22" s="1"/>
  <c r="BJ60" i="22" s="1"/>
  <c r="G60" i="22"/>
  <c r="X60" i="22" s="1"/>
  <c r="BI60" i="22" s="1"/>
  <c r="E60" i="22"/>
  <c r="V60" i="22" s="1"/>
  <c r="BG60" i="22" s="1"/>
  <c r="F9" i="8"/>
  <c r="G9" i="8"/>
  <c r="B54" i="26"/>
  <c r="S54" i="26" s="1"/>
  <c r="BL53" i="26"/>
  <c r="AQ53" i="26"/>
  <c r="BF53" i="23"/>
  <c r="D54" i="23" s="1"/>
  <c r="U54" i="23" s="1"/>
  <c r="BJ53" i="23"/>
  <c r="H54" i="23" s="1"/>
  <c r="Y54" i="23" s="1"/>
  <c r="BI53" i="23"/>
  <c r="G54" i="23" s="1"/>
  <c r="X54" i="23" s="1"/>
  <c r="BD53" i="23"/>
  <c r="BG53" i="23"/>
  <c r="E54" i="23" s="1"/>
  <c r="V54" i="23" s="1"/>
  <c r="AO53" i="23"/>
  <c r="AP53" i="23"/>
  <c r="F25" i="8"/>
  <c r="H25" i="8"/>
  <c r="BD59" i="22" l="1"/>
  <c r="Z59" i="22"/>
  <c r="AH59" i="22"/>
  <c r="B60" i="22"/>
  <c r="I54" i="26"/>
  <c r="J54" i="26" s="1"/>
  <c r="K54" i="26" s="1"/>
  <c r="L54" i="26" s="1"/>
  <c r="AQ53" i="23"/>
  <c r="B54" i="23"/>
  <c r="BL53" i="23"/>
  <c r="F26" i="8"/>
  <c r="H26" i="8"/>
  <c r="AT59" i="22" l="1"/>
  <c r="BA59" i="22"/>
  <c r="AV59" i="22"/>
  <c r="AY59" i="22"/>
  <c r="AJ59" i="22"/>
  <c r="AW59" i="22"/>
  <c r="AD59" i="22"/>
  <c r="AK59" i="22"/>
  <c r="AM59" i="22"/>
  <c r="AZ59" i="22"/>
  <c r="AA59" i="22"/>
  <c r="AB59" i="22" s="1"/>
  <c r="AC59" i="22" s="1"/>
  <c r="BK59" i="22"/>
  <c r="AN59" i="22"/>
  <c r="BL59" i="22"/>
  <c r="S60" i="22"/>
  <c r="I60" i="22"/>
  <c r="J60" i="22" s="1"/>
  <c r="D61" i="22"/>
  <c r="U61" i="22" s="1"/>
  <c r="H61" i="22"/>
  <c r="Y61" i="22" s="1"/>
  <c r="G61" i="22"/>
  <c r="X61" i="22" s="1"/>
  <c r="E61" i="22"/>
  <c r="V61" i="22" s="1"/>
  <c r="G24" i="8"/>
  <c r="G22" i="8"/>
  <c r="Z54" i="26"/>
  <c r="AT54" i="26" s="1"/>
  <c r="I54" i="23"/>
  <c r="J54" i="23" s="1"/>
  <c r="K54" i="23" s="1"/>
  <c r="L54" i="23" s="1"/>
  <c r="S54" i="23"/>
  <c r="AO59" i="22" l="1"/>
  <c r="AP59" i="22"/>
  <c r="AQ59" i="22" s="1"/>
  <c r="K60" i="22"/>
  <c r="I69" i="22"/>
  <c r="BD60" i="22"/>
  <c r="B61" i="22" s="1"/>
  <c r="Z60" i="22"/>
  <c r="BJ61" i="22"/>
  <c r="H62" i="22" s="1"/>
  <c r="Y62" i="22" s="1"/>
  <c r="BF61" i="22"/>
  <c r="D62" i="22" s="1"/>
  <c r="U62" i="22" s="1"/>
  <c r="BI61" i="22"/>
  <c r="G62" i="22" s="1"/>
  <c r="X62" i="22" s="1"/>
  <c r="BG61" i="22"/>
  <c r="E62" i="22" s="1"/>
  <c r="V62" i="22" s="1"/>
  <c r="G23" i="8"/>
  <c r="D30" i="8"/>
  <c r="K21" i="8"/>
  <c r="G21" i="8"/>
  <c r="AA54" i="26"/>
  <c r="AB54" i="26" s="1"/>
  <c r="AC54" i="26" s="1"/>
  <c r="BA54" i="26"/>
  <c r="AD54" i="26"/>
  <c r="BK54" i="26"/>
  <c r="AN54" i="26"/>
  <c r="AK54" i="26"/>
  <c r="AY54" i="26"/>
  <c r="AV54" i="26"/>
  <c r="AM54" i="26"/>
  <c r="AJ54" i="26"/>
  <c r="AZ54" i="26"/>
  <c r="AW54" i="26"/>
  <c r="AH54" i="26"/>
  <c r="Z54" i="23"/>
  <c r="AT54" i="23" s="1"/>
  <c r="BL60" i="22" l="1"/>
  <c r="AT60" i="22"/>
  <c r="AD60" i="22"/>
  <c r="AZ60" i="22"/>
  <c r="AY60" i="22"/>
  <c r="BA60" i="22"/>
  <c r="AV60" i="22"/>
  <c r="AM60" i="22"/>
  <c r="BK60" i="22"/>
  <c r="AJ60" i="22"/>
  <c r="AK60" i="22"/>
  <c r="AA60" i="22"/>
  <c r="AB60" i="22" s="1"/>
  <c r="AC60" i="22" s="1"/>
  <c r="AW60" i="22"/>
  <c r="AN60" i="22"/>
  <c r="AH60" i="22"/>
  <c r="I70" i="22"/>
  <c r="L60" i="22"/>
  <c r="BF62" i="22"/>
  <c r="D63" i="22" s="1"/>
  <c r="U63" i="22" s="1"/>
  <c r="BI62" i="22"/>
  <c r="G63" i="22" s="1"/>
  <c r="X63" i="22" s="1"/>
  <c r="BG62" i="22"/>
  <c r="E63" i="22" s="1"/>
  <c r="V63" i="22" s="1"/>
  <c r="I61" i="22"/>
  <c r="J61" i="22" s="1"/>
  <c r="K61" i="22" s="1"/>
  <c r="L61" i="22" s="1"/>
  <c r="S61" i="22"/>
  <c r="BJ62" i="22"/>
  <c r="H63" i="22" s="1"/>
  <c r="Y63" i="22" s="1"/>
  <c r="AH54" i="23"/>
  <c r="AP54" i="26"/>
  <c r="AO54" i="26"/>
  <c r="BI54" i="26"/>
  <c r="G55" i="26" s="1"/>
  <c r="BG54" i="26"/>
  <c r="E55" i="26" s="1"/>
  <c r="BF54" i="26"/>
  <c r="D55" i="26" s="1"/>
  <c r="BJ54" i="26"/>
  <c r="H55" i="26" s="1"/>
  <c r="Y55" i="26" s="1"/>
  <c r="BD54" i="26"/>
  <c r="BA54" i="23"/>
  <c r="AD54" i="23"/>
  <c r="BK54" i="23"/>
  <c r="AA54" i="23"/>
  <c r="AB54" i="23" s="1"/>
  <c r="AC54" i="23" s="1"/>
  <c r="AN54" i="23"/>
  <c r="AK54" i="23"/>
  <c r="AW54" i="23"/>
  <c r="AY54" i="23"/>
  <c r="AM54" i="23"/>
  <c r="AV54" i="23"/>
  <c r="AZ54" i="23"/>
  <c r="AJ54" i="23"/>
  <c r="AP60" i="22" l="1"/>
  <c r="AO60" i="22"/>
  <c r="BD61" i="22"/>
  <c r="B62" i="22" s="1"/>
  <c r="Z61" i="22"/>
  <c r="AH61" i="22" s="1"/>
  <c r="AQ54" i="26"/>
  <c r="B55" i="26"/>
  <c r="S55" i="26" s="1"/>
  <c r="BL54" i="26"/>
  <c r="AP54" i="23"/>
  <c r="AO54" i="23"/>
  <c r="BG54" i="23"/>
  <c r="E55" i="23" s="1"/>
  <c r="V55" i="23" s="1"/>
  <c r="BI54" i="23"/>
  <c r="G55" i="23" s="1"/>
  <c r="X55" i="23" s="1"/>
  <c r="BF54" i="23"/>
  <c r="D55" i="23" s="1"/>
  <c r="U55" i="23" s="1"/>
  <c r="BJ54" i="23"/>
  <c r="H55" i="23" s="1"/>
  <c r="Y55" i="23" s="1"/>
  <c r="BD54" i="23"/>
  <c r="AQ60" i="22" l="1"/>
  <c r="AT61" i="22"/>
  <c r="AD61" i="22"/>
  <c r="BA61" i="22"/>
  <c r="AA61" i="22"/>
  <c r="AB61" i="22" s="1"/>
  <c r="AC61" i="22" s="1"/>
  <c r="BK61" i="22"/>
  <c r="BL61" i="22"/>
  <c r="AJ61" i="22"/>
  <c r="AY61" i="22"/>
  <c r="AW61" i="22"/>
  <c r="AN61" i="22"/>
  <c r="AV61" i="22"/>
  <c r="AZ61" i="22"/>
  <c r="AM61" i="22"/>
  <c r="AK61" i="22"/>
  <c r="S62" i="22"/>
  <c r="I62" i="22"/>
  <c r="AQ54" i="23"/>
  <c r="I55" i="26"/>
  <c r="J55" i="26" s="1"/>
  <c r="K55" i="26" s="1"/>
  <c r="L55" i="26" s="1"/>
  <c r="B55" i="23"/>
  <c r="BL54" i="23"/>
  <c r="AP61" i="22" l="1"/>
  <c r="BD62" i="22"/>
  <c r="B63" i="22" s="1"/>
  <c r="Z62" i="22"/>
  <c r="AT62" i="22" s="1"/>
  <c r="AO61" i="22"/>
  <c r="J62" i="22"/>
  <c r="K62" i="22" s="1"/>
  <c r="L62" i="22" s="1"/>
  <c r="Z55" i="26"/>
  <c r="AT55" i="26" s="1"/>
  <c r="S55" i="23"/>
  <c r="I55" i="23"/>
  <c r="J55" i="23" s="1"/>
  <c r="K55" i="23" s="1"/>
  <c r="L55" i="23" s="1"/>
  <c r="AQ61" i="22" l="1"/>
  <c r="AH62" i="22"/>
  <c r="BA62" i="22"/>
  <c r="AD62" i="22"/>
  <c r="BK62" i="22"/>
  <c r="BL62" i="22"/>
  <c r="AA62" i="22"/>
  <c r="AB62" i="22" s="1"/>
  <c r="AC62" i="22" s="1"/>
  <c r="AY62" i="22"/>
  <c r="AW62" i="22"/>
  <c r="AN62" i="22"/>
  <c r="AV62" i="22"/>
  <c r="AM62" i="22"/>
  <c r="AZ62" i="22"/>
  <c r="AJ62" i="22"/>
  <c r="AK62" i="22"/>
  <c r="S63" i="22"/>
  <c r="I63" i="22"/>
  <c r="AA55" i="26"/>
  <c r="AB55" i="26" s="1"/>
  <c r="AC55" i="26" s="1"/>
  <c r="BA55" i="26"/>
  <c r="AD55" i="26"/>
  <c r="BK55" i="26"/>
  <c r="AW55" i="26"/>
  <c r="AY55" i="26"/>
  <c r="AV55" i="26"/>
  <c r="AK55" i="26"/>
  <c r="AM55" i="26"/>
  <c r="AJ55" i="26"/>
  <c r="AN55" i="26"/>
  <c r="AZ55" i="26"/>
  <c r="AH55" i="26"/>
  <c r="Z55" i="23"/>
  <c r="AT55" i="23" s="1"/>
  <c r="Z63" i="22" l="1"/>
  <c r="AT63" i="22" s="1"/>
  <c r="J63" i="22"/>
  <c r="K63" i="22" s="1"/>
  <c r="L63" i="22" s="1"/>
  <c r="AP62" i="22"/>
  <c r="AO62" i="22"/>
  <c r="AP55" i="26"/>
  <c r="AO55" i="26"/>
  <c r="BJ55" i="26"/>
  <c r="H56" i="26" s="1"/>
  <c r="Y56" i="26" s="1"/>
  <c r="BD55" i="26"/>
  <c r="BI55" i="26"/>
  <c r="G56" i="26" s="1"/>
  <c r="BG55" i="26"/>
  <c r="E56" i="26" s="1"/>
  <c r="BF55" i="26"/>
  <c r="D56" i="26" s="1"/>
  <c r="BK55" i="23"/>
  <c r="AD55" i="23"/>
  <c r="BA55" i="23"/>
  <c r="AA55" i="23"/>
  <c r="AB55" i="23" s="1"/>
  <c r="AC55" i="23" s="1"/>
  <c r="AV55" i="23"/>
  <c r="AK55" i="23"/>
  <c r="AY55" i="23"/>
  <c r="AJ55" i="23"/>
  <c r="AM55" i="23"/>
  <c r="AW55" i="23"/>
  <c r="AZ55" i="23"/>
  <c r="AN55" i="23"/>
  <c r="AH55" i="23"/>
  <c r="AH63" i="22" l="1"/>
  <c r="AQ62" i="22"/>
  <c r="AA63" i="22"/>
  <c r="AB63" i="22" s="1"/>
  <c r="AC63" i="22" s="1"/>
  <c r="BK63" i="22"/>
  <c r="AY63" i="22"/>
  <c r="BA63" i="22"/>
  <c r="AM63" i="22"/>
  <c r="AD63" i="22"/>
  <c r="AJ63" i="22"/>
  <c r="AK63" i="22"/>
  <c r="AZ63" i="22"/>
  <c r="AV63" i="22"/>
  <c r="AN63" i="22"/>
  <c r="AW63" i="22"/>
  <c r="AQ55" i="26"/>
  <c r="B56" i="26"/>
  <c r="S56" i="26" s="1"/>
  <c r="BL55" i="26"/>
  <c r="BJ55" i="23"/>
  <c r="H56" i="23" s="1"/>
  <c r="Y56" i="23" s="1"/>
  <c r="BI55" i="23"/>
  <c r="G56" i="23" s="1"/>
  <c r="X56" i="23" s="1"/>
  <c r="BF55" i="23"/>
  <c r="D56" i="23" s="1"/>
  <c r="U56" i="23" s="1"/>
  <c r="BG55" i="23"/>
  <c r="E56" i="23" s="1"/>
  <c r="V56" i="23" s="1"/>
  <c r="BD55" i="23"/>
  <c r="AO55" i="23"/>
  <c r="AP55" i="23"/>
  <c r="BI63" i="22" l="1"/>
  <c r="G64" i="22" s="1"/>
  <c r="X64" i="22" s="1"/>
  <c r="BG63" i="22"/>
  <c r="E64" i="22" s="1"/>
  <c r="V64" i="22" s="1"/>
  <c r="BJ63" i="22"/>
  <c r="H64" i="22" s="1"/>
  <c r="Y64" i="22" s="1"/>
  <c r="BF63" i="22"/>
  <c r="D64" i="22" s="1"/>
  <c r="U64" i="22" s="1"/>
  <c r="BD63" i="22"/>
  <c r="AO63" i="22"/>
  <c r="AP63" i="22"/>
  <c r="I56" i="26"/>
  <c r="J56" i="26" s="1"/>
  <c r="K56" i="26" s="1"/>
  <c r="L56" i="26" s="1"/>
  <c r="AQ55" i="23"/>
  <c r="B56" i="23"/>
  <c r="BL55" i="23"/>
  <c r="U65" i="22" l="1"/>
  <c r="BF64" i="22"/>
  <c r="D65" i="22" s="1"/>
  <c r="Y65" i="22"/>
  <c r="BJ64" i="22"/>
  <c r="H65" i="22" s="1"/>
  <c r="V65" i="22"/>
  <c r="BG64" i="22"/>
  <c r="E65" i="22" s="1"/>
  <c r="B64" i="22"/>
  <c r="BL63" i="22"/>
  <c r="X65" i="22"/>
  <c r="BI64" i="22"/>
  <c r="G65" i="22" s="1"/>
  <c r="AQ63" i="22"/>
  <c r="Z56" i="26"/>
  <c r="S56" i="23"/>
  <c r="I56" i="23"/>
  <c r="J56" i="23" s="1"/>
  <c r="K56" i="23" s="1"/>
  <c r="L56" i="23" s="1"/>
  <c r="I64" i="22" l="1"/>
  <c r="S64" i="22"/>
  <c r="BK56" i="26"/>
  <c r="AA56" i="26"/>
  <c r="AB56" i="26" s="1"/>
  <c r="AC56" i="26" s="1"/>
  <c r="BA56" i="26"/>
  <c r="AD56" i="26"/>
  <c r="AW56" i="26"/>
  <c r="AJ56" i="26"/>
  <c r="AK56" i="26"/>
  <c r="AV56" i="26"/>
  <c r="AM56" i="26"/>
  <c r="AZ56" i="26"/>
  <c r="AN56" i="26"/>
  <c r="AY56" i="26"/>
  <c r="AH56" i="26"/>
  <c r="AT56" i="26"/>
  <c r="Z56" i="23"/>
  <c r="AH56" i="23" s="1"/>
  <c r="Z64" i="22" l="1"/>
  <c r="AT64" i="22" s="1"/>
  <c r="BD64" i="22"/>
  <c r="B65" i="22" s="1"/>
  <c r="S65" i="22"/>
  <c r="J64" i="22"/>
  <c r="K64" i="22" s="1"/>
  <c r="L64" i="22" s="1"/>
  <c r="I75" i="22"/>
  <c r="AT56" i="23"/>
  <c r="AO56" i="26"/>
  <c r="AP56" i="26"/>
  <c r="BF56" i="26"/>
  <c r="D57" i="26" s="1"/>
  <c r="BJ56" i="26"/>
  <c r="H57" i="26" s="1"/>
  <c r="Y57" i="26" s="1"/>
  <c r="BD56" i="26"/>
  <c r="BI56" i="26"/>
  <c r="G57" i="26" s="1"/>
  <c r="BG56" i="26"/>
  <c r="E57" i="26" s="1"/>
  <c r="BK56" i="23"/>
  <c r="BA56" i="23"/>
  <c r="AD56" i="23"/>
  <c r="AA56" i="23"/>
  <c r="AB56" i="23" s="1"/>
  <c r="AC56" i="23" s="1"/>
  <c r="AY56" i="23"/>
  <c r="AW56" i="23"/>
  <c r="AK56" i="23"/>
  <c r="AM56" i="23"/>
  <c r="AZ56" i="23"/>
  <c r="AV56" i="23"/>
  <c r="AN56" i="23"/>
  <c r="AJ56" i="23"/>
  <c r="AH64" i="22" l="1"/>
  <c r="BL64" i="22"/>
  <c r="BK64" i="22"/>
  <c r="AN64" i="22"/>
  <c r="AW64" i="22"/>
  <c r="BA64" i="22"/>
  <c r="AY64" i="22"/>
  <c r="AK64" i="22"/>
  <c r="AJ64" i="22"/>
  <c r="AM64" i="22"/>
  <c r="AA64" i="22"/>
  <c r="AB64" i="22" s="1"/>
  <c r="AC64" i="22" s="1"/>
  <c r="AV64" i="22"/>
  <c r="AD64" i="22"/>
  <c r="AZ64" i="22"/>
  <c r="B57" i="26"/>
  <c r="S57" i="26" s="1"/>
  <c r="BL56" i="26"/>
  <c r="AQ56" i="26"/>
  <c r="AO56" i="23"/>
  <c r="BJ56" i="23"/>
  <c r="H57" i="23" s="1"/>
  <c r="Y57" i="23" s="1"/>
  <c r="BG56" i="23"/>
  <c r="E57" i="23" s="1"/>
  <c r="V57" i="23" s="1"/>
  <c r="BI56" i="23"/>
  <c r="G57" i="23" s="1"/>
  <c r="X57" i="23" s="1"/>
  <c r="BD56" i="23"/>
  <c r="BF56" i="23"/>
  <c r="D57" i="23" s="1"/>
  <c r="U57" i="23" s="1"/>
  <c r="AP56" i="23"/>
  <c r="AP64" i="22" l="1"/>
  <c r="AO64" i="22"/>
  <c r="AQ56" i="23"/>
  <c r="I57" i="26"/>
  <c r="J57" i="26" s="1"/>
  <c r="K57" i="26" s="1"/>
  <c r="L57" i="26" s="1"/>
  <c r="B57" i="23"/>
  <c r="BL56" i="23"/>
  <c r="AQ64" i="22" l="1"/>
  <c r="Z57" i="26"/>
  <c r="AT57" i="26" s="1"/>
  <c r="I57" i="23"/>
  <c r="J57" i="23" s="1"/>
  <c r="K57" i="23" s="1"/>
  <c r="L57" i="23" s="1"/>
  <c r="S57" i="23"/>
  <c r="AH57" i="26" l="1"/>
  <c r="BA57" i="26"/>
  <c r="AD57" i="26"/>
  <c r="BK57" i="26"/>
  <c r="AA57" i="26"/>
  <c r="AB57" i="26" s="1"/>
  <c r="AC57" i="26" s="1"/>
  <c r="AZ57" i="26"/>
  <c r="AY57" i="26"/>
  <c r="AM57" i="26"/>
  <c r="AV57" i="26"/>
  <c r="AW57" i="26"/>
  <c r="AN57" i="26"/>
  <c r="AK57" i="26"/>
  <c r="AJ57" i="26"/>
  <c r="Z65" i="22"/>
  <c r="I66" i="22" s="1"/>
  <c r="I65" i="22"/>
  <c r="Z57" i="23"/>
  <c r="AH57" i="23" s="1"/>
  <c r="BG57" i="26" l="1"/>
  <c r="E58" i="26" s="1"/>
  <c r="BF57" i="26"/>
  <c r="D58" i="26" s="1"/>
  <c r="BJ57" i="26"/>
  <c r="H58" i="26" s="1"/>
  <c r="Y58" i="26" s="1"/>
  <c r="BD57" i="26"/>
  <c r="BI57" i="26"/>
  <c r="G58" i="26" s="1"/>
  <c r="AP57" i="26"/>
  <c r="AO57" i="26"/>
  <c r="I72" i="22"/>
  <c r="BA57" i="23"/>
  <c r="AD57" i="23"/>
  <c r="BK57" i="23"/>
  <c r="AA57" i="23"/>
  <c r="AB57" i="23" s="1"/>
  <c r="AC57" i="23" s="1"/>
  <c r="AM57" i="23"/>
  <c r="AZ57" i="23"/>
  <c r="AN57" i="23"/>
  <c r="AY57" i="23"/>
  <c r="AJ57" i="23"/>
  <c r="AW57" i="23"/>
  <c r="AV57" i="23"/>
  <c r="AK57" i="23"/>
  <c r="AT57" i="23"/>
  <c r="B58" i="26" l="1"/>
  <c r="S58" i="26" s="1"/>
  <c r="BL57" i="26"/>
  <c r="AQ57" i="26"/>
  <c r="AP57" i="23"/>
  <c r="AO57" i="23"/>
  <c r="BI57" i="23"/>
  <c r="G58" i="23" s="1"/>
  <c r="X58" i="23" s="1"/>
  <c r="BD57" i="23"/>
  <c r="BG57" i="23"/>
  <c r="E58" i="23" s="1"/>
  <c r="V58" i="23" s="1"/>
  <c r="BJ57" i="23"/>
  <c r="H58" i="23" s="1"/>
  <c r="Y58" i="23" s="1"/>
  <c r="BF57" i="23"/>
  <c r="D58" i="23" s="1"/>
  <c r="U58" i="23" s="1"/>
  <c r="AQ57" i="23" l="1"/>
  <c r="I58" i="26"/>
  <c r="J58" i="26" s="1"/>
  <c r="K58" i="26" s="1"/>
  <c r="L58" i="26" s="1"/>
  <c r="B58" i="23"/>
  <c r="BL57" i="23"/>
  <c r="I68" i="22" l="1"/>
  <c r="Z58" i="26"/>
  <c r="I58" i="23"/>
  <c r="J58" i="23" s="1"/>
  <c r="K58" i="23" s="1"/>
  <c r="L58" i="23" s="1"/>
  <c r="S58" i="23"/>
  <c r="BK58" i="26" l="1"/>
  <c r="BA58" i="26"/>
  <c r="AD58" i="26"/>
  <c r="AA58" i="26"/>
  <c r="AB58" i="26" s="1"/>
  <c r="AC58" i="26" s="1"/>
  <c r="AJ58" i="26"/>
  <c r="AV58" i="26"/>
  <c r="AM58" i="26"/>
  <c r="AW58" i="26"/>
  <c r="AZ58" i="26"/>
  <c r="AK58" i="26"/>
  <c r="AN58" i="26"/>
  <c r="AY58" i="26"/>
  <c r="AT58" i="26"/>
  <c r="AH58" i="26"/>
  <c r="Z58" i="23"/>
  <c r="AH58" i="23" s="1"/>
  <c r="C41" i="19"/>
  <c r="H41" i="19"/>
  <c r="F41" i="19"/>
  <c r="AT40" i="19"/>
  <c r="AU40" i="19" s="1"/>
  <c r="B41" i="19"/>
  <c r="I67" i="22" l="1"/>
  <c r="I73" i="22"/>
  <c r="AT58" i="23"/>
  <c r="AO58" i="26"/>
  <c r="AP58" i="26"/>
  <c r="BF58" i="26"/>
  <c r="D59" i="26" s="1"/>
  <c r="BJ58" i="26"/>
  <c r="H59" i="26" s="1"/>
  <c r="Y59" i="26" s="1"/>
  <c r="BI58" i="26"/>
  <c r="G59" i="26" s="1"/>
  <c r="BG58" i="26"/>
  <c r="E59" i="26" s="1"/>
  <c r="BD58" i="26"/>
  <c r="BA58" i="23"/>
  <c r="AD58" i="23"/>
  <c r="BK58" i="23"/>
  <c r="AA58" i="23"/>
  <c r="AB58" i="23" s="1"/>
  <c r="AC58" i="23" s="1"/>
  <c r="AN58" i="23"/>
  <c r="AW58" i="23"/>
  <c r="AZ58" i="23"/>
  <c r="AK58" i="23"/>
  <c r="AJ58" i="23"/>
  <c r="AY58" i="23"/>
  <c r="AM58" i="23"/>
  <c r="AV58" i="23"/>
  <c r="I41" i="19"/>
  <c r="AQ58" i="26" l="1"/>
  <c r="B59" i="26"/>
  <c r="S59" i="26" s="1"/>
  <c r="BL58" i="26"/>
  <c r="AP58" i="23"/>
  <c r="BJ58" i="23"/>
  <c r="H59" i="23" s="1"/>
  <c r="Y59" i="23" s="1"/>
  <c r="BI58" i="23"/>
  <c r="G59" i="23" s="1"/>
  <c r="X59" i="23" s="1"/>
  <c r="BG58" i="23"/>
  <c r="E59" i="23" s="1"/>
  <c r="V59" i="23" s="1"/>
  <c r="BD58" i="23"/>
  <c r="BF58" i="23"/>
  <c r="D59" i="23" s="1"/>
  <c r="U59" i="23" s="1"/>
  <c r="AO58" i="23"/>
  <c r="T41" i="19"/>
  <c r="AS41" i="19"/>
  <c r="AQ41" i="19"/>
  <c r="AM41" i="19"/>
  <c r="AN41" i="19"/>
  <c r="AD41" i="19"/>
  <c r="P41" i="19"/>
  <c r="AC41" i="19"/>
  <c r="AG41" i="19"/>
  <c r="AJ41" i="19"/>
  <c r="V41" i="19"/>
  <c r="J41" i="19"/>
  <c r="AI41" i="19"/>
  <c r="Q41" i="19"/>
  <c r="AT41" i="19" l="1"/>
  <c r="AU41" i="19" s="1"/>
  <c r="AQ58" i="23"/>
  <c r="I59" i="26"/>
  <c r="J59" i="26" s="1"/>
  <c r="K59" i="26" s="1"/>
  <c r="L59" i="26" s="1"/>
  <c r="B59" i="23"/>
  <c r="BL58" i="23"/>
  <c r="B42" i="19"/>
  <c r="H42" i="19"/>
  <c r="C42" i="19"/>
  <c r="F42" i="19"/>
  <c r="X41" i="19"/>
  <c r="K41" i="19"/>
  <c r="L41" i="19" s="1"/>
  <c r="W41" i="19"/>
  <c r="Z59" i="26" l="1"/>
  <c r="AH59" i="26" s="1"/>
  <c r="S59" i="23"/>
  <c r="I59" i="23"/>
  <c r="J59" i="23" s="1"/>
  <c r="K59" i="23" s="1"/>
  <c r="L59" i="23" s="1"/>
  <c r="O24" i="8"/>
  <c r="H24" i="8"/>
  <c r="F24" i="8"/>
  <c r="B30" i="8"/>
  <c r="H22" i="8"/>
  <c r="F22" i="8"/>
  <c r="I42" i="19"/>
  <c r="Y41" i="19"/>
  <c r="BA59" i="26" l="1"/>
  <c r="AD59" i="26"/>
  <c r="BK59" i="26"/>
  <c r="AA59" i="26"/>
  <c r="AB59" i="26" s="1"/>
  <c r="AC59" i="26" s="1"/>
  <c r="AW59" i="26"/>
  <c r="AM59" i="26"/>
  <c r="AN59" i="26"/>
  <c r="AV59" i="26"/>
  <c r="AK59" i="26"/>
  <c r="AZ59" i="26"/>
  <c r="AY59" i="26"/>
  <c r="AJ59" i="26"/>
  <c r="AT59" i="26"/>
  <c r="Z59" i="23"/>
  <c r="AT59" i="23" s="1"/>
  <c r="H23" i="8"/>
  <c r="O23" i="8"/>
  <c r="F23" i="8"/>
  <c r="F21" i="8"/>
  <c r="H21" i="8"/>
  <c r="J21" i="8"/>
  <c r="P42" i="19"/>
  <c r="AC42" i="19"/>
  <c r="AD42" i="19"/>
  <c r="AN42" i="19"/>
  <c r="AM42" i="19"/>
  <c r="AQ42" i="19"/>
  <c r="AS42" i="19"/>
  <c r="AJ42" i="19"/>
  <c r="J42" i="19"/>
  <c r="K42" i="19" s="1"/>
  <c r="L42" i="19" s="1"/>
  <c r="V42" i="19"/>
  <c r="T42" i="19"/>
  <c r="AI42" i="19"/>
  <c r="Q42" i="19"/>
  <c r="AG42" i="19"/>
  <c r="W42" i="19" l="1"/>
  <c r="AT42" i="19"/>
  <c r="AU42" i="19" s="1"/>
  <c r="AP59" i="26"/>
  <c r="BG59" i="26"/>
  <c r="E60" i="26" s="1"/>
  <c r="BJ59" i="26"/>
  <c r="H60" i="26" s="1"/>
  <c r="Y60" i="26" s="1"/>
  <c r="BD59" i="26"/>
  <c r="BF59" i="26"/>
  <c r="D60" i="26" s="1"/>
  <c r="BI59" i="26"/>
  <c r="G60" i="26" s="1"/>
  <c r="AO59" i="26"/>
  <c r="BK59" i="23"/>
  <c r="AD59" i="23"/>
  <c r="AA59" i="23"/>
  <c r="AB59" i="23" s="1"/>
  <c r="AC59" i="23" s="1"/>
  <c r="BA59" i="23"/>
  <c r="AZ59" i="23"/>
  <c r="AN59" i="23"/>
  <c r="AM59" i="23"/>
  <c r="AK59" i="23"/>
  <c r="AW59" i="23"/>
  <c r="AY59" i="23"/>
  <c r="AV59" i="23"/>
  <c r="AJ59" i="23"/>
  <c r="AH59" i="23"/>
  <c r="H43" i="19"/>
  <c r="F43" i="19"/>
  <c r="X42" i="19"/>
  <c r="Y42" i="19" s="1"/>
  <c r="C43" i="19"/>
  <c r="B43" i="19"/>
  <c r="AQ59" i="26" l="1"/>
  <c r="B60" i="26"/>
  <c r="S60" i="26" s="1"/>
  <c r="BL59" i="26"/>
  <c r="AO59" i="23"/>
  <c r="AP59" i="23"/>
  <c r="BD59" i="23"/>
  <c r="BG59" i="23"/>
  <c r="E60" i="23" s="1"/>
  <c r="V60" i="23" s="1"/>
  <c r="BF59" i="23"/>
  <c r="D60" i="23" s="1"/>
  <c r="U60" i="23" s="1"/>
  <c r="BJ59" i="23"/>
  <c r="H60" i="23" s="1"/>
  <c r="Y60" i="23" s="1"/>
  <c r="BI59" i="23"/>
  <c r="G60" i="23" s="1"/>
  <c r="X60" i="23" s="1"/>
  <c r="I43" i="19"/>
  <c r="P43" i="19" s="1"/>
  <c r="I60" i="26" l="1"/>
  <c r="J60" i="26" s="1"/>
  <c r="B60" i="23"/>
  <c r="BL59" i="23"/>
  <c r="AQ59" i="23"/>
  <c r="V43" i="19"/>
  <c r="AS43" i="19"/>
  <c r="AQ43" i="19"/>
  <c r="AM43" i="19"/>
  <c r="AT43" i="19" s="1"/>
  <c r="AU43" i="19" s="1"/>
  <c r="AN43" i="19"/>
  <c r="AJ43" i="19"/>
  <c r="J43" i="19"/>
  <c r="K43" i="19" s="1"/>
  <c r="L43" i="19" s="1"/>
  <c r="Q43" i="19"/>
  <c r="AI43" i="19"/>
  <c r="AG43" i="19"/>
  <c r="T43" i="19"/>
  <c r="AC43" i="19"/>
  <c r="AD43" i="19"/>
  <c r="Z60" i="26" l="1"/>
  <c r="AT60" i="26" s="1"/>
  <c r="I69" i="26"/>
  <c r="K60" i="26"/>
  <c r="I60" i="23"/>
  <c r="J60" i="23" s="1"/>
  <c r="S60" i="23"/>
  <c r="X43" i="19"/>
  <c r="C44" i="19"/>
  <c r="B44" i="19"/>
  <c r="W43" i="19"/>
  <c r="H44" i="19"/>
  <c r="F44" i="19"/>
  <c r="I70" i="26" l="1"/>
  <c r="L60" i="26"/>
  <c r="AA60" i="26"/>
  <c r="AB60" i="26" s="1"/>
  <c r="AC60" i="26" s="1"/>
  <c r="BA60" i="26"/>
  <c r="AD60" i="26"/>
  <c r="BK60" i="26"/>
  <c r="AJ60" i="26"/>
  <c r="AW60" i="26"/>
  <c r="AZ60" i="26"/>
  <c r="AV60" i="26"/>
  <c r="AM60" i="26"/>
  <c r="AK60" i="26"/>
  <c r="AN60" i="26"/>
  <c r="AY60" i="26"/>
  <c r="AH60" i="26"/>
  <c r="Z60" i="23"/>
  <c r="K60" i="23"/>
  <c r="I69" i="23"/>
  <c r="Y43" i="19"/>
  <c r="I44" i="19"/>
  <c r="P44" i="19" s="1"/>
  <c r="AP60" i="26" l="1"/>
  <c r="AO60" i="26"/>
  <c r="BI60" i="26"/>
  <c r="G61" i="26" s="1"/>
  <c r="BG60" i="26"/>
  <c r="E61" i="26" s="1"/>
  <c r="BF60" i="26"/>
  <c r="D61" i="26" s="1"/>
  <c r="BD60" i="26"/>
  <c r="BJ60" i="26"/>
  <c r="H61" i="26" s="1"/>
  <c r="Y61" i="26" s="1"/>
  <c r="L60" i="23"/>
  <c r="I70" i="23"/>
  <c r="BA60" i="23"/>
  <c r="AD60" i="23"/>
  <c r="AA60" i="23"/>
  <c r="AB60" i="23" s="1"/>
  <c r="AC60" i="23" s="1"/>
  <c r="BK60" i="23"/>
  <c r="AM60" i="23"/>
  <c r="AJ60" i="23"/>
  <c r="AY60" i="23"/>
  <c r="AV60" i="23"/>
  <c r="AN60" i="23"/>
  <c r="AK60" i="23"/>
  <c r="AW60" i="23"/>
  <c r="AZ60" i="23"/>
  <c r="AH60" i="23"/>
  <c r="AT60" i="23"/>
  <c r="AG44" i="19"/>
  <c r="AI44" i="19"/>
  <c r="V44" i="19"/>
  <c r="Q44" i="19"/>
  <c r="AD44" i="19"/>
  <c r="AC44" i="19"/>
  <c r="AN44" i="19"/>
  <c r="AM44" i="19"/>
  <c r="AS44" i="19"/>
  <c r="AQ44" i="19"/>
  <c r="AJ44" i="19"/>
  <c r="J44" i="19"/>
  <c r="K44" i="19" s="1"/>
  <c r="L44" i="19" s="1"/>
  <c r="T44" i="19"/>
  <c r="AT44" i="19" l="1"/>
  <c r="AQ60" i="26"/>
  <c r="B61" i="26"/>
  <c r="S61" i="26" s="1"/>
  <c r="BL60" i="26"/>
  <c r="BF60" i="23"/>
  <c r="D61" i="23" s="1"/>
  <c r="U61" i="23" s="1"/>
  <c r="BD60" i="23"/>
  <c r="BJ60" i="23"/>
  <c r="H61" i="23" s="1"/>
  <c r="Y61" i="23" s="1"/>
  <c r="BG60" i="23"/>
  <c r="E61" i="23" s="1"/>
  <c r="V61" i="23" s="1"/>
  <c r="BI60" i="23"/>
  <c r="G61" i="23" s="1"/>
  <c r="X61" i="23" s="1"/>
  <c r="AP60" i="23"/>
  <c r="AO60" i="23"/>
  <c r="W44" i="19"/>
  <c r="H45" i="19"/>
  <c r="AU44" i="19"/>
  <c r="B45" i="19"/>
  <c r="X44" i="19"/>
  <c r="C45" i="19"/>
  <c r="AQ60" i="23" l="1"/>
  <c r="I61" i="26"/>
  <c r="J61" i="26" s="1"/>
  <c r="K61" i="26" s="1"/>
  <c r="L61" i="26" s="1"/>
  <c r="B61" i="23"/>
  <c r="BL60" i="23"/>
  <c r="Y44" i="19"/>
  <c r="I45" i="19"/>
  <c r="AC45" i="19" s="1"/>
  <c r="Z61" i="26" l="1"/>
  <c r="I61" i="23"/>
  <c r="J61" i="23" s="1"/>
  <c r="K61" i="23" s="1"/>
  <c r="L61" i="23" s="1"/>
  <c r="S61" i="23"/>
  <c r="Q45" i="19"/>
  <c r="V45" i="19"/>
  <c r="AD45" i="19"/>
  <c r="P45" i="19"/>
  <c r="AS45" i="19"/>
  <c r="AM45" i="19"/>
  <c r="AN45" i="19"/>
  <c r="AJ45" i="19"/>
  <c r="J45" i="19"/>
  <c r="K45" i="19" s="1"/>
  <c r="L45" i="19" s="1"/>
  <c r="T45" i="19"/>
  <c r="AI45" i="19"/>
  <c r="AT45" i="19" l="1"/>
  <c r="AU45" i="19" s="1"/>
  <c r="AA61" i="26"/>
  <c r="AB61" i="26" s="1"/>
  <c r="AC61" i="26" s="1"/>
  <c r="BA61" i="26"/>
  <c r="AD61" i="26"/>
  <c r="BK61" i="26"/>
  <c r="AW61" i="26"/>
  <c r="AK61" i="26"/>
  <c r="AZ61" i="26"/>
  <c r="AY61" i="26"/>
  <c r="AN61" i="26"/>
  <c r="AJ61" i="26"/>
  <c r="AM61" i="26"/>
  <c r="AV61" i="26"/>
  <c r="AH61" i="26"/>
  <c r="AT61" i="26"/>
  <c r="Z61" i="23"/>
  <c r="AH61" i="23" s="1"/>
  <c r="B46" i="19"/>
  <c r="H46" i="19"/>
  <c r="C46" i="19"/>
  <c r="W45" i="19"/>
  <c r="X45" i="19"/>
  <c r="AT61" i="23" l="1"/>
  <c r="AP61" i="26"/>
  <c r="AO61" i="26"/>
  <c r="BJ61" i="26"/>
  <c r="H62" i="26" s="1"/>
  <c r="Y62" i="26" s="1"/>
  <c r="BD61" i="26"/>
  <c r="BI61" i="26"/>
  <c r="G62" i="26" s="1"/>
  <c r="BG61" i="26"/>
  <c r="E62" i="26" s="1"/>
  <c r="BF61" i="26"/>
  <c r="D62" i="26" s="1"/>
  <c r="AA61" i="23"/>
  <c r="AB61" i="23" s="1"/>
  <c r="AC61" i="23" s="1"/>
  <c r="BK61" i="23"/>
  <c r="AD61" i="23"/>
  <c r="BA61" i="23"/>
  <c r="AN61" i="23"/>
  <c r="AV61" i="23"/>
  <c r="AJ61" i="23"/>
  <c r="AK61" i="23"/>
  <c r="AY61" i="23"/>
  <c r="AM61" i="23"/>
  <c r="AZ61" i="23"/>
  <c r="AW61" i="23"/>
  <c r="I46" i="19"/>
  <c r="AR46" i="19" s="1"/>
  <c r="G47" i="19" s="1"/>
  <c r="Y45" i="19"/>
  <c r="T46" i="19" l="1"/>
  <c r="P46" i="19"/>
  <c r="AQ61" i="26"/>
  <c r="B62" i="26"/>
  <c r="S62" i="26" s="1"/>
  <c r="BL61" i="26"/>
  <c r="AP61" i="23"/>
  <c r="BG61" i="23"/>
  <c r="E62" i="23" s="1"/>
  <c r="V62" i="23" s="1"/>
  <c r="BF61" i="23"/>
  <c r="D62" i="23" s="1"/>
  <c r="U62" i="23" s="1"/>
  <c r="BJ61" i="23"/>
  <c r="H62" i="23" s="1"/>
  <c r="Y62" i="23" s="1"/>
  <c r="BI61" i="23"/>
  <c r="G62" i="23" s="1"/>
  <c r="X62" i="23" s="1"/>
  <c r="BD61" i="23"/>
  <c r="AO61" i="23"/>
  <c r="AC46" i="19"/>
  <c r="AD46" i="19"/>
  <c r="AI46" i="19"/>
  <c r="AN46" i="19"/>
  <c r="AM46" i="19"/>
  <c r="AS46" i="19"/>
  <c r="AJ46" i="19"/>
  <c r="J46" i="19"/>
  <c r="K46" i="19" s="1"/>
  <c r="L46" i="19" s="1"/>
  <c r="Q46" i="19"/>
  <c r="V46" i="19"/>
  <c r="E47" i="19" l="1"/>
  <c r="D47" i="19"/>
  <c r="AT46" i="19"/>
  <c r="AU46" i="19" s="1"/>
  <c r="X46" i="19"/>
  <c r="I62" i="26"/>
  <c r="J62" i="26" s="1"/>
  <c r="K62" i="26" s="1"/>
  <c r="L62" i="26" s="1"/>
  <c r="AQ61" i="23"/>
  <c r="B62" i="23"/>
  <c r="BL61" i="23"/>
  <c r="B47" i="19"/>
  <c r="W46" i="19"/>
  <c r="H47" i="19"/>
  <c r="Y46" i="19" l="1"/>
  <c r="Z62" i="26"/>
  <c r="AT62" i="26" s="1"/>
  <c r="S62" i="23"/>
  <c r="I62" i="23"/>
  <c r="J62" i="23" s="1"/>
  <c r="K62" i="23" s="1"/>
  <c r="L62" i="23" s="1"/>
  <c r="I47" i="19"/>
  <c r="AH47" i="19" l="1"/>
  <c r="U47" i="19"/>
  <c r="V47" i="19"/>
  <c r="AR47" i="19"/>
  <c r="G48" i="19" s="1"/>
  <c r="Q47" i="19"/>
  <c r="P47" i="19"/>
  <c r="AH62" i="26"/>
  <c r="BK62" i="26"/>
  <c r="AA62" i="26"/>
  <c r="AB62" i="26" s="1"/>
  <c r="AC62" i="26" s="1"/>
  <c r="BA62" i="26"/>
  <c r="AD62" i="26"/>
  <c r="AW62" i="26"/>
  <c r="AZ62" i="26"/>
  <c r="AV62" i="26"/>
  <c r="AK62" i="26"/>
  <c r="AN62" i="26"/>
  <c r="AY62" i="26"/>
  <c r="AJ62" i="26"/>
  <c r="AM62" i="26"/>
  <c r="Z62" i="23"/>
  <c r="AH62" i="23" s="1"/>
  <c r="AC47" i="19"/>
  <c r="AI47" i="19"/>
  <c r="AS47" i="19"/>
  <c r="AM47" i="19"/>
  <c r="AJ47" i="19"/>
  <c r="J47" i="19"/>
  <c r="K47" i="19" s="1"/>
  <c r="L47" i="19" s="1"/>
  <c r="X47" i="19" l="1"/>
  <c r="AT47" i="19"/>
  <c r="AU47" i="19" s="1"/>
  <c r="AT62" i="23"/>
  <c r="AO62" i="26"/>
  <c r="BF62" i="26"/>
  <c r="D63" i="26" s="1"/>
  <c r="BJ62" i="26"/>
  <c r="H63" i="26" s="1"/>
  <c r="Y63" i="26" s="1"/>
  <c r="BD62" i="26"/>
  <c r="BI62" i="26"/>
  <c r="G63" i="26" s="1"/>
  <c r="BG62" i="26"/>
  <c r="E63" i="26" s="1"/>
  <c r="AP62" i="26"/>
  <c r="AA62" i="23"/>
  <c r="AB62" i="23" s="1"/>
  <c r="AC62" i="23" s="1"/>
  <c r="AD62" i="23"/>
  <c r="BK62" i="23"/>
  <c r="BA62" i="23"/>
  <c r="AW62" i="23"/>
  <c r="AK62" i="23"/>
  <c r="AN62" i="23"/>
  <c r="AM62" i="23"/>
  <c r="AY62" i="23"/>
  <c r="AV62" i="23"/>
  <c r="AJ62" i="23"/>
  <c r="AZ62" i="23"/>
  <c r="H48" i="19"/>
  <c r="B48" i="19"/>
  <c r="W47" i="19"/>
  <c r="Y47" i="19" s="1"/>
  <c r="AQ62" i="26" l="1"/>
  <c r="B63" i="26"/>
  <c r="S63" i="26" s="1"/>
  <c r="BL62" i="26"/>
  <c r="AP62" i="23"/>
  <c r="AO62" i="23"/>
  <c r="BI62" i="23"/>
  <c r="G63" i="23" s="1"/>
  <c r="X63" i="23" s="1"/>
  <c r="BG62" i="23"/>
  <c r="E63" i="23" s="1"/>
  <c r="V63" i="23" s="1"/>
  <c r="BD62" i="23"/>
  <c r="BF62" i="23"/>
  <c r="D63" i="23" s="1"/>
  <c r="U63" i="23" s="1"/>
  <c r="BJ62" i="23"/>
  <c r="H63" i="23" s="1"/>
  <c r="Y63" i="23" s="1"/>
  <c r="I48" i="19"/>
  <c r="AO48" i="19" l="1"/>
  <c r="D49" i="19" s="1"/>
  <c r="AP48" i="19"/>
  <c r="E49" i="19" s="1"/>
  <c r="U48" i="19"/>
  <c r="AH48" i="19"/>
  <c r="AI48" i="19"/>
  <c r="AR48" i="19"/>
  <c r="G49" i="19" s="1"/>
  <c r="AQ62" i="23"/>
  <c r="I63" i="26"/>
  <c r="J63" i="26" s="1"/>
  <c r="K63" i="26" s="1"/>
  <c r="L63" i="26" s="1"/>
  <c r="B63" i="23"/>
  <c r="BL62" i="23"/>
  <c r="AC48" i="19"/>
  <c r="AM48" i="19"/>
  <c r="AS48" i="19"/>
  <c r="AJ48" i="19"/>
  <c r="J48" i="19"/>
  <c r="K48" i="19" s="1"/>
  <c r="L48" i="19" s="1"/>
  <c r="V48" i="19"/>
  <c r="P48" i="19"/>
  <c r="Q48" i="19"/>
  <c r="AT48" i="19" l="1"/>
  <c r="AU48" i="19" s="1"/>
  <c r="Z63" i="26"/>
  <c r="S63" i="23"/>
  <c r="I63" i="23"/>
  <c r="J63" i="23" s="1"/>
  <c r="K63" i="23" s="1"/>
  <c r="L63" i="23" s="1"/>
  <c r="W48" i="19"/>
  <c r="X48" i="19"/>
  <c r="B49" i="19"/>
  <c r="H49" i="19"/>
  <c r="AA63" i="26" l="1"/>
  <c r="AB63" i="26" s="1"/>
  <c r="AC63" i="26" s="1"/>
  <c r="BA63" i="26"/>
  <c r="AD63" i="26"/>
  <c r="BK63" i="26"/>
  <c r="AZ63" i="26"/>
  <c r="AM63" i="26"/>
  <c r="AV63" i="26"/>
  <c r="AK63" i="26"/>
  <c r="AN63" i="26"/>
  <c r="AW63" i="26"/>
  <c r="AY63" i="26"/>
  <c r="AJ63" i="26"/>
  <c r="AH63" i="26"/>
  <c r="AT63" i="26"/>
  <c r="Z63" i="23"/>
  <c r="Y48" i="19"/>
  <c r="I49" i="19"/>
  <c r="S49" i="19" s="1"/>
  <c r="AP49" i="19" l="1"/>
  <c r="E50" i="19" s="1"/>
  <c r="AO49" i="19"/>
  <c r="D50" i="19" s="1"/>
  <c r="R49" i="19"/>
  <c r="AR49" i="19"/>
  <c r="G50" i="19" s="1"/>
  <c r="BI63" i="26"/>
  <c r="G64" i="26" s="1"/>
  <c r="BG63" i="26"/>
  <c r="E64" i="26" s="1"/>
  <c r="BD63" i="26"/>
  <c r="BJ63" i="26"/>
  <c r="H64" i="26" s="1"/>
  <c r="Y64" i="26" s="1"/>
  <c r="BF63" i="26"/>
  <c r="D64" i="26" s="1"/>
  <c r="AP63" i="26"/>
  <c r="AO63" i="26"/>
  <c r="AA63" i="23"/>
  <c r="AB63" i="23" s="1"/>
  <c r="AC63" i="23" s="1"/>
  <c r="BK63" i="23"/>
  <c r="BA63" i="23"/>
  <c r="AD63" i="23"/>
  <c r="AJ63" i="23"/>
  <c r="AN63" i="23"/>
  <c r="AK63" i="23"/>
  <c r="AM63" i="23"/>
  <c r="AV63" i="23"/>
  <c r="AZ63" i="23"/>
  <c r="AW63" i="23"/>
  <c r="AY63" i="23"/>
  <c r="AH63" i="23"/>
  <c r="AT63" i="23"/>
  <c r="U49" i="19"/>
  <c r="V49" i="19"/>
  <c r="AI49" i="19"/>
  <c r="AC49" i="19"/>
  <c r="P49" i="19"/>
  <c r="AS49" i="19"/>
  <c r="AM49" i="19"/>
  <c r="J49" i="19"/>
  <c r="K49" i="19" s="1"/>
  <c r="L49" i="19" s="1"/>
  <c r="AJ49" i="19"/>
  <c r="AH49" i="19"/>
  <c r="AT49" i="19" l="1"/>
  <c r="AU49" i="19" s="1"/>
  <c r="X65" i="26"/>
  <c r="U65" i="26"/>
  <c r="V65" i="26"/>
  <c r="AQ63" i="26"/>
  <c r="B64" i="26"/>
  <c r="S64" i="26" s="1"/>
  <c r="BL63" i="26"/>
  <c r="AP63" i="23"/>
  <c r="AO63" i="23"/>
  <c r="BJ63" i="23"/>
  <c r="H64" i="23" s="1"/>
  <c r="Y64" i="23" s="1"/>
  <c r="Y65" i="23" s="1"/>
  <c r="BI63" i="23"/>
  <c r="G64" i="23" s="1"/>
  <c r="X64" i="23" s="1"/>
  <c r="X65" i="23" s="1"/>
  <c r="BF63" i="23"/>
  <c r="D64" i="23" s="1"/>
  <c r="U64" i="23" s="1"/>
  <c r="U65" i="23" s="1"/>
  <c r="BG63" i="23"/>
  <c r="E64" i="23" s="1"/>
  <c r="V64" i="23" s="1"/>
  <c r="V65" i="23" s="1"/>
  <c r="BD63" i="23"/>
  <c r="H50" i="19"/>
  <c r="B50" i="19"/>
  <c r="X49" i="19"/>
  <c r="W49" i="19"/>
  <c r="S65" i="26" l="1"/>
  <c r="Y65" i="26"/>
  <c r="AQ63" i="23"/>
  <c r="I64" i="26"/>
  <c r="J64" i="26" s="1"/>
  <c r="K64" i="26" s="1"/>
  <c r="L64" i="26" s="1"/>
  <c r="B64" i="23"/>
  <c r="BL63" i="23"/>
  <c r="Y49" i="19"/>
  <c r="I50" i="19"/>
  <c r="R50" i="19" l="1"/>
  <c r="S50" i="19"/>
  <c r="AP50" i="19"/>
  <c r="E51" i="19" s="1"/>
  <c r="AO50" i="19"/>
  <c r="D51" i="19" s="1"/>
  <c r="P50" i="19"/>
  <c r="AR50" i="19"/>
  <c r="G51" i="19" s="1"/>
  <c r="Z64" i="26"/>
  <c r="S64" i="23"/>
  <c r="S65" i="23" s="1"/>
  <c r="I64" i="23"/>
  <c r="J64" i="23" s="1"/>
  <c r="K64" i="23" s="1"/>
  <c r="L64" i="23" s="1"/>
  <c r="V50" i="19"/>
  <c r="AC50" i="19"/>
  <c r="AI50" i="19"/>
  <c r="AM50" i="19"/>
  <c r="AS50" i="19"/>
  <c r="U50" i="19"/>
  <c r="AH50" i="19"/>
  <c r="AJ50" i="19"/>
  <c r="J50" i="19"/>
  <c r="K50" i="19" s="1"/>
  <c r="L50" i="19" s="1"/>
  <c r="AT50" i="19" l="1"/>
  <c r="AU50" i="19" s="1"/>
  <c r="X50" i="19"/>
  <c r="AT64" i="26"/>
  <c r="Z65" i="26"/>
  <c r="AH64" i="26"/>
  <c r="BK64" i="26"/>
  <c r="AA64" i="26"/>
  <c r="AB64" i="26" s="1"/>
  <c r="AC64" i="26" s="1"/>
  <c r="BA64" i="26"/>
  <c r="AD64" i="26"/>
  <c r="AV64" i="26"/>
  <c r="AZ64" i="26"/>
  <c r="AK64" i="26"/>
  <c r="AY64" i="26"/>
  <c r="AW64" i="26"/>
  <c r="AN64" i="26"/>
  <c r="AJ64" i="26"/>
  <c r="AM64" i="26"/>
  <c r="Z64" i="23"/>
  <c r="AT64" i="23" s="1"/>
  <c r="H51" i="19"/>
  <c r="B51" i="19"/>
  <c r="W50" i="19"/>
  <c r="Y50" i="19" l="1"/>
  <c r="AH64" i="23"/>
  <c r="AO64" i="26"/>
  <c r="BF64" i="26"/>
  <c r="BJ64" i="26"/>
  <c r="BD64" i="26"/>
  <c r="B65" i="26" s="1"/>
  <c r="BI64" i="26"/>
  <c r="BG64" i="26"/>
  <c r="AP64" i="26"/>
  <c r="BK64" i="23"/>
  <c r="BA64" i="23"/>
  <c r="AD64" i="23"/>
  <c r="AA64" i="23"/>
  <c r="AB64" i="23" s="1"/>
  <c r="AC64" i="23" s="1"/>
  <c r="AV64" i="23"/>
  <c r="AY64" i="23"/>
  <c r="AM64" i="23"/>
  <c r="AZ64" i="23"/>
  <c r="AJ64" i="23"/>
  <c r="AK64" i="23"/>
  <c r="AN64" i="23"/>
  <c r="AW64" i="23"/>
  <c r="I51" i="19"/>
  <c r="AE51" i="19" l="1"/>
  <c r="AR51" i="19"/>
  <c r="G52" i="19" s="1"/>
  <c r="AQ64" i="26"/>
  <c r="D65" i="26"/>
  <c r="H65" i="26"/>
  <c r="G65" i="26"/>
  <c r="E65" i="26"/>
  <c r="BL64" i="26"/>
  <c r="AO64" i="23"/>
  <c r="BJ64" i="23"/>
  <c r="H65" i="23" s="1"/>
  <c r="BG64" i="23"/>
  <c r="E65" i="23" s="1"/>
  <c r="BI64" i="23"/>
  <c r="G65" i="23" s="1"/>
  <c r="BF64" i="23"/>
  <c r="D65" i="23" s="1"/>
  <c r="BD64" i="23"/>
  <c r="B65" i="23" s="1"/>
  <c r="AP64" i="23"/>
  <c r="P51" i="19"/>
  <c r="AC51" i="19"/>
  <c r="V51" i="19"/>
  <c r="R51" i="19"/>
  <c r="AI51" i="19"/>
  <c r="AF51" i="19"/>
  <c r="AS51" i="19"/>
  <c r="AM51" i="19"/>
  <c r="AP51" i="19"/>
  <c r="AO51" i="19"/>
  <c r="J51" i="19"/>
  <c r="K51" i="19" s="1"/>
  <c r="L51" i="19" s="1"/>
  <c r="AJ51" i="19"/>
  <c r="AH51" i="19"/>
  <c r="U51" i="19"/>
  <c r="S51" i="19"/>
  <c r="AT51" i="19" l="1"/>
  <c r="AU51" i="19" s="1"/>
  <c r="AQ64" i="23"/>
  <c r="BL64" i="23"/>
  <c r="X51" i="19"/>
  <c r="D52" i="19"/>
  <c r="H52" i="19"/>
  <c r="E52" i="19"/>
  <c r="W51" i="19"/>
  <c r="B52" i="19"/>
  <c r="Y51" i="19" l="1"/>
  <c r="I52" i="19"/>
  <c r="V52" i="19" s="1"/>
  <c r="AI52" i="19" l="1"/>
  <c r="AE52" i="19"/>
  <c r="AM52" i="19"/>
  <c r="AP52" i="19"/>
  <c r="E53" i="19" s="1"/>
  <c r="AS52" i="19"/>
  <c r="H53" i="19" s="1"/>
  <c r="AR52" i="19"/>
  <c r="G53" i="19" s="1"/>
  <c r="AO52" i="19"/>
  <c r="D53" i="19" s="1"/>
  <c r="J52" i="19"/>
  <c r="K52" i="19" s="1"/>
  <c r="L52" i="19" s="1"/>
  <c r="AJ52" i="19"/>
  <c r="U52" i="19"/>
  <c r="AH52" i="19"/>
  <c r="AC52" i="19"/>
  <c r="AF52" i="19"/>
  <c r="R52" i="19"/>
  <c r="P52" i="19"/>
  <c r="S52" i="19"/>
  <c r="B53" i="19" l="1"/>
  <c r="AT52" i="19"/>
  <c r="AU52" i="19" s="1"/>
  <c r="I53" i="19"/>
  <c r="AC53" i="19" s="1"/>
  <c r="W52" i="19"/>
  <c r="X52" i="19"/>
  <c r="U53" i="19" l="1"/>
  <c r="R53" i="19"/>
  <c r="AH53" i="19"/>
  <c r="AE53" i="19"/>
  <c r="S53" i="19"/>
  <c r="P53" i="19"/>
  <c r="AJ53" i="19"/>
  <c r="AR53" i="19"/>
  <c r="G54" i="19" s="1"/>
  <c r="J53" i="19"/>
  <c r="K53" i="19" s="1"/>
  <c r="L53" i="19" s="1"/>
  <c r="AS53" i="19"/>
  <c r="H54" i="19" s="1"/>
  <c r="AP53" i="19"/>
  <c r="E54" i="19" s="1"/>
  <c r="AM53" i="19"/>
  <c r="AO53" i="19"/>
  <c r="D54" i="19" s="1"/>
  <c r="Y52" i="19"/>
  <c r="V53" i="19"/>
  <c r="AF53" i="19"/>
  <c r="AI53" i="19"/>
  <c r="B54" i="19" l="1"/>
  <c r="AT53" i="19"/>
  <c r="AU53" i="19" s="1"/>
  <c r="X53" i="19"/>
  <c r="W53" i="19"/>
  <c r="I54" i="19"/>
  <c r="AC54" i="19" s="1"/>
  <c r="Y53" i="19" l="1"/>
  <c r="AH54" i="19"/>
  <c r="U54" i="19"/>
  <c r="S54" i="19"/>
  <c r="AF54" i="19"/>
  <c r="R54" i="19"/>
  <c r="AE54" i="19"/>
  <c r="AI54" i="19"/>
  <c r="P54" i="19"/>
  <c r="V54" i="19"/>
  <c r="AO54" i="19"/>
  <c r="D55" i="19" s="1"/>
  <c r="AJ54" i="19"/>
  <c r="AP54" i="19"/>
  <c r="E55" i="19" s="1"/>
  <c r="AS54" i="19"/>
  <c r="H55" i="19" s="1"/>
  <c r="J54" i="19"/>
  <c r="K54" i="19" s="1"/>
  <c r="L54" i="19" s="1"/>
  <c r="AM54" i="19"/>
  <c r="AR54" i="19"/>
  <c r="G55" i="19" s="1"/>
  <c r="B55" i="19" l="1"/>
  <c r="I55" i="19" s="1"/>
  <c r="AI55" i="19" s="1"/>
  <c r="AT54" i="19"/>
  <c r="AU54" i="19" s="1"/>
  <c r="X54" i="19"/>
  <c r="W54" i="19"/>
  <c r="Y54" i="19" l="1"/>
  <c r="S55" i="19"/>
  <c r="P55" i="19"/>
  <c r="AC55" i="19"/>
  <c r="AO55" i="19"/>
  <c r="D56" i="19" s="1"/>
  <c r="AS55" i="19"/>
  <c r="H56" i="19" s="1"/>
  <c r="AM55" i="19"/>
  <c r="AJ55" i="19"/>
  <c r="AP55" i="19"/>
  <c r="E56" i="19" s="1"/>
  <c r="AR55" i="19"/>
  <c r="G56" i="19" s="1"/>
  <c r="J55" i="19"/>
  <c r="K55" i="19" s="1"/>
  <c r="L55" i="19" s="1"/>
  <c r="AE55" i="19"/>
  <c r="V55" i="19"/>
  <c r="R55" i="19"/>
  <c r="U55" i="19"/>
  <c r="AF55" i="19"/>
  <c r="AH55" i="19"/>
  <c r="B56" i="19" l="1"/>
  <c r="I56" i="19" s="1"/>
  <c r="R56" i="19" s="1"/>
  <c r="AT55" i="19"/>
  <c r="AU55" i="19" s="1"/>
  <c r="W55" i="19"/>
  <c r="X55" i="19"/>
  <c r="AI56" i="19" l="1"/>
  <c r="U56" i="19"/>
  <c r="Y55" i="19"/>
  <c r="AC56" i="19"/>
  <c r="P56" i="19"/>
  <c r="AE56" i="19"/>
  <c r="V56" i="19"/>
  <c r="AJ56" i="19"/>
  <c r="AM56" i="19"/>
  <c r="AR56" i="19"/>
  <c r="G57" i="19" s="1"/>
  <c r="AP56" i="19"/>
  <c r="E57" i="19" s="1"/>
  <c r="J56" i="19"/>
  <c r="K56" i="19" s="1"/>
  <c r="L56" i="19" s="1"/>
  <c r="AO56" i="19"/>
  <c r="D57" i="19" s="1"/>
  <c r="AS56" i="19"/>
  <c r="H57" i="19" s="1"/>
  <c r="S56" i="19"/>
  <c r="AF56" i="19"/>
  <c r="AH56" i="19"/>
  <c r="B57" i="19" l="1"/>
  <c r="AT56" i="19"/>
  <c r="AU56" i="19" s="1"/>
  <c r="I57" i="19"/>
  <c r="R57" i="19" s="1"/>
  <c r="X56" i="19"/>
  <c r="W56" i="19"/>
  <c r="AC57" i="19" l="1"/>
  <c r="S57" i="19"/>
  <c r="AF57" i="19"/>
  <c r="U57" i="19"/>
  <c r="AH57" i="19"/>
  <c r="Y56" i="19"/>
  <c r="AI57" i="19"/>
  <c r="V57" i="19"/>
  <c r="P57" i="19"/>
  <c r="AE57" i="19"/>
  <c r="AP57" i="19"/>
  <c r="E58" i="19" s="1"/>
  <c r="AS57" i="19"/>
  <c r="H58" i="19" s="1"/>
  <c r="AR57" i="19"/>
  <c r="G58" i="19" s="1"/>
  <c r="J57" i="19"/>
  <c r="K57" i="19" s="1"/>
  <c r="L57" i="19" s="1"/>
  <c r="AJ57" i="19"/>
  <c r="AO57" i="19"/>
  <c r="D58" i="19" s="1"/>
  <c r="AM57" i="19"/>
  <c r="B58" i="19" l="1"/>
  <c r="I58" i="19" s="1"/>
  <c r="AC58" i="19" s="1"/>
  <c r="AT57" i="19"/>
  <c r="AU57" i="19" s="1"/>
  <c r="X57" i="19"/>
  <c r="W57" i="19"/>
  <c r="Y57" i="19" l="1"/>
  <c r="AI58" i="19"/>
  <c r="U58" i="19"/>
  <c r="S58" i="19"/>
  <c r="R58" i="19"/>
  <c r="AH58" i="19"/>
  <c r="AF58" i="19"/>
  <c r="V58" i="19"/>
  <c r="AE58" i="19"/>
  <c r="AP58" i="19"/>
  <c r="E59" i="19" s="1"/>
  <c r="AM58" i="19"/>
  <c r="AJ58" i="19"/>
  <c r="AS58" i="19"/>
  <c r="H59" i="19" s="1"/>
  <c r="AO58" i="19"/>
  <c r="D59" i="19" s="1"/>
  <c r="AR58" i="19"/>
  <c r="G59" i="19" s="1"/>
  <c r="J58" i="19"/>
  <c r="K58" i="19" s="1"/>
  <c r="L58" i="19" s="1"/>
  <c r="P58" i="19"/>
  <c r="B59" i="19" l="1"/>
  <c r="AT58" i="19"/>
  <c r="AU58" i="19" s="1"/>
  <c r="X58" i="19"/>
  <c r="W58" i="19"/>
  <c r="I59" i="19"/>
  <c r="AC59" i="19" s="1"/>
  <c r="P59" i="19" l="1"/>
  <c r="R59" i="19"/>
  <c r="Y58" i="19"/>
  <c r="J59" i="19"/>
  <c r="AM59" i="19"/>
  <c r="AO59" i="19"/>
  <c r="D60" i="19" s="1"/>
  <c r="AJ59" i="19"/>
  <c r="AP59" i="19"/>
  <c r="E60" i="19" s="1"/>
  <c r="AS59" i="19"/>
  <c r="H60" i="19" s="1"/>
  <c r="AR59" i="19"/>
  <c r="G60" i="19" s="1"/>
  <c r="AI59" i="19"/>
  <c r="S59" i="19"/>
  <c r="V59" i="19"/>
  <c r="U59" i="19"/>
  <c r="AF59" i="19"/>
  <c r="AH59" i="19"/>
  <c r="AE59" i="19"/>
  <c r="B60" i="19" l="1"/>
  <c r="AT59" i="19"/>
  <c r="AU59" i="19" s="1"/>
  <c r="AA59" i="19"/>
  <c r="W59" i="19"/>
  <c r="K59" i="19"/>
  <c r="L59" i="19" s="1"/>
  <c r="I60" i="19"/>
  <c r="AH60" i="19" s="1"/>
  <c r="X59" i="19"/>
  <c r="U60" i="19" l="1"/>
  <c r="AC60" i="19"/>
  <c r="AF60" i="19"/>
  <c r="R60" i="19"/>
  <c r="S60" i="19"/>
  <c r="AE60" i="19"/>
  <c r="AI60" i="19"/>
  <c r="Y59" i="19"/>
  <c r="V60" i="19"/>
  <c r="AR60" i="19"/>
  <c r="G61" i="19" s="1"/>
  <c r="AJ60" i="19"/>
  <c r="AO60" i="19"/>
  <c r="D61" i="19" s="1"/>
  <c r="AM60" i="19"/>
  <c r="AS60" i="19"/>
  <c r="H61" i="19" s="1"/>
  <c r="AP60" i="19"/>
  <c r="E61" i="19" s="1"/>
  <c r="J60" i="19"/>
  <c r="P60" i="19"/>
  <c r="B61" i="19" l="1"/>
  <c r="I61" i="19" s="1"/>
  <c r="AE61" i="19" s="1"/>
  <c r="AT60" i="19"/>
  <c r="AU60" i="19" s="1"/>
  <c r="W60" i="19"/>
  <c r="X60" i="19"/>
  <c r="K60" i="19"/>
  <c r="I69" i="19"/>
  <c r="I10" i="8" s="1"/>
  <c r="Y60" i="19" l="1"/>
  <c r="P61" i="19"/>
  <c r="V61" i="19"/>
  <c r="AP61" i="19"/>
  <c r="E62" i="19" s="1"/>
  <c r="AO61" i="19"/>
  <c r="D62" i="19" s="1"/>
  <c r="AJ61" i="19"/>
  <c r="AS61" i="19"/>
  <c r="H62" i="19" s="1"/>
  <c r="AM61" i="19"/>
  <c r="AR61" i="19"/>
  <c r="G62" i="19" s="1"/>
  <c r="J61" i="19"/>
  <c r="AF61" i="19"/>
  <c r="S61" i="19"/>
  <c r="R61" i="19"/>
  <c r="U61" i="19"/>
  <c r="AC61" i="19"/>
  <c r="AI61" i="19"/>
  <c r="I70" i="19"/>
  <c r="I11" i="8" s="1"/>
  <c r="L60" i="19"/>
  <c r="AH61" i="19"/>
  <c r="B62" i="19" l="1"/>
  <c r="I62" i="19" s="1"/>
  <c r="S62" i="19" s="1"/>
  <c r="AT61" i="19"/>
  <c r="AU61" i="19" s="1"/>
  <c r="I66" i="26"/>
  <c r="I75" i="26"/>
  <c r="W61" i="19"/>
  <c r="X61" i="19"/>
  <c r="K61" i="19"/>
  <c r="L61" i="19" s="1"/>
  <c r="Y61" i="19" l="1"/>
  <c r="R62" i="19"/>
  <c r="AF62" i="19"/>
  <c r="I68" i="26"/>
  <c r="I67" i="26"/>
  <c r="I75" i="23"/>
  <c r="Z65" i="23"/>
  <c r="I66" i="23" s="1"/>
  <c r="P62" i="19"/>
  <c r="AC62" i="19"/>
  <c r="AI62" i="19"/>
  <c r="V62" i="19"/>
  <c r="U62" i="19"/>
  <c r="AH62" i="19"/>
  <c r="AE62" i="19"/>
  <c r="AS62" i="19"/>
  <c r="H63" i="19" s="1"/>
  <c r="AM62" i="19"/>
  <c r="AR62" i="19"/>
  <c r="G63" i="19" s="1"/>
  <c r="J62" i="19"/>
  <c r="AJ62" i="19"/>
  <c r="AP62" i="19"/>
  <c r="E63" i="19" s="1"/>
  <c r="AO62" i="19"/>
  <c r="D63" i="19" s="1"/>
  <c r="B63" i="19" l="1"/>
  <c r="I63" i="19" s="1"/>
  <c r="U63" i="19" s="1"/>
  <c r="AT62" i="19"/>
  <c r="AU62" i="19" s="1"/>
  <c r="X62" i="19"/>
  <c r="I68" i="23"/>
  <c r="I67" i="23"/>
  <c r="W62" i="19"/>
  <c r="K62" i="19"/>
  <c r="L62" i="19" s="1"/>
  <c r="Y62" i="19" l="1"/>
  <c r="I30" i="8"/>
  <c r="I65" i="26"/>
  <c r="AC63" i="19"/>
  <c r="P63" i="19"/>
  <c r="V63" i="19"/>
  <c r="AI63" i="19"/>
  <c r="AH63" i="19"/>
  <c r="AP63" i="19"/>
  <c r="E64" i="19" s="1"/>
  <c r="E65" i="19" s="1"/>
  <c r="AS63" i="19"/>
  <c r="H64" i="19" s="1"/>
  <c r="H65" i="19" s="1"/>
  <c r="AO63" i="19"/>
  <c r="D64" i="19" s="1"/>
  <c r="D65" i="19" s="1"/>
  <c r="AR63" i="19"/>
  <c r="G64" i="19" s="1"/>
  <c r="G65" i="19" s="1"/>
  <c r="AM63" i="19"/>
  <c r="J63" i="19"/>
  <c r="K63" i="19" s="1"/>
  <c r="L63" i="19" s="1"/>
  <c r="AJ63" i="19"/>
  <c r="R63" i="19"/>
  <c r="AF63" i="19"/>
  <c r="S63" i="19"/>
  <c r="AE63" i="19"/>
  <c r="B64" i="19" l="1"/>
  <c r="B65" i="19" s="1"/>
  <c r="AT63" i="19"/>
  <c r="AU63" i="19" s="1"/>
  <c r="I73" i="26"/>
  <c r="I72" i="26"/>
  <c r="I65" i="23"/>
  <c r="W63" i="19"/>
  <c r="X63" i="19"/>
  <c r="I64" i="19" l="1"/>
  <c r="S64" i="19" s="1"/>
  <c r="I73" i="23"/>
  <c r="I72" i="23"/>
  <c r="Y63" i="19"/>
  <c r="V64" i="19"/>
  <c r="P64" i="19"/>
  <c r="AO64" i="19"/>
  <c r="AJ64" i="19"/>
  <c r="AR64" i="19"/>
  <c r="J64" i="19"/>
  <c r="K64" i="19" s="1"/>
  <c r="L64" i="19" s="1"/>
  <c r="AS64" i="19"/>
  <c r="AF64" i="19"/>
  <c r="AC64" i="19" l="1"/>
  <c r="AM64" i="19"/>
  <c r="AP64" i="19"/>
  <c r="AI64" i="19"/>
  <c r="AE64" i="19"/>
  <c r="U64" i="19"/>
  <c r="AH64" i="19"/>
  <c r="R64" i="19"/>
  <c r="X64" i="19" s="1"/>
  <c r="AT64" i="19"/>
  <c r="AU64" i="19" s="1"/>
  <c r="W64" i="19" l="1"/>
  <c r="Y64" i="19" s="1"/>
  <c r="I67" i="19"/>
  <c r="I8" i="8" s="1"/>
  <c r="I73" i="19"/>
  <c r="I14" i="8"/>
  <c r="I65" i="19" l="1"/>
  <c r="I71" i="19" s="1"/>
  <c r="I6" i="8" l="1"/>
  <c r="I72" i="19"/>
  <c r="I66" i="19"/>
  <c r="I7" i="8" l="1"/>
  <c r="I68" i="19"/>
  <c r="I9" i="8" s="1"/>
</calcChain>
</file>

<file path=xl/sharedStrings.xml><?xml version="1.0" encoding="utf-8"?>
<sst xmlns="http://schemas.openxmlformats.org/spreadsheetml/2006/main" count="671" uniqueCount="178">
  <si>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</si>
  <si>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</si>
  <si>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Adjust return and standard deviation calculations to reflect addition of new year</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</si>
  <si>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</si>
  <si>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4. Panic Grid</t>
  </si>
  <si>
    <t>Balance Check</t>
    <phoneticPr fontId="11" type="noConversion"/>
  </si>
  <si>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</si>
  <si>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6. Allocations Test - False Values Signal Rebalancing Needed</t>
  </si>
  <si>
    <t>Used for rebalancing the portfolio. Numbers pull from Table 4 unless rebalancing is necessary. If rebalancing is necessary, allocations are adjusted back to targets for all funds. Rebalanced cells are shaded in blue. Balance check should always equal $0.00</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</si>
  <si>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</si>
  <si>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</si>
  <si>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</si>
  <si>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</si>
  <si>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</si>
  <si>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</si>
  <si>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</si>
  <si>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</si>
  <si>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</si>
  <si>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</si>
  <si>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</si>
  <si>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</si>
  <si>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</si>
  <si>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</si>
  <si>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1A</t>
  </si>
  <si>
    <t>CPI Data downloaded from Econostats. Most current data is preliminary; all other is end of year</t>
  </si>
  <si>
    <t>3. Withdrawal Amount</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</si>
  <si>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</si>
  <si>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</si>
  <si>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</si>
  <si>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</si>
  <si>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</si>
  <si>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When a new year of data is added, new rows must be added to all spreadsheets</t>
  </si>
  <si>
    <t>All items shaded in Orange are manually adjusted; all other are based on formulas</t>
  </si>
  <si>
    <t>Rebalancing is done manually; including blue shading of cells</t>
  </si>
  <si>
    <t>Portfolio Strategy</t>
  </si>
  <si>
    <t>Rebalance at 5% Thresholds</t>
  </si>
  <si>
    <t>Total Return</t>
  </si>
  <si>
    <t>Annualized Return</t>
  </si>
  <si>
    <t>Largest Annual Loss</t>
  </si>
  <si>
    <t>Non-Rebalanced Portfolio</t>
  </si>
  <si>
    <t>Final</t>
  </si>
  <si>
    <t>CPI</t>
  </si>
  <si>
    <t>Total Withdrawals</t>
  </si>
  <si>
    <t>Return data from Morningstar; available in truncated form in AAII's Mutual Fund Guide</t>
  </si>
  <si>
    <t>CPI  (CPI-U - US city average all urban consumers ) seas adj data used</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</si>
  <si>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</si>
  <si>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</si>
  <si>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</si>
  <si>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Year</t>
  </si>
  <si>
    <t>1. Return Data from Morningstar</t>
  </si>
  <si>
    <t>LC Stocks</t>
  </si>
  <si>
    <t>Ext Mkt</t>
  </si>
  <si>
    <t>Mcap Stk</t>
  </si>
  <si>
    <t>Small Cap</t>
  </si>
  <si>
    <t>VFINX</t>
  </si>
  <si>
    <t>VEXMX</t>
  </si>
  <si>
    <t>VIMSX</t>
  </si>
  <si>
    <t>NAESX</t>
  </si>
  <si>
    <t>Small Cap (NAESX) data available from 1988, but not Mid Cap (VIMSX)</t>
  </si>
  <si>
    <t>Extended Market (VEXMX) has both mid &amp; small-cap stocks; rotated out of it when VIMSX available</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</si>
  <si>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</si>
  <si>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</si>
  <si>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</si>
  <si>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</si>
  <si>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</si>
  <si>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</si>
  <si>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</si>
  <si>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</si>
  <si>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</si>
  <si>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</si>
  <si>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</si>
  <si>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</si>
  <si>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</si>
  <si>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</si>
  <si>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</si>
  <si>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</si>
  <si>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</si>
  <si>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</si>
  <si>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</si>
  <si>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</si>
  <si>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</si>
  <si>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</si>
  <si>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</si>
  <si>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</si>
  <si>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</si>
  <si>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</si>
  <si>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</si>
  <si>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</si>
  <si>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</si>
  <si>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</si>
  <si>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</si>
  <si>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</si>
  <si>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</si>
  <si>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</si>
  <si>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</si>
  <si>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1988 first calendar year with full-year data for VEXMX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</si>
  <si>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</si>
  <si>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</si>
  <si>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</si>
  <si>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</si>
  <si>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</si>
  <si>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</si>
  <si>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</si>
  <si>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</si>
  <si>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</si>
  <si>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Ending Equity Allocation</t>
  </si>
  <si>
    <t>Ending Fixed-Income Allocation</t>
  </si>
  <si>
    <t>Allocation Check</t>
  </si>
  <si>
    <t>Rebalance vs Panic</t>
  </si>
  <si>
    <t>No Change vs Panic</t>
  </si>
  <si>
    <t>Rebalance vs Not Rebalancing</t>
  </si>
  <si>
    <t>Equity</t>
  </si>
  <si>
    <t>Allocation</t>
  </si>
  <si>
    <t>Starting</t>
  </si>
  <si>
    <t>Panic and Sell When S&amp;P 500 Falls &gt; 20%</t>
  </si>
  <si>
    <t>Table 1. Performance of the Three Strategies</t>
  </si>
  <si>
    <t>2. Rebalanced Strategy (5% Triggers) - End of Year Balance</t>
  </si>
  <si>
    <t>4. Rebalanced Strategy - Withdrawal Equal Amounts from All Funds</t>
  </si>
  <si>
    <t>5. Rebalanced Strategy - Annual Allocations</t>
  </si>
  <si>
    <t>7. Rebalanced Strategy (5% Triggers) - Rebalance Grid</t>
  </si>
  <si>
    <t>2. Panic Strategy - End of Year Balance</t>
  </si>
  <si>
    <t>4. Panic Strategy - Withdrawal Equal Amounts from All Funds</t>
  </si>
  <si>
    <t>5. Panic Strategy - Annual Allocations</t>
  </si>
  <si>
    <t>2. Non-Rebalanced Strategy - End of Year Balance</t>
  </si>
  <si>
    <t>4. Non-Rebalanced Strategy - Withdrawal Equal Amounts from All Funds</t>
  </si>
  <si>
    <t>3. Panic Strategy - Annual Allocations</t>
  </si>
  <si>
    <t>3. Allocations prior to Rebalancing</t>
  </si>
  <si>
    <t>No Rebalancing</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</si>
  <si>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</si>
  <si>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Portfolio allocations - per fund dollar amount divided by portfolio's total balance</t>
  </si>
  <si>
    <t>3. Non-Rebalanced Strategy Annual Allocations</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</si>
  <si>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</si>
  <si>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</si>
  <si>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</si>
  <si>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</si>
  <si>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(table 4) times fund return for current year (table 1). 1988 end of year balance based solely on annual fund performance. Manually adjust standard deviation for number of periods</t>
  </si>
  <si>
    <t>Post-withdrawal portfolio allocations - per fund dollar amount divided by portfolio's total balance from Table 4.</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</si>
  <si>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</si>
  <si>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5. Non-Rebalanced Strategy - Annual Allocations</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</si>
  <si>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</si>
  <si>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</si>
  <si>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https://research.stlouisfed.org/fred2/series/CPIAUCSL</t>
  </si>
  <si>
    <t>Panic and Selll When S&amp;P 500 Falls +20%</t>
  </si>
  <si>
    <t>CPI Data from Econostats thru 2013, data from FRED for 2014 forward used</t>
  </si>
  <si>
    <t>1A. CPI Data</t>
  </si>
  <si>
    <t>Reduction in Volatility:</t>
  </si>
  <si>
    <t>Difference in Returns:</t>
  </si>
  <si>
    <t>Withdrawal Check</t>
  </si>
  <si>
    <t>Gain/Loss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</si>
  <si>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</si>
  <si>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</si>
  <si>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</si>
  <si>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Periods</t>
  </si>
  <si>
    <t>Rebalance vs No Rebalancing</t>
  </si>
  <si>
    <t>Rebalancing Annually</t>
  </si>
  <si>
    <t>7. Annual Rebalance - Rebalance Grid</t>
  </si>
  <si>
    <t>2. Annual Rebalance (5% Triggers) - End of Year Balance</t>
  </si>
  <si>
    <t>4. Annual Rebalance - Withdrawal Equal Amounts from All Funds</t>
  </si>
  <si>
    <t>5. Annual Rebalance - Annual Allocations</t>
  </si>
  <si>
    <t>Number of Years</t>
  </si>
  <si>
    <t>Times Rebalanced</t>
  </si>
  <si>
    <t>Total Years</t>
  </si>
  <si>
    <t>Average Years between Rebalancing</t>
  </si>
  <si>
    <t>4. Non-Rebalanced Strategy - Withdrawal Annually</t>
  </si>
  <si>
    <t>4.5% &amp; 4% Withdrawals-No Rebalancing</t>
  </si>
  <si>
    <t>4.5% and 4% Withdrawals-Rebalancing</t>
  </si>
  <si>
    <t>Withdrawal amount starts at 4.5% (4%) of year-end 1988 balance. Initial amount is adjusted upwards annually based on change in CPI using data in Table 1A</t>
  </si>
  <si>
    <t>Withdrawal amount starts at 4.5% (4%) of year-end 1988 balance. Initial amount is adjusted upwards annually based on change in CPI using data in Table 1A.</t>
  </si>
  <si>
    <t>4.5% and 4% Withdrawals-Panic</t>
  </si>
  <si>
    <t>CPI Data pulled from 4.5% Withdrawals - No Rebalancing tab.</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</si>
  <si>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</si>
  <si>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</si>
  <si>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</si>
  <si>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</si>
  <si>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</si>
  <si>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4. Annual Rebalance - Withdrawal Proportionately from both Funds</t>
  </si>
  <si>
    <t>Non-Withdrawal Portfolio Results (1992 - 2016)</t>
  </si>
  <si>
    <t>Withdrawal Portfolio Results (1992 - 2016)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</si>
</sst>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0.0%"/>
  </numFmts>
  <fonts count="15"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
      <sz val="11"/>
      <color rgb="FFFF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86">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0" fontId="0" fillId="0" borderId="0" xfId="1" applyNumberFormat="1" applyFont="1"/>
    <xf numFmtId="10" fontId="5" fillId="0" borderId="0" xfId="0" applyNumberFormat="1" applyFont="1"/>
    <xf numFmtId="0" fontId="0" fillId="0" borderId="1" xfId="0" applyFill="1" applyBorder="1" applyAlignment="1">
      <alignment horizontal="right"/>
    </xf>
    <xf numFmtId="6" fontId="14" fillId="0" borderId="0" xfId="0" applyNumberFormat="1" applyFont="1" applyFill="1"/>
    <xf numFmtId="164" fontId="0" fillId="7" borderId="0" xfId="1" applyNumberFormat="1" applyFont="1" applyFill="1"/>
    <xf numFmtId="0" fontId="14" fillId="0" borderId="0" xfId="0" applyFont="1" applyFill="1"/>
    <xf numFmtId="9" fontId="0" fillId="0" borderId="0" xfId="1" applyFon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6.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Staying</a:t>
            </a:r>
            <a:r>
              <a:rPr lang="en-US" baseline="0"/>
              <a:t> Invested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marker>
            <c:symbol val="none"/>
          </c:marker>
          <c:cat>
            <c:strRef>
              <c:f>'Chart Data'!$A$2:$A$27</c:f>
              <c:strCache>
                <c:ptCount val="26"/>
                <c:pt idx="0">
                  <c:v>Starting</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strCache>
            </c:strRef>
          </c:cat>
          <c:val>
            <c:numRef>
              <c:f>'Chart Data'!$B$2:$B$27</c:f>
              <c:numCache>
                <c:formatCode>"$"#,##0_);[Red]\("$"#,##0\)</c:formatCode>
                <c:ptCount val="26"/>
                <c:pt idx="0">
                  <c:v>100000</c:v>
                </c:pt>
                <c:pt idx="1">
                  <c:v>105621.6</c:v>
                </c:pt>
                <c:pt idx="2">
                  <c:v>121313.533872</c:v>
                </c:pt>
                <c:pt idx="3">
                  <c:v>121224.85224919982</c:v>
                </c:pt>
                <c:pt idx="4">
                  <c:v>151652.98368925077</c:v>
                </c:pt>
                <c:pt idx="5">
                  <c:v>172386.38549269008</c:v>
                </c:pt>
                <c:pt idx="6">
                  <c:v>202245.60371026443</c:v>
                </c:pt>
                <c:pt idx="7">
                  <c:v>231072.91923599687</c:v>
                </c:pt>
                <c:pt idx="8">
                  <c:v>229885.05423372635</c:v>
                </c:pt>
                <c:pt idx="9">
                  <c:v>234104.13463407796</c:v>
                </c:pt>
                <c:pt idx="10">
                  <c:v>228158.08892471439</c:v>
                </c:pt>
                <c:pt idx="11">
                  <c:v>205587.77813592594</c:v>
                </c:pt>
                <c:pt idx="12">
                  <c:v>259760.5688502987</c:v>
                </c:pt>
                <c:pt idx="13">
                  <c:v>295211.91200528096</c:v>
                </c:pt>
                <c:pt idx="14">
                  <c:v>320684.47589146788</c:v>
                </c:pt>
                <c:pt idx="15">
                  <c:v>367910.32779619086</c:v>
                </c:pt>
                <c:pt idx="16">
                  <c:v>395791.30825724179</c:v>
                </c:pt>
                <c:pt idx="17">
                  <c:v>289503.30013862246</c:v>
                </c:pt>
                <c:pt idx="18">
                  <c:v>364999.39174217213</c:v>
                </c:pt>
                <c:pt idx="19">
                  <c:v>422222.74027101108</c:v>
                </c:pt>
                <c:pt idx="20">
                  <c:v>418203.17978363112</c:v>
                </c:pt>
                <c:pt idx="21">
                  <c:v>470895.56443487655</c:v>
                </c:pt>
                <c:pt idx="22">
                  <c:v>564332.44319260318</c:v>
                </c:pt>
                <c:pt idx="23">
                  <c:v>604055.80386893055</c:v>
                </c:pt>
                <c:pt idx="24">
                  <c:v>597308.90477104369</c:v>
                </c:pt>
                <c:pt idx="25">
                  <c:v>646517.00227258797</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marker>
            <c:symbol val="none"/>
          </c:marker>
          <c:cat>
            <c:strRef>
              <c:f>'Chart Data'!$A$2:$A$27</c:f>
              <c:strCache>
                <c:ptCount val="26"/>
                <c:pt idx="0">
                  <c:v>Starting</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strCache>
            </c:strRef>
          </c:cat>
          <c:val>
            <c:numRef>
              <c:f>'Chart Data'!$C$2:$C$27</c:f>
              <c:numCache>
                <c:formatCode>"$"#,##0_);[Red]\("$"#,##0\)</c:formatCode>
                <c:ptCount val="26"/>
                <c:pt idx="0">
                  <c:v>100000</c:v>
                </c:pt>
                <c:pt idx="1">
                  <c:v>105621.6</c:v>
                </c:pt>
                <c:pt idx="2">
                  <c:v>121313.533872</c:v>
                </c:pt>
                <c:pt idx="3">
                  <c:v>121224.85224919982</c:v>
                </c:pt>
                <c:pt idx="4">
                  <c:v>151652.98368925077</c:v>
                </c:pt>
                <c:pt idx="5">
                  <c:v>172386.38549269008</c:v>
                </c:pt>
                <c:pt idx="6">
                  <c:v>205448.25476914283</c:v>
                </c:pt>
                <c:pt idx="7">
                  <c:v>235805.80753289271</c:v>
                </c:pt>
                <c:pt idx="8">
                  <c:v>275068.19992598542</c:v>
                </c:pt>
                <c:pt idx="9">
                  <c:v>276653.10459479189</c:v>
                </c:pt>
                <c:pt idx="10">
                  <c:v>265107.05553144164</c:v>
                </c:pt>
                <c:pt idx="11">
                  <c:v>233056.55628166997</c:v>
                </c:pt>
                <c:pt idx="12">
                  <c:v>294815.01967029291</c:v>
                </c:pt>
                <c:pt idx="13">
                  <c:v>337525.30258681928</c:v>
                </c:pt>
                <c:pt idx="14">
                  <c:v>367306.72053316666</c:v>
                </c:pt>
                <c:pt idx="15">
                  <c:v>419768.52339736943</c:v>
                </c:pt>
                <c:pt idx="16">
                  <c:v>448421.91242156219</c:v>
                </c:pt>
                <c:pt idx="17">
                  <c:v>304677.17628769233</c:v>
                </c:pt>
                <c:pt idx="18">
                  <c:v>387172.9433692515</c:v>
                </c:pt>
                <c:pt idx="19">
                  <c:v>453839.52475426311</c:v>
                </c:pt>
                <c:pt idx="20">
                  <c:v>448695.84079031146</c:v>
                </c:pt>
                <c:pt idx="21">
                  <c:v>510290.2215134966</c:v>
                </c:pt>
                <c:pt idx="22">
                  <c:v>635711.48628505913</c:v>
                </c:pt>
                <c:pt idx="23">
                  <c:v>694461.66344883118</c:v>
                </c:pt>
                <c:pt idx="24">
                  <c:v>685819.5383221677</c:v>
                </c:pt>
                <c:pt idx="25">
                  <c:v>756722.99171532143</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marker>
            <c:symbol val="none"/>
          </c:marker>
          <c:cat>
            <c:strRef>
              <c:f>'Chart Data'!$A$2:$A$27</c:f>
              <c:strCache>
                <c:ptCount val="26"/>
                <c:pt idx="0">
                  <c:v>Starting</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strCache>
            </c:strRef>
          </c:cat>
          <c:val>
            <c:numRef>
              <c:f>'Chart Data'!$D$2:$D$27</c:f>
              <c:numCache>
                <c:formatCode>"$"#,##0_);[Red]\("$"#,##0\)</c:formatCode>
                <c:ptCount val="26"/>
                <c:pt idx="0">
                  <c:v>100000</c:v>
                </c:pt>
                <c:pt idx="1">
                  <c:v>105621.6</c:v>
                </c:pt>
                <c:pt idx="2">
                  <c:v>121313.533872</c:v>
                </c:pt>
                <c:pt idx="3">
                  <c:v>121224.85224919982</c:v>
                </c:pt>
                <c:pt idx="4">
                  <c:v>151652.98368925077</c:v>
                </c:pt>
                <c:pt idx="5">
                  <c:v>172386.38549269008</c:v>
                </c:pt>
                <c:pt idx="6">
                  <c:v>205448.25476914283</c:v>
                </c:pt>
                <c:pt idx="7">
                  <c:v>235805.80753289271</c:v>
                </c:pt>
                <c:pt idx="8">
                  <c:v>275068.19992598542</c:v>
                </c:pt>
                <c:pt idx="9">
                  <c:v>276653.10459479189</c:v>
                </c:pt>
                <c:pt idx="10">
                  <c:v>265107.05553144164</c:v>
                </c:pt>
                <c:pt idx="11">
                  <c:v>233056.55628166997</c:v>
                </c:pt>
                <c:pt idx="12">
                  <c:v>242308.90156605229</c:v>
                </c:pt>
                <c:pt idx="13">
                  <c:v>275378.49352508242</c:v>
                </c:pt>
                <c:pt idx="14">
                  <c:v>299139.71718828636</c:v>
                </c:pt>
                <c:pt idx="15">
                  <c:v>343192.7632345063</c:v>
                </c:pt>
                <c:pt idx="16">
                  <c:v>370561.32862730802</c:v>
                </c:pt>
                <c:pt idx="17">
                  <c:v>259263.53763210637</c:v>
                </c:pt>
                <c:pt idx="18">
                  <c:v>274637.86541369028</c:v>
                </c:pt>
                <c:pt idx="19">
                  <c:v>315822.55971112731</c:v>
                </c:pt>
                <c:pt idx="20">
                  <c:v>312371.67835680407</c:v>
                </c:pt>
                <c:pt idx="21">
                  <c:v>352641.90211296041</c:v>
                </c:pt>
                <c:pt idx="22">
                  <c:v>426158.92981952662</c:v>
                </c:pt>
                <c:pt idx="23">
                  <c:v>460413.89359848504</c:v>
                </c:pt>
                <c:pt idx="24">
                  <c:v>455153.3908601221</c:v>
                </c:pt>
                <c:pt idx="25">
                  <c:v>497564.82244377956</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crossAx val="182273624"/>
        <c:crosses val="autoZero"/>
        <c:crossBetween val="between"/>
        <c:majorUnit val="100000"/>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646517.00227258797</c:v>
                </c:pt>
                <c:pt idx="1">
                  <c:v>497564.82244377956</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11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3983" cy="6285424"/>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opLeftCell="A71" workbookViewId="0">
      <selection activeCell="A80" sqref="A80"/>
    </sheetView>
  </sheetViews>
  <sheetFormatPr defaultColWidth="8.85546875" defaultRowHeight="15" x14ac:dyDescent="0.25"/>
  <cols>
    <col min="2" max="2" width="84.140625" style="8" customWidth="1"/>
    <col min="4" max="4" width="60.42578125" customWidth="1"/>
  </cols>
  <sheetData>
    <row r="1" spans="1:4" x14ac:dyDescent="0.25">
      <c r="A1" s="20" t="s">
        <v>91</v>
      </c>
    </row>
    <row r="3" spans="1:4" x14ac:dyDescent="0.25">
      <c r="A3" s="53" t="s">
        <v>30</v>
      </c>
    </row>
    <row r="4" spans="1:4" x14ac:dyDescent="0.25">
      <c r="A4" t="s">
        <v>31</v>
      </c>
    </row>
    <row r="5" spans="1:4" x14ac:dyDescent="0.25">
      <c r="A5" t="s">
        <v>2</v>
      </c>
    </row>
    <row r="6" spans="1:4" x14ac:dyDescent="0.25">
      <c r="A6" t="s">
        <v>32</v>
      </c>
    </row>
    <row r="7" spans="1:4" x14ac:dyDescent="0.25">
      <c r="A7" t="s">
        <v>33</v>
      </c>
    </row>
    <row r="8" spans="1:4" x14ac:dyDescent="0.25">
      <c r="A8" t="s">
        <v>46</v>
      </c>
    </row>
    <row r="9" spans="1:4" x14ac:dyDescent="0.25">
      <c r="A9" t="s">
        <v>47</v>
      </c>
    </row>
    <row r="10" spans="1:4" x14ac:dyDescent="0.25">
      <c r="A10" t="s">
        <v>15</v>
      </c>
    </row>
    <row r="11" spans="1:4" x14ac:dyDescent="0.25">
      <c r="A11" t="s">
        <v>16</v>
      </c>
    </row>
    <row r="14" spans="1:4" x14ac:dyDescent="0.25">
      <c r="A14" s="54" t="s">
        <v>39</v>
      </c>
    </row>
    <row r="15" spans="1:4" x14ac:dyDescent="0.25">
      <c r="A15" s="34" t="s">
        <v>89</v>
      </c>
    </row>
    <row r="16" spans="1:4" ht="30" x14ac:dyDescent="0.25">
      <c r="A16" s="34">
        <v>1</v>
      </c>
      <c r="B16" s="8" t="s">
        <v>92</v>
      </c>
      <c r="C16" s="34"/>
      <c r="D16" s="8"/>
    </row>
    <row r="17" spans="1:4" ht="30" x14ac:dyDescent="0.25">
      <c r="A17" s="34">
        <v>2</v>
      </c>
      <c r="B17" s="8" t="s">
        <v>14</v>
      </c>
      <c r="C17" s="34"/>
      <c r="D17" s="8"/>
    </row>
    <row r="18" spans="1:4" x14ac:dyDescent="0.25">
      <c r="A18" s="34">
        <v>3</v>
      </c>
      <c r="B18" s="8" t="s">
        <v>129</v>
      </c>
      <c r="C18" s="34"/>
      <c r="D18" s="8"/>
    </row>
    <row r="19" spans="1:4" x14ac:dyDescent="0.25">
      <c r="A19" s="34"/>
    </row>
    <row r="20" spans="1:4" x14ac:dyDescent="0.25">
      <c r="A20" s="34"/>
    </row>
    <row r="21" spans="1:4" x14ac:dyDescent="0.25">
      <c r="A21" s="55" t="s">
        <v>17</v>
      </c>
    </row>
    <row r="22" spans="1:4" x14ac:dyDescent="0.25">
      <c r="A22" s="34" t="s">
        <v>89</v>
      </c>
    </row>
    <row r="23" spans="1:4" x14ac:dyDescent="0.25">
      <c r="A23" s="34">
        <v>1</v>
      </c>
      <c r="B23" s="8" t="s">
        <v>131</v>
      </c>
      <c r="C23" s="34"/>
      <c r="D23" s="8"/>
    </row>
    <row r="24" spans="1:4" ht="45" x14ac:dyDescent="0.25">
      <c r="A24" s="34">
        <v>2</v>
      </c>
      <c r="B24" s="8" t="s">
        <v>132</v>
      </c>
      <c r="C24" s="34"/>
      <c r="D24" s="8"/>
    </row>
    <row r="25" spans="1:4" ht="60" x14ac:dyDescent="0.25">
      <c r="A25" s="34">
        <v>3</v>
      </c>
      <c r="B25" s="8" t="s">
        <v>128</v>
      </c>
      <c r="C25" s="34"/>
      <c r="D25" s="8"/>
    </row>
    <row r="26" spans="1:4" ht="30" x14ac:dyDescent="0.25">
      <c r="A26" s="34">
        <v>4</v>
      </c>
      <c r="B26" s="8" t="s">
        <v>19</v>
      </c>
      <c r="C26" s="34"/>
      <c r="D26" s="8"/>
    </row>
    <row r="27" spans="1:4" ht="45" x14ac:dyDescent="0.25">
      <c r="A27" s="34">
        <v>5</v>
      </c>
      <c r="B27" s="8" t="s">
        <v>20</v>
      </c>
      <c r="C27" s="34"/>
      <c r="D27" s="8"/>
    </row>
    <row r="28" spans="1:4" x14ac:dyDescent="0.25">
      <c r="A28" s="34"/>
    </row>
    <row r="29" spans="1:4" x14ac:dyDescent="0.25">
      <c r="A29" s="34"/>
    </row>
    <row r="30" spans="1:4" x14ac:dyDescent="0.25">
      <c r="A30" s="34"/>
    </row>
    <row r="31" spans="1:4" x14ac:dyDescent="0.25">
      <c r="A31" s="55" t="s">
        <v>22</v>
      </c>
    </row>
    <row r="32" spans="1:4" x14ac:dyDescent="0.25">
      <c r="A32" s="34" t="s">
        <v>89</v>
      </c>
    </row>
    <row r="33" spans="1:4" x14ac:dyDescent="0.25">
      <c r="A33" s="34">
        <v>1</v>
      </c>
      <c r="B33" s="8" t="s">
        <v>131</v>
      </c>
      <c r="C33" s="34"/>
      <c r="D33" s="8"/>
    </row>
    <row r="34" spans="1:4" ht="45" x14ac:dyDescent="0.25">
      <c r="A34" s="34">
        <v>2</v>
      </c>
      <c r="B34" s="8" t="s">
        <v>135</v>
      </c>
      <c r="C34" s="34"/>
      <c r="D34" s="8"/>
    </row>
    <row r="35" spans="1:4" ht="60" x14ac:dyDescent="0.25">
      <c r="A35" s="34">
        <v>3</v>
      </c>
      <c r="B35" s="8" t="s">
        <v>133</v>
      </c>
      <c r="C35" s="34"/>
      <c r="D35" s="8"/>
    </row>
    <row r="36" spans="1:4" ht="60" x14ac:dyDescent="0.25">
      <c r="A36" s="34">
        <v>4</v>
      </c>
      <c r="B36" s="8" t="s">
        <v>134</v>
      </c>
      <c r="C36" s="34"/>
      <c r="D36" s="8"/>
    </row>
    <row r="37" spans="1:4" x14ac:dyDescent="0.25">
      <c r="A37" s="34"/>
    </row>
    <row r="38" spans="1:4" x14ac:dyDescent="0.25">
      <c r="A38" s="34"/>
    </row>
    <row r="39" spans="1:4" x14ac:dyDescent="0.25">
      <c r="A39" s="55" t="s">
        <v>164</v>
      </c>
    </row>
    <row r="40" spans="1:4" x14ac:dyDescent="0.25">
      <c r="A40" s="34" t="s">
        <v>89</v>
      </c>
    </row>
    <row r="41" spans="1:4" x14ac:dyDescent="0.25">
      <c r="A41" s="34">
        <v>1</v>
      </c>
      <c r="B41" s="8" t="s">
        <v>131</v>
      </c>
      <c r="C41" s="34"/>
      <c r="D41" s="8"/>
    </row>
    <row r="42" spans="1:4" ht="30" x14ac:dyDescent="0.25">
      <c r="A42" s="34" t="s">
        <v>23</v>
      </c>
      <c r="B42" s="8" t="s">
        <v>24</v>
      </c>
      <c r="C42" s="34"/>
      <c r="D42" s="8"/>
    </row>
    <row r="43" spans="1:4" ht="75" x14ac:dyDescent="0.25">
      <c r="A43" s="34">
        <v>2</v>
      </c>
      <c r="B43" s="8" t="s">
        <v>137</v>
      </c>
      <c r="C43" s="34"/>
      <c r="D43" s="8"/>
    </row>
    <row r="44" spans="1:4" ht="30" x14ac:dyDescent="0.25">
      <c r="A44" s="34">
        <v>3</v>
      </c>
      <c r="B44" s="8" t="s">
        <v>166</v>
      </c>
      <c r="C44" s="34"/>
      <c r="D44" s="8"/>
    </row>
    <row r="45" spans="1:4" ht="60" x14ac:dyDescent="0.25">
      <c r="A45" s="34">
        <v>4</v>
      </c>
      <c r="B45" s="8" t="s">
        <v>3</v>
      </c>
      <c r="C45" s="34"/>
      <c r="D45" s="8"/>
    </row>
    <row r="46" spans="1:4" ht="30" x14ac:dyDescent="0.25">
      <c r="A46" s="34">
        <v>5</v>
      </c>
      <c r="B46" s="8" t="s">
        <v>136</v>
      </c>
      <c r="C46" s="34"/>
      <c r="D46" s="8"/>
    </row>
    <row r="47" spans="1:4" x14ac:dyDescent="0.25">
      <c r="A47" s="34"/>
    </row>
    <row r="48" spans="1:4" x14ac:dyDescent="0.25">
      <c r="A48" s="34"/>
    </row>
    <row r="49" spans="1:4" x14ac:dyDescent="0.25">
      <c r="A49" s="55" t="s">
        <v>165</v>
      </c>
    </row>
    <row r="50" spans="1:4" x14ac:dyDescent="0.25">
      <c r="A50" s="34" t="s">
        <v>89</v>
      </c>
    </row>
    <row r="51" spans="1:4" x14ac:dyDescent="0.25">
      <c r="A51" s="34">
        <v>1</v>
      </c>
      <c r="B51" s="8" t="s">
        <v>131</v>
      </c>
      <c r="C51" s="34"/>
      <c r="D51" s="8"/>
    </row>
    <row r="52" spans="1:4" x14ac:dyDescent="0.25">
      <c r="A52" s="34" t="s">
        <v>23</v>
      </c>
      <c r="B52" s="8" t="s">
        <v>169</v>
      </c>
      <c r="C52" s="34"/>
      <c r="D52" s="8"/>
    </row>
    <row r="53" spans="1:4" ht="90" x14ac:dyDescent="0.25">
      <c r="A53" s="34">
        <v>2</v>
      </c>
      <c r="B53" s="8" t="s">
        <v>139</v>
      </c>
      <c r="C53" s="34"/>
      <c r="D53" s="8"/>
    </row>
    <row r="54" spans="1:4" ht="30" x14ac:dyDescent="0.25">
      <c r="A54" s="34">
        <v>3</v>
      </c>
      <c r="B54" s="8" t="s">
        <v>167</v>
      </c>
      <c r="C54" s="34"/>
      <c r="D54" s="8"/>
    </row>
    <row r="55" spans="1:4" ht="60" x14ac:dyDescent="0.25">
      <c r="A55" s="34">
        <v>4</v>
      </c>
      <c r="B55" s="8" t="s">
        <v>3</v>
      </c>
      <c r="C55" s="34"/>
      <c r="D55" s="8"/>
    </row>
    <row r="56" spans="1:4" ht="60" x14ac:dyDescent="0.25">
      <c r="A56" s="34">
        <v>5</v>
      </c>
      <c r="B56" s="8" t="s">
        <v>6</v>
      </c>
      <c r="C56" s="34"/>
      <c r="D56" s="8"/>
    </row>
    <row r="57" spans="1:4" ht="30" x14ac:dyDescent="0.25">
      <c r="A57" s="34">
        <v>6</v>
      </c>
      <c r="B57" s="8" t="s">
        <v>19</v>
      </c>
      <c r="C57" s="34"/>
      <c r="D57" s="8"/>
    </row>
    <row r="58" spans="1:4" ht="45" x14ac:dyDescent="0.25">
      <c r="A58" s="34">
        <v>7</v>
      </c>
      <c r="B58" s="8" t="s">
        <v>8</v>
      </c>
      <c r="C58" s="34"/>
      <c r="D58" s="8"/>
    </row>
    <row r="61" spans="1:4" x14ac:dyDescent="0.25">
      <c r="A61" s="37" t="s">
        <v>168</v>
      </c>
    </row>
    <row r="62" spans="1:4" x14ac:dyDescent="0.25">
      <c r="A62" s="34" t="s">
        <v>89</v>
      </c>
    </row>
    <row r="63" spans="1:4" x14ac:dyDescent="0.25">
      <c r="A63" s="34">
        <v>1</v>
      </c>
      <c r="B63" s="8" t="s">
        <v>131</v>
      </c>
      <c r="C63" s="34"/>
      <c r="D63" s="8"/>
    </row>
    <row r="64" spans="1:4" x14ac:dyDescent="0.25">
      <c r="A64" s="34" t="s">
        <v>23</v>
      </c>
      <c r="B64" s="8" t="s">
        <v>169</v>
      </c>
      <c r="C64" s="34"/>
      <c r="D64" s="8"/>
    </row>
    <row r="65" spans="1:4" ht="90" x14ac:dyDescent="0.25">
      <c r="A65" s="34">
        <v>2</v>
      </c>
      <c r="B65" s="8" t="s">
        <v>140</v>
      </c>
      <c r="C65" s="34"/>
      <c r="D65" s="8"/>
    </row>
    <row r="66" spans="1:4" ht="30" x14ac:dyDescent="0.25">
      <c r="A66" s="34">
        <v>3</v>
      </c>
      <c r="B66" s="8" t="s">
        <v>167</v>
      </c>
      <c r="C66" s="34"/>
      <c r="D66" s="8"/>
    </row>
    <row r="67" spans="1:4" ht="60" x14ac:dyDescent="0.25">
      <c r="A67" s="34">
        <v>4</v>
      </c>
      <c r="B67" s="8" t="s">
        <v>0</v>
      </c>
      <c r="C67" s="34"/>
      <c r="D67" s="8"/>
    </row>
    <row r="68" spans="1:4" x14ac:dyDescent="0.25">
      <c r="A68" s="34">
        <v>5</v>
      </c>
      <c r="B68" s="8" t="s">
        <v>1</v>
      </c>
      <c r="C68" s="34"/>
      <c r="D68" s="8"/>
    </row>
    <row r="69" spans="1:4" ht="60" x14ac:dyDescent="0.25">
      <c r="A69" s="34">
        <v>6</v>
      </c>
      <c r="B69" s="8" t="s">
        <v>10</v>
      </c>
      <c r="C69" s="34"/>
      <c r="D69" s="8"/>
    </row>
    <row r="70" spans="1:4" x14ac:dyDescent="0.25">
      <c r="C70" s="34"/>
      <c r="D70" s="8"/>
    </row>
    <row r="72" spans="1:4" x14ac:dyDescent="0.25">
      <c r="A72" s="37" t="s">
        <v>170</v>
      </c>
    </row>
    <row r="73" spans="1:4" x14ac:dyDescent="0.25">
      <c r="A73" s="34" t="s">
        <v>89</v>
      </c>
    </row>
    <row r="74" spans="1:4" x14ac:dyDescent="0.25">
      <c r="A74" s="34">
        <v>1</v>
      </c>
      <c r="B74" s="8" t="s">
        <v>131</v>
      </c>
    </row>
    <row r="75" spans="1:4" x14ac:dyDescent="0.25">
      <c r="A75" s="34" t="s">
        <v>23</v>
      </c>
      <c r="B75" s="8" t="s">
        <v>169</v>
      </c>
    </row>
    <row r="76" spans="1:4" ht="90" x14ac:dyDescent="0.25">
      <c r="A76" s="34">
        <v>2</v>
      </c>
      <c r="B76" s="8" t="s">
        <v>171</v>
      </c>
    </row>
    <row r="77" spans="1:4" ht="30" x14ac:dyDescent="0.25">
      <c r="A77" s="34">
        <v>3</v>
      </c>
      <c r="B77" s="8" t="s">
        <v>172</v>
      </c>
    </row>
    <row r="78" spans="1:4" ht="45" x14ac:dyDescent="0.25">
      <c r="A78" s="34">
        <v>4</v>
      </c>
      <c r="B78" s="8" t="s">
        <v>173</v>
      </c>
    </row>
    <row r="79" spans="1:4" x14ac:dyDescent="0.25">
      <c r="A79" s="34">
        <v>5</v>
      </c>
      <c r="B79" s="8" t="s">
        <v>1</v>
      </c>
    </row>
    <row r="80" spans="1:4" x14ac:dyDescent="0.25">
      <c r="A80" s="34">
        <v>6</v>
      </c>
      <c r="B80" s="8" t="s">
        <v>174</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69AE-11F4-4903-A8C0-2E489A28186E}">
  <dimension ref="A1:AP79"/>
  <sheetViews>
    <sheetView topLeftCell="A35" zoomScaleNormal="100" workbookViewId="0">
      <selection activeCell="A76" sqref="A76:I78"/>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49</v>
      </c>
      <c r="N1" s="20" t="s">
        <v>144</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5" t="s">
        <v>48</v>
      </c>
      <c r="O3" s="45" t="s">
        <v>41</v>
      </c>
      <c r="P3" s="44"/>
    </row>
    <row r="4" spans="1:16" x14ac:dyDescent="0.25">
      <c r="A4" s="17">
        <f>'Non-Rebalanced Portfolio'!A4</f>
        <v>1992</v>
      </c>
      <c r="B4" s="17">
        <f>'Non-Rebalanced Portfolio'!B4</f>
        <v>7.42</v>
      </c>
      <c r="C4" s="17">
        <f>'Non-Rebalanced Portfolio'!C4</f>
        <v>12.465999999999999</v>
      </c>
      <c r="D4" s="17"/>
      <c r="E4" s="17"/>
      <c r="F4" s="17">
        <f>'Non-Rebalanced Portfolio'!F4</f>
        <v>-8.7210000000000001</v>
      </c>
      <c r="G4" s="17"/>
      <c r="H4" s="17">
        <f>'Non-Rebalanced Portfolio'!H4</f>
        <v>7.14</v>
      </c>
      <c r="N4" s="45">
        <v>1992</v>
      </c>
      <c r="O4" s="46">
        <v>0.03</v>
      </c>
      <c r="P4" s="44"/>
    </row>
    <row r="5" spans="1:16" x14ac:dyDescent="0.25">
      <c r="A5" s="17">
        <f>'Non-Rebalanced Portfolio'!A5</f>
        <v>1993</v>
      </c>
      <c r="B5" s="17">
        <f>'Non-Rebalanced Portfolio'!B5</f>
        <v>9.89</v>
      </c>
      <c r="C5" s="17">
        <f>'Non-Rebalanced Portfolio'!C5</f>
        <v>14.49</v>
      </c>
      <c r="D5" s="17"/>
      <c r="E5" s="17"/>
      <c r="F5" s="17">
        <f>'Non-Rebalanced Portfolio'!F5</f>
        <v>30.494</v>
      </c>
      <c r="G5" s="17"/>
      <c r="H5" s="17">
        <f>'Non-Rebalanced Portfolio'!H5</f>
        <v>9.68</v>
      </c>
      <c r="N5" s="45">
        <v>1993</v>
      </c>
      <c r="O5" s="46">
        <v>2.8000000000000001E-2</v>
      </c>
      <c r="P5" s="44"/>
    </row>
    <row r="6" spans="1:16" x14ac:dyDescent="0.25">
      <c r="A6" s="17">
        <f>'Non-Rebalanced Portfolio'!A6</f>
        <v>1994</v>
      </c>
      <c r="B6" s="17">
        <f>'Non-Rebalanced Portfolio'!B6</f>
        <v>1.18</v>
      </c>
      <c r="C6" s="17">
        <f>'Non-Rebalanced Portfolio'!C6</f>
        <v>-1.764</v>
      </c>
      <c r="D6" s="17"/>
      <c r="E6" s="17"/>
      <c r="F6" s="17">
        <f>'Non-Rebalanced Portfolio'!F6</f>
        <v>5.2549999999999999</v>
      </c>
      <c r="G6" s="17"/>
      <c r="H6" s="17">
        <f>'Non-Rebalanced Portfolio'!H6</f>
        <v>-2.66</v>
      </c>
      <c r="N6" s="45">
        <v>1994</v>
      </c>
      <c r="O6" s="46">
        <v>2.5999999999999999E-2</v>
      </c>
      <c r="P6" s="44"/>
    </row>
    <row r="7" spans="1:16" x14ac:dyDescent="0.25">
      <c r="A7" s="17">
        <f>'Non-Rebalanced Portfolio'!A7</f>
        <v>1995</v>
      </c>
      <c r="B7" s="17">
        <f>'Non-Rebalanced Portfolio'!B7</f>
        <v>37.450000000000003</v>
      </c>
      <c r="C7" s="17">
        <f>'Non-Rebalanced Portfolio'!C7</f>
        <v>33.796999999999997</v>
      </c>
      <c r="D7" s="17"/>
      <c r="E7" s="17"/>
      <c r="F7" s="17">
        <f>'Non-Rebalanced Portfolio'!F7</f>
        <v>9.6460000000000008</v>
      </c>
      <c r="G7" s="17"/>
      <c r="H7" s="17">
        <f>'Non-Rebalanced Portfolio'!H7</f>
        <v>18.18</v>
      </c>
      <c r="N7" s="45">
        <v>1995</v>
      </c>
      <c r="O7" s="46">
        <v>2.5000000000000001E-2</v>
      </c>
      <c r="P7" s="44"/>
    </row>
    <row r="8" spans="1:16" x14ac:dyDescent="0.25">
      <c r="A8" s="17">
        <f>'Non-Rebalanced Portfolio'!A8</f>
        <v>1996</v>
      </c>
      <c r="B8" s="17">
        <f>'Non-Rebalanced Portfolio'!B8</f>
        <v>22.88</v>
      </c>
      <c r="C8" s="17">
        <f>'Non-Rebalanced Portfolio'!C8</f>
        <v>17.646999999999998</v>
      </c>
      <c r="D8" s="17"/>
      <c r="E8" s="17"/>
      <c r="F8" s="17">
        <f>'Non-Rebalanced Portfolio'!F8</f>
        <v>10.218999999999999</v>
      </c>
      <c r="G8" s="17"/>
      <c r="H8" s="17">
        <f>'Non-Rebalanced Portfolio'!H8</f>
        <v>3.58</v>
      </c>
      <c r="N8" s="45">
        <v>1996</v>
      </c>
      <c r="O8" s="46">
        <v>3.4000000000000002E-2</v>
      </c>
      <c r="P8" s="44"/>
    </row>
    <row r="9" spans="1:16" x14ac:dyDescent="0.25">
      <c r="A9" s="17">
        <f>'Non-Rebalanced Portfolio'!A9</f>
        <v>1997</v>
      </c>
      <c r="B9" s="17">
        <f>'Non-Rebalanced Portfolio'!B9</f>
        <v>33.19</v>
      </c>
      <c r="C9" s="17">
        <f>'Non-Rebalanced Portfolio'!C9</f>
        <v>26.687000000000001</v>
      </c>
      <c r="D9" s="17"/>
      <c r="E9" s="17"/>
      <c r="F9" s="17">
        <f>'Non-Rebalanced Portfolio'!F9</f>
        <v>0</v>
      </c>
      <c r="G9" s="17"/>
      <c r="H9" s="17">
        <f>'Non-Rebalanced Portfolio'!H9</f>
        <v>9.44</v>
      </c>
      <c r="N9" s="45">
        <v>1997</v>
      </c>
      <c r="O9" s="46">
        <v>1.7000000000000001E-2</v>
      </c>
      <c r="P9" s="44"/>
    </row>
    <row r="10" spans="1:16" x14ac:dyDescent="0.25">
      <c r="A10" s="17">
        <f>'Non-Rebalanced Portfolio'!A10</f>
        <v>1998</v>
      </c>
      <c r="B10" s="17">
        <f>'Non-Rebalanced Portfolio'!B10</f>
        <v>28.66</v>
      </c>
      <c r="C10" s="17">
        <f>'Non-Rebalanced Portfolio'!C10</f>
        <v>8.3529999999999998</v>
      </c>
      <c r="D10" s="17"/>
      <c r="E10" s="17"/>
      <c r="F10" s="17">
        <f>'Non-Rebalanced Portfolio'!F10</f>
        <v>0</v>
      </c>
      <c r="G10" s="17"/>
      <c r="H10" s="17">
        <f>'Non-Rebalanced Portfolio'!H10</f>
        <v>8.58</v>
      </c>
      <c r="N10" s="45">
        <v>1998</v>
      </c>
      <c r="O10" s="46">
        <v>1.6E-2</v>
      </c>
      <c r="P10" s="44"/>
    </row>
    <row r="11" spans="1:16" x14ac:dyDescent="0.25">
      <c r="A11" s="17">
        <f>'Non-Rebalanced Portfolio'!A11</f>
        <v>1999</v>
      </c>
      <c r="B11" s="17">
        <f>'Non-Rebalanced Portfolio'!B11</f>
        <v>21.07</v>
      </c>
      <c r="C11" s="17">
        <f>'Non-Rebalanced Portfolio'!C11</f>
        <v>0</v>
      </c>
      <c r="D11" s="17"/>
      <c r="E11" s="17"/>
      <c r="F11" s="17">
        <f>'Non-Rebalanced Portfolio'!F11</f>
        <v>0</v>
      </c>
      <c r="G11" s="18">
        <f>'Non-Rebalanced Portfolio'!G11</f>
        <v>29.919</v>
      </c>
      <c r="H11" s="17">
        <f>'Non-Rebalanced Portfolio'!H11</f>
        <v>-0.76</v>
      </c>
      <c r="N11" s="45">
        <v>1999</v>
      </c>
      <c r="O11" s="46">
        <v>2.7E-2</v>
      </c>
      <c r="P11" s="44"/>
    </row>
    <row r="12" spans="1:16" x14ac:dyDescent="0.25">
      <c r="A12" s="17">
        <f>'Non-Rebalanced Portfolio'!A12</f>
        <v>2000</v>
      </c>
      <c r="B12" s="17">
        <f>'Non-Rebalanced Portfolio'!B12</f>
        <v>-9.06</v>
      </c>
      <c r="C12" s="17">
        <f>'Non-Rebalanced Portfolio'!C12</f>
        <v>0</v>
      </c>
      <c r="D12" s="18"/>
      <c r="E12" s="18"/>
      <c r="F12" s="17">
        <f>'Non-Rebalanced Portfolio'!F12</f>
        <v>0</v>
      </c>
      <c r="G12" s="18">
        <f>'Non-Rebalanced Portfolio'!G12</f>
        <v>-15.614000000000001</v>
      </c>
      <c r="H12" s="17">
        <f>'Non-Rebalanced Portfolio'!H12</f>
        <v>11.39</v>
      </c>
      <c r="N12" s="45">
        <v>2000</v>
      </c>
      <c r="O12" s="46">
        <v>3.4000000000000002E-2</v>
      </c>
      <c r="P12" s="44"/>
    </row>
    <row r="13" spans="1:16" x14ac:dyDescent="0.25">
      <c r="A13" s="17">
        <f>'Non-Rebalanced Portfolio'!A13</f>
        <v>2001</v>
      </c>
      <c r="B13" s="17">
        <f>'Non-Rebalanced Portfolio'!B13</f>
        <v>-12.02</v>
      </c>
      <c r="C13" s="17">
        <f>'Non-Rebalanced Portfolio'!C13</f>
        <v>0</v>
      </c>
      <c r="D13" s="18">
        <f>'Non-Rebalanced Portfolio'!D13</f>
        <v>-0.499</v>
      </c>
      <c r="E13" s="18">
        <f>'Non-Rebalanced Portfolio'!E13</f>
        <v>3.1</v>
      </c>
      <c r="F13" s="17"/>
      <c r="G13" s="18">
        <f>'Non-Rebalanced Portfolio'!G13</f>
        <v>-20.152999999999999</v>
      </c>
      <c r="H13" s="17">
        <f>'Non-Rebalanced Portfolio'!H13</f>
        <v>8.43</v>
      </c>
      <c r="N13" s="45">
        <v>2001</v>
      </c>
      <c r="O13" s="46">
        <v>1.6E-2</v>
      </c>
      <c r="P13" s="44"/>
    </row>
    <row r="14" spans="1:16" x14ac:dyDescent="0.25">
      <c r="A14" s="17">
        <f>'Non-Rebalanced Portfolio'!A14</f>
        <v>2002</v>
      </c>
      <c r="B14" s="17">
        <f>'Non-Rebalanced Portfolio'!B14</f>
        <v>-22.15</v>
      </c>
      <c r="C14" s="17">
        <f>'Non-Rebalanced Portfolio'!C14</f>
        <v>0</v>
      </c>
      <c r="D14" s="18">
        <f>'Non-Rebalanced Portfolio'!D14</f>
        <v>-14.608000000000001</v>
      </c>
      <c r="E14" s="18">
        <f>'Non-Rebalanced Portfolio'!E14</f>
        <v>-20.021999999999998</v>
      </c>
      <c r="F14" s="17"/>
      <c r="G14" s="17">
        <f>'Non-Rebalanced Portfolio'!G14</f>
        <v>-15.083</v>
      </c>
      <c r="H14" s="17">
        <f>'Non-Rebalanced Portfolio'!H14</f>
        <v>8.26</v>
      </c>
      <c r="N14" s="45">
        <v>2002</v>
      </c>
      <c r="O14" s="46">
        <v>2.5000000000000001E-2</v>
      </c>
      <c r="P14" s="44"/>
    </row>
    <row r="15" spans="1:16" x14ac:dyDescent="0.25">
      <c r="A15" s="17">
        <f>'Non-Rebalanced Portfolio'!A15</f>
        <v>2003</v>
      </c>
      <c r="B15" s="17">
        <f>'Non-Rebalanced Portfolio'!B15</f>
        <v>28.5</v>
      </c>
      <c r="C15" s="17"/>
      <c r="D15" s="18">
        <f>'Non-Rebalanced Portfolio'!D15</f>
        <v>34.142000000000003</v>
      </c>
      <c r="E15" s="18">
        <f>'Non-Rebalanced Portfolio'!E15</f>
        <v>45.628</v>
      </c>
      <c r="F15" s="17"/>
      <c r="G15" s="17">
        <f>'Non-Rebalanced Portfolio'!G15</f>
        <v>40.340000000000003</v>
      </c>
      <c r="H15" s="17">
        <f>'Non-Rebalanced Portfolio'!H15</f>
        <v>3.97</v>
      </c>
      <c r="N15" s="45">
        <v>2003</v>
      </c>
      <c r="O15" s="46">
        <v>0.02</v>
      </c>
      <c r="P15" s="44"/>
    </row>
    <row r="16" spans="1:16"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c r="N16" s="45">
        <v>2004</v>
      </c>
      <c r="O16" s="46">
        <v>3.3000000000000002E-2</v>
      </c>
      <c r="P16" s="44"/>
    </row>
    <row r="17" spans="1:16"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c r="N17" s="45">
        <v>2005</v>
      </c>
      <c r="O17" s="46">
        <v>3.3000000000000002E-2</v>
      </c>
      <c r="P17" s="44"/>
    </row>
    <row r="18" spans="1:16"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c r="N18" s="45">
        <v>2006</v>
      </c>
      <c r="O18" s="46">
        <v>2.5000000000000001E-2</v>
      </c>
      <c r="P18" s="44"/>
    </row>
    <row r="19" spans="1:16"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c r="N19" s="45">
        <v>2007</v>
      </c>
      <c r="O19" s="46">
        <v>4.1000000000000002E-2</v>
      </c>
      <c r="P19" s="44"/>
    </row>
    <row r="20" spans="1:16"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c r="N20" s="45">
        <v>2008</v>
      </c>
      <c r="O20" s="46">
        <v>0</v>
      </c>
      <c r="P20" s="44"/>
    </row>
    <row r="21" spans="1:16"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c r="N21" s="45">
        <v>2009</v>
      </c>
      <c r="O21" s="46">
        <v>2.8000000000000001E-2</v>
      </c>
      <c r="P21" s="44"/>
    </row>
    <row r="22" spans="1:16"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c r="N22" s="45">
        <v>2010</v>
      </c>
      <c r="O22" s="46">
        <v>1.4E-2</v>
      </c>
      <c r="P22" s="44"/>
    </row>
    <row r="23" spans="1:16"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c r="N23" s="45">
        <v>2011</v>
      </c>
      <c r="O23" s="46">
        <v>0.03</v>
      </c>
      <c r="P23" s="44"/>
    </row>
    <row r="24" spans="1:16"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c r="N24" s="45">
        <v>2012</v>
      </c>
      <c r="O24" s="46">
        <v>1.7999999999999999E-2</v>
      </c>
      <c r="P24" s="44"/>
    </row>
    <row r="25" spans="1:16"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c r="N25" s="45">
        <v>2013</v>
      </c>
      <c r="O25" s="46">
        <v>1.15559170535223E-2</v>
      </c>
      <c r="P25" s="44"/>
    </row>
    <row r="26" spans="1:16"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c r="N26" s="45">
        <v>2014</v>
      </c>
      <c r="O26" s="46">
        <v>1.29E-2</v>
      </c>
      <c r="P26" s="44"/>
    </row>
    <row r="27" spans="1:16"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c r="N27" s="45">
        <v>2015</v>
      </c>
      <c r="O27" s="46">
        <v>4.4000000000000003E-3</v>
      </c>
    </row>
    <row r="28" spans="1:16" x14ac:dyDescent="0.25">
      <c r="A28" s="17">
        <f>'Non-Rebalanced Portfolio'!A28</f>
        <v>2016</v>
      </c>
      <c r="B28" s="17">
        <f>'Non-Rebalanced Portfolio'!B28</f>
        <v>11.82</v>
      </c>
      <c r="C28" s="19"/>
      <c r="D28" s="17">
        <f>'Non-Rebalanced Portfolio'!D28</f>
        <v>11.07</v>
      </c>
      <c r="E28" s="17">
        <f>'Non-Rebalanced Portfolio'!E28</f>
        <v>18.170000000000002</v>
      </c>
      <c r="F28" s="19"/>
      <c r="G28" s="17">
        <f>'Non-Rebalanced Portfolio'!G28</f>
        <v>4.6500000000000004</v>
      </c>
      <c r="H28" s="17">
        <f>'Non-Rebalanced Portfolio'!H28</f>
        <v>2.5</v>
      </c>
      <c r="N28" s="45">
        <v>2016</v>
      </c>
      <c r="O28" s="46">
        <v>1.7000000000000001E-2</v>
      </c>
    </row>
    <row r="29" spans="1:16"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c r="N29" s="45">
        <v>2017</v>
      </c>
      <c r="O29" s="46">
        <v>2.23E-2</v>
      </c>
    </row>
    <row r="30" spans="1:16"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c r="N30" s="45">
        <v>2017</v>
      </c>
      <c r="O30" s="46">
        <v>2.23E-2</v>
      </c>
    </row>
    <row r="31" spans="1:16"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5">
        <v>2017</v>
      </c>
      <c r="O31" s="46">
        <v>2.23E-2</v>
      </c>
    </row>
    <row r="32" spans="1:16"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5">
        <v>2017</v>
      </c>
      <c r="O32" s="46">
        <v>2.23E-2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5">
        <v>2017</v>
      </c>
      <c r="O33" s="46">
        <v>2.23E-2</v>
      </c>
    </row>
    <row r="36" spans="1:42" x14ac:dyDescent="0.25">
      <c r="A36" s="20" t="s">
        <v>123</v>
      </c>
      <c r="N36" s="20" t="s">
        <v>25</v>
      </c>
      <c r="R36" s="20" t="s">
        <v>124</v>
      </c>
      <c r="AF36" s="20" t="s">
        <v>138</v>
      </c>
    </row>
    <row r="37" spans="1:4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111</v>
      </c>
      <c r="AP37" s="5" t="s">
        <v>112</v>
      </c>
    </row>
    <row r="38" spans="1:42"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F38" t="s">
        <v>72</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70</v>
      </c>
      <c r="AO38" s="5" t="s">
        <v>112</v>
      </c>
      <c r="AP38" s="5" t="s">
        <v>87</v>
      </c>
    </row>
    <row r="39" spans="1:42" x14ac:dyDescent="0.25">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F39" s="21" t="s">
        <v>86</v>
      </c>
      <c r="AG39" s="6">
        <f t="shared" ref="AG39:AH54" si="3">S39/$Z39</f>
        <v>0.2</v>
      </c>
      <c r="AH39" s="6">
        <f t="shared" si="3"/>
        <v>0.3</v>
      </c>
      <c r="AI39" s="23">
        <v>0.2</v>
      </c>
      <c r="AJ39" s="23">
        <v>0.1</v>
      </c>
      <c r="AK39" s="6">
        <f t="shared" ref="AK39:AL49" si="4">W39/$Z39</f>
        <v>0.2</v>
      </c>
      <c r="AL39" s="23">
        <v>0.2</v>
      </c>
      <c r="AM39" s="6">
        <f>Y39/$Z39</f>
        <v>0.3</v>
      </c>
      <c r="AN39" s="6">
        <f>Z39/$Z39</f>
        <v>1</v>
      </c>
      <c r="AO39" s="24"/>
    </row>
    <row r="40" spans="1:42" x14ac:dyDescent="0.25">
      <c r="A40">
        <f t="shared" ref="A40:A64" si="5">A4</f>
        <v>1992</v>
      </c>
      <c r="B40" s="2">
        <f>B39*(1+(B4/100))</f>
        <v>21484</v>
      </c>
      <c r="C40" s="2">
        <f>C39*(1+(C4/100))</f>
        <v>33739.800000000003</v>
      </c>
      <c r="D40" s="2"/>
      <c r="E40" s="2"/>
      <c r="F40" s="2">
        <f>F39*(1+(F4/100))</f>
        <v>18255.8</v>
      </c>
      <c r="G40" s="2"/>
      <c r="H40" s="2">
        <f>H39*(1+(H4/100))</f>
        <v>32141.999999999996</v>
      </c>
      <c r="I40" s="2">
        <f>SUM(B40:H40)</f>
        <v>105621.6</v>
      </c>
      <c r="J40" s="2">
        <f>I40-I39</f>
        <v>5621.6000000000058</v>
      </c>
      <c r="K40" s="6">
        <f>(J40/I39)</f>
        <v>5.6216000000000058E-2</v>
      </c>
      <c r="L40" s="7">
        <f>K40+1</f>
        <v>1.056216</v>
      </c>
      <c r="N40">
        <f>A40</f>
        <v>1992</v>
      </c>
      <c r="O40" s="2">
        <f>I40*0.045</f>
        <v>4752.9719999999998</v>
      </c>
      <c r="P40" s="2"/>
      <c r="Q40" s="2"/>
      <c r="R40">
        <f>A40</f>
        <v>1992</v>
      </c>
      <c r="S40" s="2">
        <f>B40-($O40/4)</f>
        <v>20295.757000000001</v>
      </c>
      <c r="T40" s="2">
        <f>C40-($O40/4)</f>
        <v>32551.557000000004</v>
      </c>
      <c r="U40" s="2"/>
      <c r="V40" s="2"/>
      <c r="W40" s="2">
        <f t="shared" ref="W40:X46" si="6">F40-($O40/4)</f>
        <v>17067.557000000001</v>
      </c>
      <c r="X40" s="2"/>
      <c r="Y40" s="2">
        <f>H40-($O40/4)</f>
        <v>30953.756999999998</v>
      </c>
      <c r="Z40" s="2">
        <f>SUM(S40:Y40)</f>
        <v>100868.62800000001</v>
      </c>
      <c r="AA40" s="2">
        <f>Z40-Z39</f>
        <v>868.62800000001153</v>
      </c>
      <c r="AB40" s="6">
        <f>(AA40/Z39)</f>
        <v>8.6862800000001156E-3</v>
      </c>
      <c r="AC40" s="7">
        <f>AB40+1</f>
        <v>1.00868628</v>
      </c>
      <c r="AD40" s="2">
        <f>Z40-(I40-O40)</f>
        <v>0</v>
      </c>
      <c r="AF40">
        <f t="shared" ref="AF40:AF64" si="7">A40</f>
        <v>1992</v>
      </c>
      <c r="AG40" s="6">
        <f t="shared" si="3"/>
        <v>0.201209805292484</v>
      </c>
      <c r="AH40" s="6">
        <f t="shared" si="3"/>
        <v>0.32271239973641758</v>
      </c>
      <c r="AI40" s="7"/>
      <c r="AJ40" s="7"/>
      <c r="AK40" s="6">
        <f t="shared" si="4"/>
        <v>0.16920580103458926</v>
      </c>
      <c r="AL40" s="7"/>
      <c r="AM40" s="6">
        <f t="shared" ref="AM40:AM64" si="8">Y40/$Z40</f>
        <v>0.3068719939365091</v>
      </c>
      <c r="AN40" s="6">
        <f>SUM(AG40:AM40)</f>
        <v>1</v>
      </c>
      <c r="AO40" s="7">
        <f>SUM(AG40:AL40)</f>
        <v>0.6931280060634909</v>
      </c>
      <c r="AP40" s="7">
        <f>AN40-(AO40+AM40)</f>
        <v>0</v>
      </c>
    </row>
    <row r="41" spans="1:42" x14ac:dyDescent="0.25">
      <c r="A41">
        <f t="shared" si="5"/>
        <v>1993</v>
      </c>
      <c r="B41" s="2">
        <f t="shared" ref="B41:B50" si="9">S40*(1+(B5/100))</f>
        <v>22303.007367300001</v>
      </c>
      <c r="C41" s="2">
        <f t="shared" ref="C41:C46" si="10">T40*(1+(C5/100))</f>
        <v>37268.277609300007</v>
      </c>
      <c r="D41" s="2"/>
      <c r="E41" s="2"/>
      <c r="F41" s="2">
        <f t="shared" ref="F41:F44" si="11">W40*(1+(F5/100))</f>
        <v>22272.137831579999</v>
      </c>
      <c r="G41" s="2"/>
      <c r="H41" s="2">
        <f t="shared" ref="H41:H64" si="12">Y40*(1+(H5/100))</f>
        <v>33950.080677599995</v>
      </c>
      <c r="I41" s="2">
        <f t="shared" ref="I41:I64" si="13">SUM(B41:H41)</f>
        <v>115793.50348578001</v>
      </c>
      <c r="J41" s="2">
        <f t="shared" ref="J41:J64" si="14">I41-I40</f>
        <v>10171.90348578</v>
      </c>
      <c r="K41" s="6">
        <f t="shared" ref="K41:K64" si="15">(J41/I40)</f>
        <v>9.6305144835715409E-2</v>
      </c>
      <c r="L41" s="7">
        <f t="shared" ref="L41:L64" si="16">K41+1</f>
        <v>1.0963051448357155</v>
      </c>
      <c r="N41">
        <f t="shared" ref="N41:N64" si="17">A41</f>
        <v>1993</v>
      </c>
      <c r="O41" s="2">
        <f t="shared" ref="O41:O64" si="18">O40*(1+O5)</f>
        <v>4886.0552159999997</v>
      </c>
      <c r="P41" s="2"/>
      <c r="Q41" s="2"/>
      <c r="R41">
        <f t="shared" ref="R41:R64" si="19">A41</f>
        <v>1993</v>
      </c>
      <c r="S41" s="2">
        <f t="shared" ref="S41:T46" si="20">B41-($O41/4)</f>
        <v>21081.493563300002</v>
      </c>
      <c r="T41" s="2">
        <f t="shared" si="20"/>
        <v>36046.763805300005</v>
      </c>
      <c r="U41" s="2"/>
      <c r="V41" s="2"/>
      <c r="W41" s="2">
        <f t="shared" si="6"/>
        <v>21050.624027580001</v>
      </c>
      <c r="X41" s="2"/>
      <c r="Y41" s="2">
        <f t="shared" ref="Y41:Y46" si="21">H41-($O41/4)</f>
        <v>32728.566873599997</v>
      </c>
      <c r="Z41" s="2">
        <f t="shared" ref="Z41:Z64" si="22">SUM(S41:Y41)</f>
        <v>110907.44826978001</v>
      </c>
      <c r="AA41" s="2">
        <f t="shared" ref="AA41:AA55" si="23">Z41-Z40</f>
        <v>10038.820269780001</v>
      </c>
      <c r="AB41" s="6">
        <f t="shared" ref="AB41:AB55" si="24">(AA41/Z40)</f>
        <v>9.9523711869859074E-2</v>
      </c>
      <c r="AC41" s="7">
        <f t="shared" ref="AC41:AC64" si="25">AB41+1</f>
        <v>1.0995237118698591</v>
      </c>
      <c r="AD41" s="2">
        <f t="shared" ref="AD41:AD64" si="26">Z41-(I41-O41)</f>
        <v>0</v>
      </c>
      <c r="AF41">
        <f t="shared" si="7"/>
        <v>1993</v>
      </c>
      <c r="AG41" s="6">
        <f t="shared" si="3"/>
        <v>0.19008185556681204</v>
      </c>
      <c r="AH41" s="6">
        <f t="shared" si="3"/>
        <v>0.3250166185197681</v>
      </c>
      <c r="AI41" s="7"/>
      <c r="AJ41" s="7"/>
      <c r="AK41" s="6">
        <f t="shared" si="4"/>
        <v>0.18980351956502331</v>
      </c>
      <c r="AL41" s="7"/>
      <c r="AM41" s="6">
        <f t="shared" si="8"/>
        <v>0.2950980063483965</v>
      </c>
      <c r="AN41" s="6">
        <f t="shared" ref="AN41:AN64" si="27">SUM(AG41:AM41)</f>
        <v>1</v>
      </c>
      <c r="AO41" s="7">
        <f t="shared" ref="AO41:AO64" si="28">SUM(AG41:AL41)</f>
        <v>0.70490199365160344</v>
      </c>
      <c r="AP41" s="7">
        <f t="shared" ref="AP41:AP64" si="29">AN41-(AO41+AM41)</f>
        <v>0</v>
      </c>
    </row>
    <row r="42" spans="1:42" x14ac:dyDescent="0.25">
      <c r="A42">
        <f t="shared" si="5"/>
        <v>1994</v>
      </c>
      <c r="B42" s="2">
        <f t="shared" si="9"/>
        <v>21330.255187346942</v>
      </c>
      <c r="C42" s="2">
        <f t="shared" si="10"/>
        <v>35410.898891774516</v>
      </c>
      <c r="D42" s="2"/>
      <c r="E42" s="2"/>
      <c r="F42" s="2">
        <f t="shared" si="11"/>
        <v>22156.834320229333</v>
      </c>
      <c r="G42" s="2"/>
      <c r="H42" s="2">
        <f t="shared" si="12"/>
        <v>31857.986994762239</v>
      </c>
      <c r="I42" s="2">
        <f t="shared" ref="I42:I48" si="30">SUM(B42:H42)</f>
        <v>110755.97539411302</v>
      </c>
      <c r="J42" s="2">
        <f t="shared" si="14"/>
        <v>-5037.5280916669872</v>
      </c>
      <c r="K42" s="6">
        <f t="shared" si="15"/>
        <v>-4.3504410351359823E-2</v>
      </c>
      <c r="L42" s="7">
        <f t="shared" si="16"/>
        <v>0.95649558964864023</v>
      </c>
      <c r="N42">
        <f t="shared" si="17"/>
        <v>1994</v>
      </c>
      <c r="O42" s="2">
        <f t="shared" si="18"/>
        <v>5013.0926516159998</v>
      </c>
      <c r="P42" s="2"/>
      <c r="Q42" s="2"/>
      <c r="R42">
        <f t="shared" si="19"/>
        <v>1994</v>
      </c>
      <c r="S42" s="2">
        <f t="shared" si="20"/>
        <v>20076.982024442943</v>
      </c>
      <c r="T42" s="2">
        <f t="shared" si="20"/>
        <v>34157.625728870516</v>
      </c>
      <c r="U42" s="2"/>
      <c r="V42" s="2"/>
      <c r="W42" s="2">
        <f t="shared" si="6"/>
        <v>20903.561157325334</v>
      </c>
      <c r="X42" s="2"/>
      <c r="Y42" s="2">
        <f t="shared" si="21"/>
        <v>30604.71383185824</v>
      </c>
      <c r="Z42" s="2">
        <f t="shared" si="22"/>
        <v>105742.88274249704</v>
      </c>
      <c r="AA42" s="2">
        <f t="shared" si="23"/>
        <v>-5164.5655272829754</v>
      </c>
      <c r="AB42" s="6">
        <f t="shared" si="24"/>
        <v>-4.6566444435005655E-2</v>
      </c>
      <c r="AC42" s="7">
        <f t="shared" si="25"/>
        <v>0.95343355556499432</v>
      </c>
      <c r="AD42" s="2">
        <f t="shared" si="26"/>
        <v>0</v>
      </c>
      <c r="AF42">
        <f t="shared" si="7"/>
        <v>1994</v>
      </c>
      <c r="AG42" s="6">
        <f t="shared" si="3"/>
        <v>0.18986603640581665</v>
      </c>
      <c r="AH42" s="6">
        <f t="shared" si="3"/>
        <v>0.32302529345687014</v>
      </c>
      <c r="AI42" s="7"/>
      <c r="AJ42" s="7"/>
      <c r="AK42" s="6">
        <f t="shared" si="4"/>
        <v>0.19768291364090451</v>
      </c>
      <c r="AL42" s="7"/>
      <c r="AM42" s="6">
        <f t="shared" si="8"/>
        <v>0.28942575649640867</v>
      </c>
      <c r="AN42" s="6">
        <f t="shared" si="27"/>
        <v>1</v>
      </c>
      <c r="AO42" s="7">
        <f t="shared" si="28"/>
        <v>0.71057424350359133</v>
      </c>
      <c r="AP42" s="7">
        <f t="shared" si="29"/>
        <v>0</v>
      </c>
    </row>
    <row r="43" spans="1:42" x14ac:dyDescent="0.25">
      <c r="A43">
        <f t="shared" si="5"/>
        <v>1995</v>
      </c>
      <c r="B43" s="2">
        <f t="shared" si="9"/>
        <v>27595.811792596825</v>
      </c>
      <c r="C43" s="2">
        <f t="shared" si="10"/>
        <v>45701.878496456884</v>
      </c>
      <c r="D43" s="2"/>
      <c r="E43" s="2"/>
      <c r="F43" s="2">
        <f t="shared" si="11"/>
        <v>22919.918666560934</v>
      </c>
      <c r="G43" s="2"/>
      <c r="H43" s="2">
        <f t="shared" si="12"/>
        <v>36168.65080649007</v>
      </c>
      <c r="I43" s="2">
        <f t="shared" si="30"/>
        <v>132386.25976210472</v>
      </c>
      <c r="J43" s="2">
        <f t="shared" si="14"/>
        <v>21630.284367991699</v>
      </c>
      <c r="K43" s="6">
        <f t="shared" si="15"/>
        <v>0.19529677104122553</v>
      </c>
      <c r="L43" s="7">
        <f t="shared" si="16"/>
        <v>1.1952967710412254</v>
      </c>
      <c r="N43">
        <f t="shared" si="17"/>
        <v>1995</v>
      </c>
      <c r="O43" s="2">
        <f t="shared" si="18"/>
        <v>5138.4199679063995</v>
      </c>
      <c r="P43" s="2"/>
      <c r="Q43" s="2"/>
      <c r="R43">
        <f t="shared" si="19"/>
        <v>1995</v>
      </c>
      <c r="S43" s="2">
        <f t="shared" si="20"/>
        <v>26311.206800620224</v>
      </c>
      <c r="T43" s="2">
        <f t="shared" si="20"/>
        <v>44417.273504480283</v>
      </c>
      <c r="U43" s="2"/>
      <c r="V43" s="2"/>
      <c r="W43" s="2">
        <f t="shared" si="6"/>
        <v>21635.313674584333</v>
      </c>
      <c r="X43" s="2"/>
      <c r="Y43" s="2">
        <f t="shared" si="21"/>
        <v>34884.045814513469</v>
      </c>
      <c r="Z43" s="2">
        <f t="shared" si="22"/>
        <v>127247.83979419831</v>
      </c>
      <c r="AA43" s="2">
        <f t="shared" si="23"/>
        <v>21504.957051701276</v>
      </c>
      <c r="AB43" s="6">
        <f t="shared" si="24"/>
        <v>0.20337025522625216</v>
      </c>
      <c r="AC43" s="7">
        <f t="shared" si="25"/>
        <v>1.2033702552262522</v>
      </c>
      <c r="AD43" s="2">
        <f t="shared" si="26"/>
        <v>0</v>
      </c>
      <c r="AF43">
        <f t="shared" si="7"/>
        <v>1995</v>
      </c>
      <c r="AG43" s="6">
        <f t="shared" si="3"/>
        <v>0.20677134356995069</v>
      </c>
      <c r="AH43" s="6">
        <f t="shared" si="3"/>
        <v>0.3490611202226902</v>
      </c>
      <c r="AI43" s="7"/>
      <c r="AJ43" s="7"/>
      <c r="AK43" s="6">
        <f t="shared" si="4"/>
        <v>0.17002499774908372</v>
      </c>
      <c r="AL43" s="7"/>
      <c r="AM43" s="6">
        <f t="shared" si="8"/>
        <v>0.27414253845827535</v>
      </c>
      <c r="AN43" s="6">
        <f t="shared" si="27"/>
        <v>1</v>
      </c>
      <c r="AO43" s="7">
        <f t="shared" si="28"/>
        <v>0.72585746154172459</v>
      </c>
      <c r="AP43" s="7">
        <f t="shared" si="29"/>
        <v>0</v>
      </c>
    </row>
    <row r="44" spans="1:42" x14ac:dyDescent="0.25">
      <c r="A44">
        <f t="shared" si="5"/>
        <v>1996</v>
      </c>
      <c r="B44" s="2">
        <f t="shared" si="9"/>
        <v>32331.210916602136</v>
      </c>
      <c r="C44" s="2">
        <f t="shared" si="10"/>
        <v>52255.589759815914</v>
      </c>
      <c r="D44" s="2"/>
      <c r="E44" s="2"/>
      <c r="F44" s="2">
        <f t="shared" si="11"/>
        <v>23846.226378990104</v>
      </c>
      <c r="G44" s="2"/>
      <c r="H44" s="2">
        <f t="shared" si="12"/>
        <v>36132.894654673051</v>
      </c>
      <c r="I44" s="2">
        <f t="shared" si="30"/>
        <v>144565.92171008119</v>
      </c>
      <c r="J44" s="2">
        <f t="shared" si="14"/>
        <v>12179.661947976478</v>
      </c>
      <c r="K44" s="6">
        <f t="shared" si="15"/>
        <v>9.2000952137050104E-2</v>
      </c>
      <c r="L44" s="7">
        <f t="shared" si="16"/>
        <v>1.0920009521370502</v>
      </c>
      <c r="N44">
        <f t="shared" si="17"/>
        <v>1996</v>
      </c>
      <c r="O44" s="2">
        <f t="shared" si="18"/>
        <v>5313.1262468152172</v>
      </c>
      <c r="P44" s="2"/>
      <c r="Q44" s="2"/>
      <c r="R44">
        <f t="shared" si="19"/>
        <v>1996</v>
      </c>
      <c r="S44" s="2">
        <f t="shared" si="20"/>
        <v>31002.929354898333</v>
      </c>
      <c r="T44" s="2">
        <f t="shared" si="20"/>
        <v>50927.308198112107</v>
      </c>
      <c r="U44" s="2"/>
      <c r="V44" s="2"/>
      <c r="W44" s="2">
        <f t="shared" si="6"/>
        <v>22517.944817286301</v>
      </c>
      <c r="X44" s="2"/>
      <c r="Y44" s="2">
        <f t="shared" si="21"/>
        <v>34804.613092969244</v>
      </c>
      <c r="Z44" s="2">
        <f t="shared" si="22"/>
        <v>139252.79546326597</v>
      </c>
      <c r="AA44" s="2">
        <f t="shared" si="23"/>
        <v>12004.955669067655</v>
      </c>
      <c r="AB44" s="6">
        <f t="shared" si="24"/>
        <v>9.4343099957403004E-2</v>
      </c>
      <c r="AC44" s="7">
        <f t="shared" si="25"/>
        <v>1.0943430999574031</v>
      </c>
      <c r="AD44" s="2">
        <f t="shared" si="26"/>
        <v>0</v>
      </c>
      <c r="AF44">
        <f t="shared" si="7"/>
        <v>1996</v>
      </c>
      <c r="AG44" s="6">
        <f t="shared" si="3"/>
        <v>0.22263775209508607</v>
      </c>
      <c r="AH44" s="6">
        <f t="shared" si="3"/>
        <v>0.36571839027494724</v>
      </c>
      <c r="AI44" s="7"/>
      <c r="AJ44" s="7"/>
      <c r="AK44" s="6">
        <f t="shared" si="4"/>
        <v>0.16170551364784916</v>
      </c>
      <c r="AL44" s="7"/>
      <c r="AM44" s="6">
        <f t="shared" si="8"/>
        <v>0.24993834398211767</v>
      </c>
      <c r="AN44" s="6">
        <f t="shared" si="27"/>
        <v>1</v>
      </c>
      <c r="AO44" s="7">
        <f t="shared" si="28"/>
        <v>0.75006165601788244</v>
      </c>
      <c r="AP44" s="7">
        <f t="shared" si="29"/>
        <v>0</v>
      </c>
    </row>
    <row r="45" spans="1:42" x14ac:dyDescent="0.25">
      <c r="A45">
        <f t="shared" si="5"/>
        <v>1997</v>
      </c>
      <c r="B45" s="2">
        <f t="shared" si="9"/>
        <v>41292.801607789093</v>
      </c>
      <c r="C45" s="2">
        <f t="shared" si="10"/>
        <v>64518.278936942283</v>
      </c>
      <c r="D45" s="2"/>
      <c r="E45" s="2"/>
      <c r="F45" s="2"/>
      <c r="G45" s="2">
        <f>W44*(1+(G9/100))</f>
        <v>22517.944817286301</v>
      </c>
      <c r="H45" s="2">
        <f t="shared" si="12"/>
        <v>38090.168568945541</v>
      </c>
      <c r="I45" s="2">
        <f t="shared" si="30"/>
        <v>166419.19393096323</v>
      </c>
      <c r="J45" s="2">
        <f t="shared" si="14"/>
        <v>21853.272220882034</v>
      </c>
      <c r="K45" s="6">
        <f t="shared" si="15"/>
        <v>0.1511647555826299</v>
      </c>
      <c r="L45" s="7">
        <f t="shared" si="16"/>
        <v>1.1511647555826299</v>
      </c>
      <c r="N45">
        <f t="shared" si="17"/>
        <v>1997</v>
      </c>
      <c r="O45" s="2">
        <f t="shared" si="18"/>
        <v>5403.4493930110757</v>
      </c>
      <c r="P45" s="2"/>
      <c r="Q45" s="2"/>
      <c r="R45">
        <f t="shared" si="19"/>
        <v>1997</v>
      </c>
      <c r="S45" s="2">
        <f t="shared" si="20"/>
        <v>39941.939259536324</v>
      </c>
      <c r="T45" s="2">
        <f t="shared" si="20"/>
        <v>63167.416588689513</v>
      </c>
      <c r="U45" s="2"/>
      <c r="V45" s="2"/>
      <c r="W45" s="2"/>
      <c r="X45" s="2">
        <f t="shared" si="6"/>
        <v>21167.082469033532</v>
      </c>
      <c r="Y45" s="2">
        <f t="shared" si="21"/>
        <v>36739.306220692772</v>
      </c>
      <c r="Z45" s="2">
        <f t="shared" si="22"/>
        <v>161015.74453795212</v>
      </c>
      <c r="AA45" s="2">
        <f t="shared" si="23"/>
        <v>21762.949074686156</v>
      </c>
      <c r="AB45" s="6">
        <f t="shared" si="24"/>
        <v>0.15628375001223646</v>
      </c>
      <c r="AC45" s="7">
        <f t="shared" si="25"/>
        <v>1.1562837500122365</v>
      </c>
      <c r="AD45" s="2">
        <f t="shared" si="26"/>
        <v>0</v>
      </c>
      <c r="AF45">
        <f t="shared" si="7"/>
        <v>1997</v>
      </c>
      <c r="AG45" s="6">
        <f t="shared" si="3"/>
        <v>0.24806232070132639</v>
      </c>
      <c r="AH45" s="6">
        <f t="shared" si="3"/>
        <v>0.3923058379784759</v>
      </c>
      <c r="AI45" s="7"/>
      <c r="AJ45" s="7"/>
      <c r="AK45" s="6"/>
      <c r="AL45" s="6">
        <f t="shared" si="4"/>
        <v>0.1314597061906847</v>
      </c>
      <c r="AM45" s="6">
        <f t="shared" si="8"/>
        <v>0.22817213512951309</v>
      </c>
      <c r="AN45" s="6">
        <f t="shared" si="27"/>
        <v>1</v>
      </c>
      <c r="AO45" s="7">
        <f t="shared" si="28"/>
        <v>0.77182786487048693</v>
      </c>
      <c r="AP45" s="7">
        <f t="shared" si="29"/>
        <v>0</v>
      </c>
    </row>
    <row r="46" spans="1:42" x14ac:dyDescent="0.25">
      <c r="A46">
        <f t="shared" si="5"/>
        <v>1998</v>
      </c>
      <c r="B46" s="2">
        <f t="shared" si="9"/>
        <v>51389.299051319431</v>
      </c>
      <c r="C46" s="2">
        <f t="shared" si="10"/>
        <v>68443.790896342762</v>
      </c>
      <c r="D46" s="2"/>
      <c r="E46" s="2"/>
      <c r="F46" s="2"/>
      <c r="G46" s="2">
        <f t="shared" ref="G46:G64" si="31">X45*(1+(G10/100))</f>
        <v>21167.082469033532</v>
      </c>
      <c r="H46" s="2">
        <f t="shared" si="12"/>
        <v>39891.538694428215</v>
      </c>
      <c r="I46" s="2">
        <f t="shared" si="30"/>
        <v>180891.71111112396</v>
      </c>
      <c r="J46" s="2">
        <f t="shared" si="14"/>
        <v>14472.517180160736</v>
      </c>
      <c r="K46" s="6">
        <f t="shared" si="15"/>
        <v>8.6964230737498135E-2</v>
      </c>
      <c r="L46" s="7">
        <f t="shared" si="16"/>
        <v>1.086964230737498</v>
      </c>
      <c r="N46">
        <f t="shared" si="17"/>
        <v>1998</v>
      </c>
      <c r="O46" s="2">
        <f t="shared" si="18"/>
        <v>5489.9045832992533</v>
      </c>
      <c r="P46" s="2"/>
      <c r="Q46" s="2"/>
      <c r="R46">
        <f t="shared" si="19"/>
        <v>1998</v>
      </c>
      <c r="S46" s="2">
        <f t="shared" si="20"/>
        <v>50016.82290549462</v>
      </c>
      <c r="T46" s="2">
        <f t="shared" si="20"/>
        <v>67071.314750517951</v>
      </c>
      <c r="U46" s="2"/>
      <c r="V46" s="2"/>
      <c r="W46" s="2"/>
      <c r="X46" s="2">
        <f t="shared" si="6"/>
        <v>19794.606323208718</v>
      </c>
      <c r="Y46" s="2">
        <f t="shared" si="21"/>
        <v>38519.062548603404</v>
      </c>
      <c r="Z46" s="2">
        <f t="shared" si="22"/>
        <v>175401.80652782469</v>
      </c>
      <c r="AA46" s="2">
        <f t="shared" si="23"/>
        <v>14386.061989872571</v>
      </c>
      <c r="AB46" s="6">
        <f t="shared" si="24"/>
        <v>8.934568498971672E-2</v>
      </c>
      <c r="AC46" s="7">
        <f t="shared" si="25"/>
        <v>1.0893456849897167</v>
      </c>
      <c r="AD46" s="2">
        <f t="shared" si="26"/>
        <v>0</v>
      </c>
      <c r="AF46">
        <f t="shared" si="7"/>
        <v>1998</v>
      </c>
      <c r="AG46" s="6">
        <f t="shared" si="3"/>
        <v>0.28515568850518225</v>
      </c>
      <c r="AH46" s="6">
        <f t="shared" si="3"/>
        <v>0.38238668163248457</v>
      </c>
      <c r="AI46" s="7"/>
      <c r="AJ46" s="7"/>
      <c r="AK46" s="6"/>
      <c r="AL46" s="6">
        <f t="shared" si="4"/>
        <v>0.11285292161496992</v>
      </c>
      <c r="AM46" s="6">
        <f t="shared" si="8"/>
        <v>0.21960470824736331</v>
      </c>
      <c r="AN46" s="6">
        <f t="shared" si="27"/>
        <v>1</v>
      </c>
      <c r="AO46" s="7">
        <f t="shared" si="28"/>
        <v>0.78039529175263678</v>
      </c>
      <c r="AP46" s="7">
        <f t="shared" si="29"/>
        <v>0</v>
      </c>
    </row>
    <row r="47" spans="1:42" x14ac:dyDescent="0.25">
      <c r="A47">
        <f t="shared" si="5"/>
        <v>1999</v>
      </c>
      <c r="B47" s="2">
        <f t="shared" si="9"/>
        <v>60555.367491682344</v>
      </c>
      <c r="C47" s="2"/>
      <c r="D47" s="2">
        <f>($T46*0.67)*(1+(D11/100))</f>
        <v>44937.78088284703</v>
      </c>
      <c r="E47" s="2">
        <f>($T46*0.33)*(1+(E11/100))</f>
        <v>22133.533867670925</v>
      </c>
      <c r="F47" s="2"/>
      <c r="G47" s="2">
        <f t="shared" si="31"/>
        <v>25716.954589049536</v>
      </c>
      <c r="H47" s="2">
        <f t="shared" si="12"/>
        <v>38226.317673234014</v>
      </c>
      <c r="I47" s="2">
        <f t="shared" si="30"/>
        <v>191569.95450448385</v>
      </c>
      <c r="J47" s="2">
        <f t="shared" si="14"/>
        <v>10678.24339335988</v>
      </c>
      <c r="K47" s="6">
        <f t="shared" si="15"/>
        <v>5.9031137069625629E-2</v>
      </c>
      <c r="L47" s="7">
        <f t="shared" si="16"/>
        <v>1.0590311370696257</v>
      </c>
      <c r="N47">
        <f t="shared" si="17"/>
        <v>1999</v>
      </c>
      <c r="O47" s="2">
        <f t="shared" si="18"/>
        <v>5638.1320070483325</v>
      </c>
      <c r="P47" s="2"/>
      <c r="Q47" s="2"/>
      <c r="R47">
        <f t="shared" si="19"/>
        <v>1999</v>
      </c>
      <c r="S47" s="2">
        <f t="shared" ref="S47:S48" si="32">B47-($O47/5)</f>
        <v>59427.741090272677</v>
      </c>
      <c r="T47" s="2"/>
      <c r="U47" s="2">
        <f t="shared" ref="U47:U49" si="33">D47-($O47/5)</f>
        <v>43810.154481437363</v>
      </c>
      <c r="V47" s="2">
        <f t="shared" ref="V47:V49" si="34">E47-($O47/5)</f>
        <v>21005.907466261258</v>
      </c>
      <c r="W47" s="2"/>
      <c r="X47" s="2">
        <f t="shared" ref="X47:Y48" si="35">G47-($O47/5)</f>
        <v>24589.328187639869</v>
      </c>
      <c r="Y47" s="2">
        <f t="shared" si="35"/>
        <v>37098.691271824347</v>
      </c>
      <c r="Z47" s="2">
        <f t="shared" si="22"/>
        <v>185931.82249743553</v>
      </c>
      <c r="AA47" s="2">
        <f t="shared" si="23"/>
        <v>10530.015969610831</v>
      </c>
      <c r="AB47" s="6">
        <f t="shared" si="24"/>
        <v>6.0033680257109624E-2</v>
      </c>
      <c r="AC47" s="7">
        <f t="shared" si="25"/>
        <v>1.0600336802571095</v>
      </c>
      <c r="AD47" s="2">
        <f t="shared" si="26"/>
        <v>0</v>
      </c>
      <c r="AF47">
        <f t="shared" si="7"/>
        <v>1999</v>
      </c>
      <c r="AG47" s="6">
        <f t="shared" si="3"/>
        <v>0.31962114011490605</v>
      </c>
      <c r="AH47" s="6"/>
      <c r="AI47" s="6">
        <f>U47/$Z47</f>
        <v>0.23562483222602532</v>
      </c>
      <c r="AJ47" s="6">
        <f>V47/$Z47</f>
        <v>0.11297639739185035</v>
      </c>
      <c r="AK47" s="6"/>
      <c r="AL47" s="6">
        <f t="shared" si="4"/>
        <v>0.1322491645451333</v>
      </c>
      <c r="AM47" s="6">
        <f t="shared" si="8"/>
        <v>0.19952846572208496</v>
      </c>
      <c r="AN47" s="6">
        <f t="shared" si="27"/>
        <v>0.99999999999999989</v>
      </c>
      <c r="AO47" s="7">
        <f t="shared" si="28"/>
        <v>0.80047153427791495</v>
      </c>
      <c r="AP47" s="7">
        <f t="shared" si="29"/>
        <v>0</v>
      </c>
    </row>
    <row r="48" spans="1:42" x14ac:dyDescent="0.25">
      <c r="A48">
        <f t="shared" si="5"/>
        <v>2000</v>
      </c>
      <c r="B48" s="2">
        <f t="shared" si="9"/>
        <v>54043.58774749397</v>
      </c>
      <c r="C48" s="2"/>
      <c r="D48" s="2">
        <f t="shared" ref="D48:D49" si="36">U47*(1+(D12/100))</f>
        <v>43810.154481437363</v>
      </c>
      <c r="E48" s="2">
        <f t="shared" ref="E48:E49" si="37">V47*(1+(E12/100))</f>
        <v>21005.907466261258</v>
      </c>
      <c r="F48" s="2"/>
      <c r="G48" s="2">
        <f t="shared" si="31"/>
        <v>20749.950484421781</v>
      </c>
      <c r="H48" s="2">
        <f t="shared" si="12"/>
        <v>41324.232207685141</v>
      </c>
      <c r="I48" s="2">
        <f t="shared" si="30"/>
        <v>180933.83238729951</v>
      </c>
      <c r="J48" s="2">
        <f t="shared" si="14"/>
        <v>-10636.122117184335</v>
      </c>
      <c r="K48" s="6">
        <f t="shared" si="15"/>
        <v>-5.5520826032953871E-2</v>
      </c>
      <c r="L48" s="7">
        <f t="shared" si="16"/>
        <v>0.94447917396704617</v>
      </c>
      <c r="N48">
        <f t="shared" si="17"/>
        <v>2000</v>
      </c>
      <c r="O48" s="2">
        <f t="shared" si="18"/>
        <v>5829.8284952879758</v>
      </c>
      <c r="P48" s="2"/>
      <c r="Q48" s="2"/>
      <c r="R48">
        <f t="shared" si="19"/>
        <v>2000</v>
      </c>
      <c r="S48" s="2">
        <f t="shared" si="32"/>
        <v>52877.622048436373</v>
      </c>
      <c r="T48" s="2"/>
      <c r="U48" s="2">
        <f t="shared" si="33"/>
        <v>42644.188782379766</v>
      </c>
      <c r="V48" s="2">
        <f t="shared" si="34"/>
        <v>19839.941767203662</v>
      </c>
      <c r="W48" s="2"/>
      <c r="X48" s="2">
        <f t="shared" si="35"/>
        <v>19583.984785364184</v>
      </c>
      <c r="Y48" s="2">
        <f t="shared" si="35"/>
        <v>40158.266508627545</v>
      </c>
      <c r="Z48" s="2">
        <f t="shared" si="22"/>
        <v>175104.0038920115</v>
      </c>
      <c r="AA48" s="2">
        <f t="shared" si="23"/>
        <v>-10827.818605424021</v>
      </c>
      <c r="AB48" s="6">
        <f t="shared" si="24"/>
        <v>-5.8235424468952135E-2</v>
      </c>
      <c r="AC48" s="7">
        <f t="shared" si="25"/>
        <v>0.94176457553104787</v>
      </c>
      <c r="AD48" s="2">
        <f t="shared" si="26"/>
        <v>0</v>
      </c>
      <c r="AF48">
        <f t="shared" si="7"/>
        <v>2000</v>
      </c>
      <c r="AG48" s="6">
        <f t="shared" si="3"/>
        <v>0.3019783721281814</v>
      </c>
      <c r="AH48" s="6"/>
      <c r="AI48" s="6">
        <f t="shared" ref="AI48:AI50" si="38">U48/$Z48</f>
        <v>0.24353634317053588</v>
      </c>
      <c r="AJ48" s="6">
        <f t="shared" ref="AJ48:AJ50" si="39">V48/$Z48</f>
        <v>0.11330375848766522</v>
      </c>
      <c r="AK48" s="6"/>
      <c r="AL48" s="6">
        <f t="shared" si="4"/>
        <v>0.11184201588812233</v>
      </c>
      <c r="AM48" s="6">
        <f t="shared" si="8"/>
        <v>0.22933951032549532</v>
      </c>
      <c r="AN48" s="6">
        <f t="shared" si="27"/>
        <v>1.0000000000000002</v>
      </c>
      <c r="AO48" s="7">
        <f t="shared" si="28"/>
        <v>0.77066048967450484</v>
      </c>
      <c r="AP48" s="7">
        <f t="shared" si="29"/>
        <v>0</v>
      </c>
    </row>
    <row r="49" spans="1:42" x14ac:dyDescent="0.25">
      <c r="A49">
        <f t="shared" si="5"/>
        <v>2001</v>
      </c>
      <c r="B49" s="2">
        <f t="shared" si="9"/>
        <v>46521.731878214319</v>
      </c>
      <c r="C49" s="2"/>
      <c r="D49" s="2">
        <f t="shared" si="36"/>
        <v>42431.394280355686</v>
      </c>
      <c r="E49" s="2">
        <f t="shared" si="37"/>
        <v>20454.979961986974</v>
      </c>
      <c r="F49" s="2"/>
      <c r="G49" s="2">
        <f t="shared" si="31"/>
        <v>15637.22433156974</v>
      </c>
      <c r="H49" s="2">
        <f t="shared" si="12"/>
        <v>43543.608375304852</v>
      </c>
      <c r="I49" s="2">
        <f t="shared" si="13"/>
        <v>168588.93882743156</v>
      </c>
      <c r="J49" s="2">
        <f>I49-I48</f>
        <v>-12344.893559867953</v>
      </c>
      <c r="K49" s="6">
        <f>(J49/I48)</f>
        <v>-6.822877400531141E-2</v>
      </c>
      <c r="L49" s="7">
        <f t="shared" si="16"/>
        <v>0.93177122599468865</v>
      </c>
      <c r="N49">
        <f t="shared" si="17"/>
        <v>2001</v>
      </c>
      <c r="O49" s="2">
        <f t="shared" si="18"/>
        <v>5923.1057512125835</v>
      </c>
      <c r="P49" s="2"/>
      <c r="Q49" s="2"/>
      <c r="R49">
        <f t="shared" si="19"/>
        <v>2001</v>
      </c>
      <c r="S49" s="2">
        <f>B49-($O49/5)</f>
        <v>45337.110727971805</v>
      </c>
      <c r="T49" s="2"/>
      <c r="U49" s="2">
        <f t="shared" si="33"/>
        <v>41246.773130113172</v>
      </c>
      <c r="V49" s="2">
        <f t="shared" si="34"/>
        <v>19270.358811744456</v>
      </c>
      <c r="W49" s="2"/>
      <c r="X49" s="2">
        <f t="shared" ref="X49:Y51" si="40">G49-($O49/5)</f>
        <v>14452.603181327224</v>
      </c>
      <c r="Y49" s="2">
        <f t="shared" si="40"/>
        <v>42358.987225062338</v>
      </c>
      <c r="Z49" s="2">
        <f t="shared" si="22"/>
        <v>162665.83307621899</v>
      </c>
      <c r="AA49" s="2">
        <f>Z49-Z48</f>
        <v>-12438.170815792517</v>
      </c>
      <c r="AB49" s="6">
        <f>(AA49/Z48)</f>
        <v>-7.1033046300090705E-2</v>
      </c>
      <c r="AC49" s="7">
        <f t="shared" si="25"/>
        <v>0.92896695369990934</v>
      </c>
      <c r="AD49" s="2">
        <f t="shared" si="26"/>
        <v>0</v>
      </c>
      <c r="AF49">
        <f t="shared" si="7"/>
        <v>2001</v>
      </c>
      <c r="AG49" s="6">
        <f t="shared" si="3"/>
        <v>0.27871317455294109</v>
      </c>
      <c r="AH49" s="6"/>
      <c r="AI49" s="6">
        <f t="shared" si="38"/>
        <v>0.25356752767366036</v>
      </c>
      <c r="AJ49" s="6">
        <f t="shared" si="39"/>
        <v>0.11846592764637368</v>
      </c>
      <c r="AK49" s="6"/>
      <c r="AL49" s="6">
        <f t="shared" si="4"/>
        <v>8.8848425683562493E-2</v>
      </c>
      <c r="AM49" s="6">
        <f t="shared" si="8"/>
        <v>0.2604049444434624</v>
      </c>
      <c r="AN49" s="6">
        <f t="shared" si="27"/>
        <v>1</v>
      </c>
      <c r="AO49" s="7">
        <f t="shared" si="28"/>
        <v>0.7395950555565376</v>
      </c>
      <c r="AP49" s="7">
        <f t="shared" si="29"/>
        <v>0</v>
      </c>
    </row>
    <row r="50" spans="1:42" x14ac:dyDescent="0.25">
      <c r="A50">
        <f t="shared" si="5"/>
        <v>2002</v>
      </c>
      <c r="B50" s="2">
        <f t="shared" si="9"/>
        <v>35294.940701726046</v>
      </c>
      <c r="C50" s="2"/>
      <c r="D50" s="2">
        <f t="shared" ref="D50:D51" si="41">U49*(1+(D14/100))</f>
        <v>35221.444511266243</v>
      </c>
      <c r="E50" s="2">
        <f t="shared" ref="E50:E51" si="42">V49*(1+(E14/100))</f>
        <v>15412.047570456982</v>
      </c>
      <c r="F50" s="2"/>
      <c r="G50" s="2">
        <f t="shared" si="31"/>
        <v>12272.717043487639</v>
      </c>
      <c r="H50" s="2">
        <f t="shared" si="12"/>
        <v>45857.839569852484</v>
      </c>
      <c r="I50" s="2">
        <f t="shared" si="13"/>
        <v>144058.9893967894</v>
      </c>
      <c r="J50" s="2">
        <f>I50-I49</f>
        <v>-24529.949430642155</v>
      </c>
      <c r="K50" s="6">
        <f>(J50/I49)</f>
        <v>-0.14550153528014745</v>
      </c>
      <c r="L50" s="7">
        <f t="shared" si="16"/>
        <v>0.85449846471985258</v>
      </c>
      <c r="N50">
        <f t="shared" si="17"/>
        <v>2002</v>
      </c>
      <c r="O50" s="2">
        <f t="shared" si="18"/>
        <v>6071.1833949928978</v>
      </c>
      <c r="P50" s="2"/>
      <c r="Q50" s="2"/>
      <c r="R50">
        <f t="shared" si="19"/>
        <v>2002</v>
      </c>
      <c r="S50" s="2">
        <f>B50-($O50/5)</f>
        <v>34080.704022727463</v>
      </c>
      <c r="T50" s="2"/>
      <c r="U50" s="2">
        <f t="shared" ref="U50:V51" si="43">D50-($O50/5)</f>
        <v>34007.207832267661</v>
      </c>
      <c r="V50" s="2">
        <f t="shared" si="43"/>
        <v>14197.810891458403</v>
      </c>
      <c r="W50" s="2"/>
      <c r="X50" s="2">
        <f t="shared" si="40"/>
        <v>11058.48036448906</v>
      </c>
      <c r="Y50" s="2">
        <f t="shared" si="40"/>
        <v>44643.602890853901</v>
      </c>
      <c r="Z50" s="2">
        <f t="shared" si="22"/>
        <v>137987.8060017965</v>
      </c>
      <c r="AA50" s="2">
        <f>Z50-Z49</f>
        <v>-24678.027074422484</v>
      </c>
      <c r="AB50" s="6">
        <f>(AA50/Z49)</f>
        <v>-0.15170996027702574</v>
      </c>
      <c r="AC50" s="7">
        <f t="shared" si="25"/>
        <v>0.84829003972297423</v>
      </c>
      <c r="AD50" s="2">
        <f t="shared" si="26"/>
        <v>0</v>
      </c>
      <c r="AF50">
        <f t="shared" si="7"/>
        <v>2002</v>
      </c>
      <c r="AG50" s="6">
        <f t="shared" si="3"/>
        <v>0.24698344738000802</v>
      </c>
      <c r="AH50" s="6"/>
      <c r="AI50" s="6">
        <f t="shared" si="38"/>
        <v>0.24645081922546772</v>
      </c>
      <c r="AJ50" s="6">
        <f t="shared" si="39"/>
        <v>0.10289177937413946</v>
      </c>
      <c r="AK50" s="7"/>
      <c r="AL50" s="6">
        <f t="shared" ref="AL50:AL64" si="44">X50/$Z50</f>
        <v>8.0140997128000477E-2</v>
      </c>
      <c r="AM50" s="6">
        <f t="shared" si="8"/>
        <v>0.3235329568923842</v>
      </c>
      <c r="AN50" s="6">
        <f t="shared" si="27"/>
        <v>0.99999999999999978</v>
      </c>
      <c r="AO50" s="7">
        <f t="shared" si="28"/>
        <v>0.67646704310761563</v>
      </c>
      <c r="AP50" s="7">
        <f t="shared" si="29"/>
        <v>0</v>
      </c>
    </row>
    <row r="51" spans="1:42" x14ac:dyDescent="0.25">
      <c r="A51">
        <f t="shared" si="5"/>
        <v>2003</v>
      </c>
      <c r="B51" s="2">
        <f t="shared" ref="B51:B64" si="45">S50*(1+(B15/100))</f>
        <v>43793.704669204788</v>
      </c>
      <c r="C51" s="2"/>
      <c r="D51" s="2">
        <f t="shared" si="41"/>
        <v>45617.948730360484</v>
      </c>
      <c r="E51" s="2">
        <f t="shared" si="42"/>
        <v>20675.988045013044</v>
      </c>
      <c r="F51" s="2"/>
      <c r="G51" s="2">
        <f t="shared" si="31"/>
        <v>15519.471343523946</v>
      </c>
      <c r="H51" s="2">
        <f t="shared" si="12"/>
        <v>46415.953925620801</v>
      </c>
      <c r="I51" s="2">
        <f t="shared" si="13"/>
        <v>172023.06671372306</v>
      </c>
      <c r="J51" s="2">
        <f t="shared" si="14"/>
        <v>27964.077316933661</v>
      </c>
      <c r="K51" s="6">
        <f t="shared" si="15"/>
        <v>0.19411546224242002</v>
      </c>
      <c r="L51" s="7">
        <f t="shared" si="16"/>
        <v>1.1941154622424199</v>
      </c>
      <c r="N51">
        <f t="shared" si="17"/>
        <v>2003</v>
      </c>
      <c r="O51" s="2">
        <f t="shared" si="18"/>
        <v>6192.6070628927555</v>
      </c>
      <c r="P51" s="2"/>
      <c r="Q51" s="2"/>
      <c r="R51">
        <f t="shared" si="19"/>
        <v>2003</v>
      </c>
      <c r="S51" s="2">
        <f>B51-($O51/5)</f>
        <v>42555.183256626238</v>
      </c>
      <c r="T51" s="2"/>
      <c r="U51" s="2">
        <f t="shared" si="43"/>
        <v>44379.427317781934</v>
      </c>
      <c r="V51" s="2">
        <f t="shared" si="43"/>
        <v>19437.466632434494</v>
      </c>
      <c r="W51" s="2"/>
      <c r="X51" s="2">
        <f t="shared" si="40"/>
        <v>14280.949930945395</v>
      </c>
      <c r="Y51" s="2">
        <f t="shared" si="40"/>
        <v>45177.432513042251</v>
      </c>
      <c r="Z51" s="2">
        <f t="shared" si="22"/>
        <v>165830.45965083031</v>
      </c>
      <c r="AA51" s="2">
        <f t="shared" si="23"/>
        <v>27842.653649033804</v>
      </c>
      <c r="AB51" s="6">
        <f t="shared" si="24"/>
        <v>0.20177618918494372</v>
      </c>
      <c r="AC51" s="7">
        <f t="shared" si="25"/>
        <v>1.2017761891849437</v>
      </c>
      <c r="AD51" s="2">
        <f t="shared" si="26"/>
        <v>0</v>
      </c>
      <c r="AF51">
        <f t="shared" si="7"/>
        <v>2003</v>
      </c>
      <c r="AG51" s="6">
        <f t="shared" si="3"/>
        <v>0.25661861726868324</v>
      </c>
      <c r="AH51" s="7"/>
      <c r="AI51" s="6">
        <f>U51/$Z51</f>
        <v>0.26761927459663609</v>
      </c>
      <c r="AJ51" s="6">
        <f>V51/$Z51</f>
        <v>0.11721288521639318</v>
      </c>
      <c r="AK51" s="7"/>
      <c r="AL51" s="6">
        <f t="shared" si="44"/>
        <v>8.6117773303017495E-2</v>
      </c>
      <c r="AM51" s="6">
        <f t="shared" si="8"/>
        <v>0.27243144961527005</v>
      </c>
      <c r="AN51" s="6">
        <f t="shared" si="27"/>
        <v>1</v>
      </c>
      <c r="AO51" s="7">
        <f t="shared" si="28"/>
        <v>0.72756855038473001</v>
      </c>
      <c r="AP51" s="7">
        <f t="shared" si="29"/>
        <v>0</v>
      </c>
    </row>
    <row r="52" spans="1:42" x14ac:dyDescent="0.25">
      <c r="A52">
        <f t="shared" si="5"/>
        <v>2004</v>
      </c>
      <c r="B52" s="2">
        <f t="shared" si="45"/>
        <v>47125.609938387897</v>
      </c>
      <c r="C52" s="2"/>
      <c r="D52" s="2">
        <f t="shared" ref="D52:D64" si="46">U51*(1+(D16/100))</f>
        <v>53411.972159770092</v>
      </c>
      <c r="E52" s="2">
        <f t="shared" ref="E52:E64" si="47">V51*(1+(E16/100))</f>
        <v>23304.939368289986</v>
      </c>
      <c r="F52" s="2"/>
      <c r="G52" s="2">
        <f t="shared" si="31"/>
        <v>17256.671468056487</v>
      </c>
      <c r="H52" s="2">
        <f t="shared" si="12"/>
        <v>47092.955651595243</v>
      </c>
      <c r="I52" s="2">
        <f t="shared" si="13"/>
        <v>188192.14858609968</v>
      </c>
      <c r="J52" s="2">
        <f t="shared" si="14"/>
        <v>16169.081872376613</v>
      </c>
      <c r="K52" s="6">
        <f t="shared" si="15"/>
        <v>9.399368457536475E-2</v>
      </c>
      <c r="L52" s="7">
        <f t="shared" si="16"/>
        <v>1.0939936845753648</v>
      </c>
      <c r="N52">
        <f t="shared" si="17"/>
        <v>2004</v>
      </c>
      <c r="O52" s="2">
        <f t="shared" si="18"/>
        <v>6396.9630959682163</v>
      </c>
      <c r="P52" s="2"/>
      <c r="Q52" s="2"/>
      <c r="R52">
        <f t="shared" si="19"/>
        <v>2004</v>
      </c>
      <c r="S52" s="2">
        <f t="shared" ref="S52:S64" si="48">B52-($O52/5)</f>
        <v>45846.217319194257</v>
      </c>
      <c r="T52" s="2"/>
      <c r="U52" s="2">
        <f t="shared" ref="U52:V64" si="49">D52-($O52/5)</f>
        <v>52132.579540576451</v>
      </c>
      <c r="V52" s="2">
        <f t="shared" si="49"/>
        <v>22025.546749096342</v>
      </c>
      <c r="W52" s="2"/>
      <c r="X52" s="2">
        <f t="shared" ref="X52:Y64" si="50">G52-($O52/5)</f>
        <v>15977.278848862845</v>
      </c>
      <c r="Y52" s="2">
        <f t="shared" si="50"/>
        <v>45813.563032401602</v>
      </c>
      <c r="Z52" s="2">
        <f t="shared" si="22"/>
        <v>181795.18549013152</v>
      </c>
      <c r="AA52" s="2">
        <f t="shared" si="23"/>
        <v>15964.725839301216</v>
      </c>
      <c r="AB52" s="6">
        <f t="shared" si="24"/>
        <v>9.627137181502278E-2</v>
      </c>
      <c r="AC52" s="7">
        <f t="shared" si="25"/>
        <v>1.0962713718150228</v>
      </c>
      <c r="AD52" s="2">
        <f t="shared" si="26"/>
        <v>0</v>
      </c>
      <c r="AF52">
        <f t="shared" si="7"/>
        <v>2004</v>
      </c>
      <c r="AG52" s="6">
        <f t="shared" si="3"/>
        <v>0.25218609170308831</v>
      </c>
      <c r="AH52" s="7"/>
      <c r="AI52" s="6">
        <f t="shared" ref="AI52:AJ64" si="51">U52/$Z52</f>
        <v>0.28676545751210991</v>
      </c>
      <c r="AJ52" s="6">
        <f t="shared" si="51"/>
        <v>0.12115583088580729</v>
      </c>
      <c r="AK52" s="7"/>
      <c r="AL52" s="6">
        <f t="shared" si="44"/>
        <v>8.7886149491731985E-2</v>
      </c>
      <c r="AM52" s="6">
        <f t="shared" si="8"/>
        <v>0.25200647040726237</v>
      </c>
      <c r="AN52" s="6">
        <f t="shared" si="27"/>
        <v>0.99999999999999978</v>
      </c>
      <c r="AO52" s="7">
        <f t="shared" si="28"/>
        <v>0.74799352959273746</v>
      </c>
      <c r="AP52" s="7">
        <f t="shared" si="29"/>
        <v>0</v>
      </c>
    </row>
    <row r="53" spans="1:42" x14ac:dyDescent="0.25">
      <c r="A53">
        <f t="shared" si="5"/>
        <v>2005</v>
      </c>
      <c r="B53" s="2">
        <f t="shared" si="45"/>
        <v>48033.081885319829</v>
      </c>
      <c r="C53" s="2"/>
      <c r="D53" s="2">
        <f t="shared" si="46"/>
        <v>59395.169196374161</v>
      </c>
      <c r="E53" s="2">
        <f t="shared" si="47"/>
        <v>23647.287756232308</v>
      </c>
      <c r="F53" s="2"/>
      <c r="G53" s="2">
        <f t="shared" si="31"/>
        <v>18465.10093841928</v>
      </c>
      <c r="H53" s="2">
        <f t="shared" si="12"/>
        <v>46913.088545179242</v>
      </c>
      <c r="I53" s="2">
        <f t="shared" si="13"/>
        <v>196453.7283215248</v>
      </c>
      <c r="J53" s="2">
        <f t="shared" si="14"/>
        <v>8261.5797354251263</v>
      </c>
      <c r="K53" s="6">
        <f t="shared" si="15"/>
        <v>4.3899704623678155E-2</v>
      </c>
      <c r="L53" s="7">
        <f t="shared" si="16"/>
        <v>1.0438997046236782</v>
      </c>
      <c r="N53">
        <f t="shared" si="17"/>
        <v>2005</v>
      </c>
      <c r="O53" s="2">
        <f t="shared" si="18"/>
        <v>6608.062878135167</v>
      </c>
      <c r="P53" s="2"/>
      <c r="Q53" s="2"/>
      <c r="R53">
        <f t="shared" si="19"/>
        <v>2005</v>
      </c>
      <c r="S53" s="2">
        <f t="shared" si="48"/>
        <v>46711.469309692795</v>
      </c>
      <c r="T53" s="2"/>
      <c r="U53" s="2">
        <f t="shared" si="49"/>
        <v>58073.556620747127</v>
      </c>
      <c r="V53" s="2">
        <f t="shared" si="49"/>
        <v>22325.675180605274</v>
      </c>
      <c r="W53" s="2"/>
      <c r="X53" s="2">
        <f t="shared" si="50"/>
        <v>17143.488362792246</v>
      </c>
      <c r="Y53" s="2">
        <f t="shared" si="50"/>
        <v>45591.475969552208</v>
      </c>
      <c r="Z53" s="2">
        <f t="shared" si="22"/>
        <v>189845.66544338965</v>
      </c>
      <c r="AA53" s="2">
        <f t="shared" si="23"/>
        <v>8050.4799532581237</v>
      </c>
      <c r="AB53" s="6">
        <f t="shared" si="24"/>
        <v>4.4283240678533432E-2</v>
      </c>
      <c r="AC53" s="7">
        <f t="shared" si="25"/>
        <v>1.0442832406785334</v>
      </c>
      <c r="AD53" s="2">
        <f t="shared" si="26"/>
        <v>0</v>
      </c>
      <c r="AF53">
        <f t="shared" si="7"/>
        <v>2005</v>
      </c>
      <c r="AG53" s="6">
        <f t="shared" si="3"/>
        <v>0.24604970148039412</v>
      </c>
      <c r="AH53" s="7"/>
      <c r="AI53" s="6">
        <f t="shared" si="51"/>
        <v>0.30589877564554752</v>
      </c>
      <c r="AJ53" s="6">
        <f t="shared" si="51"/>
        <v>0.11759907780071281</v>
      </c>
      <c r="AK53" s="7"/>
      <c r="AL53" s="6">
        <f t="shared" si="44"/>
        <v>9.0302237466171109E-2</v>
      </c>
      <c r="AM53" s="6">
        <f t="shared" si="8"/>
        <v>0.24015020760717445</v>
      </c>
      <c r="AN53" s="6">
        <f t="shared" si="27"/>
        <v>1</v>
      </c>
      <c r="AO53" s="7">
        <f t="shared" si="28"/>
        <v>0.75984979239282557</v>
      </c>
      <c r="AP53" s="7">
        <f t="shared" si="29"/>
        <v>0</v>
      </c>
    </row>
    <row r="54" spans="1:42" x14ac:dyDescent="0.25">
      <c r="A54">
        <f t="shared" si="5"/>
        <v>2006</v>
      </c>
      <c r="B54" s="2">
        <f t="shared" si="45"/>
        <v>54017.14310972875</v>
      </c>
      <c r="C54" s="2"/>
      <c r="D54" s="2">
        <f t="shared" si="46"/>
        <v>65969.818114470108</v>
      </c>
      <c r="E54" s="2">
        <f t="shared" si="47"/>
        <v>25820.982886880836</v>
      </c>
      <c r="F54" s="2"/>
      <c r="G54" s="2">
        <f t="shared" si="31"/>
        <v>21709.999357989218</v>
      </c>
      <c r="H54" s="2">
        <f t="shared" si="12"/>
        <v>47538.231993452086</v>
      </c>
      <c r="I54" s="2">
        <f t="shared" si="13"/>
        <v>215056.175462521</v>
      </c>
      <c r="J54" s="2">
        <f t="shared" si="14"/>
        <v>18602.447140996199</v>
      </c>
      <c r="K54" s="6">
        <f t="shared" si="15"/>
        <v>9.4691240018365125E-2</v>
      </c>
      <c r="L54" s="7">
        <f t="shared" si="16"/>
        <v>1.094691240018365</v>
      </c>
      <c r="N54">
        <f t="shared" si="17"/>
        <v>2006</v>
      </c>
      <c r="O54" s="2">
        <f t="shared" si="18"/>
        <v>6773.2644500885453</v>
      </c>
      <c r="P54" s="2"/>
      <c r="Q54" s="2"/>
      <c r="R54">
        <f t="shared" si="19"/>
        <v>2006</v>
      </c>
      <c r="S54" s="2">
        <f t="shared" si="48"/>
        <v>52662.490219711042</v>
      </c>
      <c r="T54" s="2"/>
      <c r="U54" s="2">
        <f t="shared" si="49"/>
        <v>64615.165224452401</v>
      </c>
      <c r="V54" s="2">
        <f t="shared" si="49"/>
        <v>24466.329996863125</v>
      </c>
      <c r="W54" s="2"/>
      <c r="X54" s="2">
        <f t="shared" si="50"/>
        <v>20355.346467971511</v>
      </c>
      <c r="Y54" s="2">
        <f t="shared" si="50"/>
        <v>46183.579103434378</v>
      </c>
      <c r="Z54" s="2">
        <f t="shared" si="22"/>
        <v>208282.91101243245</v>
      </c>
      <c r="AA54" s="2">
        <f t="shared" si="23"/>
        <v>18437.245569042803</v>
      </c>
      <c r="AB54" s="6">
        <f t="shared" si="24"/>
        <v>9.7117021481539334E-2</v>
      </c>
      <c r="AC54" s="7">
        <f t="shared" si="25"/>
        <v>1.0971170214815393</v>
      </c>
      <c r="AD54" s="2">
        <f t="shared" si="26"/>
        <v>0</v>
      </c>
      <c r="AF54">
        <f t="shared" si="7"/>
        <v>2006</v>
      </c>
      <c r="AG54" s="6">
        <f t="shared" si="3"/>
        <v>0.25284114747449254</v>
      </c>
      <c r="AH54" s="7"/>
      <c r="AI54" s="6">
        <f t="shared" si="51"/>
        <v>0.31022787664320434</v>
      </c>
      <c r="AJ54" s="6">
        <f t="shared" si="51"/>
        <v>0.1174668141420528</v>
      </c>
      <c r="AK54" s="7"/>
      <c r="AL54" s="6">
        <f t="shared" si="44"/>
        <v>9.7729316193187338E-2</v>
      </c>
      <c r="AM54" s="6">
        <f t="shared" si="8"/>
        <v>0.22173484554706302</v>
      </c>
      <c r="AN54" s="6">
        <f t="shared" si="27"/>
        <v>1</v>
      </c>
      <c r="AO54" s="7">
        <f t="shared" si="28"/>
        <v>0.77826515445293709</v>
      </c>
      <c r="AP54" s="7">
        <f t="shared" si="29"/>
        <v>0</v>
      </c>
    </row>
    <row r="55" spans="1:42" x14ac:dyDescent="0.25">
      <c r="A55">
        <f t="shared" si="5"/>
        <v>2007</v>
      </c>
      <c r="B55" s="2">
        <f t="shared" si="45"/>
        <v>55500.998442553471</v>
      </c>
      <c r="C55" s="2"/>
      <c r="D55" s="2">
        <f t="shared" si="46"/>
        <v>68505.644322616688</v>
      </c>
      <c r="E55" s="2">
        <f t="shared" si="47"/>
        <v>24749.160771626863</v>
      </c>
      <c r="F55" s="2"/>
      <c r="G55" s="2">
        <f t="shared" si="31"/>
        <v>23514.903346730047</v>
      </c>
      <c r="H55" s="2">
        <f t="shared" si="12"/>
        <v>49379.482777392033</v>
      </c>
      <c r="I55" s="2">
        <f t="shared" si="13"/>
        <v>221650.1896609191</v>
      </c>
      <c r="J55" s="2">
        <f t="shared" si="14"/>
        <v>6594.0141983981011</v>
      </c>
      <c r="K55" s="6">
        <f t="shared" si="15"/>
        <v>3.0661822122598267E-2</v>
      </c>
      <c r="L55" s="7">
        <f t="shared" si="16"/>
        <v>1.0306618221225983</v>
      </c>
      <c r="N55">
        <f t="shared" si="17"/>
        <v>2007</v>
      </c>
      <c r="O55" s="2">
        <f t="shared" si="18"/>
        <v>7050.9682925421748</v>
      </c>
      <c r="P55" s="2"/>
      <c r="Q55" s="2"/>
      <c r="R55">
        <f t="shared" si="19"/>
        <v>2007</v>
      </c>
      <c r="S55" s="2">
        <f t="shared" si="48"/>
        <v>54090.804784045038</v>
      </c>
      <c r="T55" s="2"/>
      <c r="U55" s="2">
        <f t="shared" si="49"/>
        <v>67095.450664108255</v>
      </c>
      <c r="V55" s="2">
        <f t="shared" si="49"/>
        <v>23338.96711311843</v>
      </c>
      <c r="W55" s="2"/>
      <c r="X55" s="2">
        <f t="shared" si="50"/>
        <v>22104.709688221614</v>
      </c>
      <c r="Y55" s="2">
        <f t="shared" si="50"/>
        <v>47969.2891188836</v>
      </c>
      <c r="Z55" s="2">
        <f t="shared" si="22"/>
        <v>214599.22136837698</v>
      </c>
      <c r="AA55" s="2">
        <f t="shared" si="23"/>
        <v>6316.3103559445299</v>
      </c>
      <c r="AB55" s="6">
        <f t="shared" si="24"/>
        <v>3.0325629333879955E-2</v>
      </c>
      <c r="AC55" s="7">
        <f t="shared" si="25"/>
        <v>1.0303256293338801</v>
      </c>
      <c r="AD55" s="2">
        <f t="shared" si="26"/>
        <v>0</v>
      </c>
      <c r="AF55">
        <f t="shared" si="7"/>
        <v>2007</v>
      </c>
      <c r="AG55" s="6">
        <f t="shared" ref="AG55:AG64" si="52">S55/$Z55</f>
        <v>0.25205499087619604</v>
      </c>
      <c r="AH55" s="7"/>
      <c r="AI55" s="6">
        <f t="shared" si="51"/>
        <v>0.31265467896984339</v>
      </c>
      <c r="AJ55" s="6">
        <f t="shared" si="51"/>
        <v>0.10875606614180207</v>
      </c>
      <c r="AK55" s="7"/>
      <c r="AL55" s="6">
        <f t="shared" si="44"/>
        <v>0.10300461272539795</v>
      </c>
      <c r="AM55" s="6">
        <f t="shared" si="8"/>
        <v>0.22352965128676036</v>
      </c>
      <c r="AN55" s="6">
        <f t="shared" si="27"/>
        <v>0.99999999999999989</v>
      </c>
      <c r="AO55" s="7">
        <f t="shared" si="28"/>
        <v>0.7764703487132395</v>
      </c>
      <c r="AP55" s="7">
        <f t="shared" si="29"/>
        <v>0</v>
      </c>
    </row>
    <row r="56" spans="1:42" x14ac:dyDescent="0.25">
      <c r="A56">
        <f t="shared" si="5"/>
        <v>2008</v>
      </c>
      <c r="B56" s="2">
        <f t="shared" si="45"/>
        <v>34066.388852991564</v>
      </c>
      <c r="C56" s="2"/>
      <c r="D56" s="2">
        <f t="shared" si="46"/>
        <v>39033.449378351623</v>
      </c>
      <c r="E56" s="2">
        <f t="shared" si="47"/>
        <v>14920.601675416612</v>
      </c>
      <c r="F56" s="2"/>
      <c r="G56" s="2">
        <f t="shared" si="31"/>
        <v>12356.311668618999</v>
      </c>
      <c r="H56" s="2">
        <f t="shared" si="12"/>
        <v>50391.738219387218</v>
      </c>
      <c r="I56" s="2">
        <f t="shared" si="13"/>
        <v>150768.48979476601</v>
      </c>
      <c r="J56" s="2">
        <f>I56-I55</f>
        <v>-70881.699866153096</v>
      </c>
      <c r="K56" s="6">
        <f>(J56/I55)</f>
        <v>-0.3197908378720003</v>
      </c>
      <c r="L56" s="7">
        <f t="shared" si="16"/>
        <v>0.68020916212799976</v>
      </c>
      <c r="N56">
        <f t="shared" si="17"/>
        <v>2008</v>
      </c>
      <c r="O56" s="2">
        <f t="shared" si="18"/>
        <v>7050.9682925421748</v>
      </c>
      <c r="P56" s="2"/>
      <c r="Q56" s="2"/>
      <c r="R56">
        <f t="shared" si="19"/>
        <v>2008</v>
      </c>
      <c r="S56" s="2">
        <f t="shared" si="48"/>
        <v>32656.195194483131</v>
      </c>
      <c r="T56" s="2"/>
      <c r="U56" s="2">
        <f t="shared" si="49"/>
        <v>37623.25571984319</v>
      </c>
      <c r="V56" s="2">
        <f t="shared" si="49"/>
        <v>13510.408016908177</v>
      </c>
      <c r="W56" s="2"/>
      <c r="X56" s="2">
        <f t="shared" si="50"/>
        <v>10946.118010110564</v>
      </c>
      <c r="Y56" s="2">
        <f t="shared" si="50"/>
        <v>48981.544560878785</v>
      </c>
      <c r="Z56" s="2">
        <f t="shared" si="22"/>
        <v>143717.52150222386</v>
      </c>
      <c r="AA56" s="2">
        <f>Z56-Z55</f>
        <v>-70881.699866153125</v>
      </c>
      <c r="AB56" s="6">
        <f>(AA56/Z55)</f>
        <v>-0.3302980291083113</v>
      </c>
      <c r="AC56" s="7">
        <f t="shared" si="25"/>
        <v>0.6697019708916887</v>
      </c>
      <c r="AD56" s="2">
        <f t="shared" si="26"/>
        <v>0</v>
      </c>
      <c r="AF56">
        <f t="shared" si="7"/>
        <v>2008</v>
      </c>
      <c r="AG56" s="6">
        <f t="shared" si="52"/>
        <v>0.22722487037864633</v>
      </c>
      <c r="AH56" s="7"/>
      <c r="AI56" s="6">
        <f t="shared" si="51"/>
        <v>0.26178614358626423</v>
      </c>
      <c r="AJ56" s="6">
        <f t="shared" si="51"/>
        <v>9.4006686698247299E-2</v>
      </c>
      <c r="AK56" s="7"/>
      <c r="AL56" s="6">
        <f t="shared" si="44"/>
        <v>7.6164116216972097E-2</v>
      </c>
      <c r="AM56" s="6">
        <f t="shared" si="8"/>
        <v>0.34081818311987</v>
      </c>
      <c r="AN56" s="6">
        <f t="shared" si="27"/>
        <v>0.99999999999999989</v>
      </c>
      <c r="AO56" s="7">
        <f t="shared" si="28"/>
        <v>0.65918181688012989</v>
      </c>
      <c r="AP56" s="7">
        <f t="shared" si="29"/>
        <v>0</v>
      </c>
    </row>
    <row r="57" spans="1:42" x14ac:dyDescent="0.25">
      <c r="A57">
        <f t="shared" si="5"/>
        <v>2009</v>
      </c>
      <c r="B57" s="2">
        <f t="shared" si="45"/>
        <v>41306.82130150171</v>
      </c>
      <c r="C57" s="2"/>
      <c r="D57" s="2">
        <f t="shared" si="46"/>
        <v>52754.576705249725</v>
      </c>
      <c r="E57" s="2">
        <f t="shared" si="47"/>
        <v>18390.097184455073</v>
      </c>
      <c r="F57" s="2"/>
      <c r="G57" s="2">
        <f t="shared" si="31"/>
        <v>14966.298771683871</v>
      </c>
      <c r="H57" s="2">
        <f t="shared" si="12"/>
        <v>51886.150153338895</v>
      </c>
      <c r="I57" s="2">
        <f t="shared" si="13"/>
        <v>179303.94411622928</v>
      </c>
      <c r="J57" s="2">
        <f t="shared" si="14"/>
        <v>28535.454321463272</v>
      </c>
      <c r="K57" s="6">
        <f t="shared" si="15"/>
        <v>0.18926669863382747</v>
      </c>
      <c r="L57" s="7">
        <f t="shared" si="16"/>
        <v>1.1892666986338274</v>
      </c>
      <c r="N57">
        <f t="shared" si="17"/>
        <v>2009</v>
      </c>
      <c r="O57" s="2">
        <f t="shared" si="18"/>
        <v>7248.3954047333555</v>
      </c>
      <c r="P57" s="2"/>
      <c r="Q57" s="2"/>
      <c r="R57">
        <f t="shared" si="19"/>
        <v>2009</v>
      </c>
      <c r="S57" s="2">
        <f t="shared" si="48"/>
        <v>39857.142220555041</v>
      </c>
      <c r="T57" s="2"/>
      <c r="U57" s="2">
        <f t="shared" si="49"/>
        <v>51304.897624303056</v>
      </c>
      <c r="V57" s="2">
        <f t="shared" si="49"/>
        <v>16940.418103508404</v>
      </c>
      <c r="W57" s="2"/>
      <c r="X57" s="2">
        <f t="shared" si="50"/>
        <v>13516.6196907372</v>
      </c>
      <c r="Y57" s="2">
        <f t="shared" si="50"/>
        <v>50436.471072392225</v>
      </c>
      <c r="Z57" s="2">
        <f t="shared" si="22"/>
        <v>172055.54871149591</v>
      </c>
      <c r="AA57" s="2">
        <f t="shared" ref="AA57:AA64" si="53">Z57-Z56</f>
        <v>28338.027209272055</v>
      </c>
      <c r="AB57" s="6">
        <f t="shared" ref="AB57:AB64" si="54">(AA57/Z56)</f>
        <v>0.19717865235265386</v>
      </c>
      <c r="AC57" s="7">
        <f t="shared" si="25"/>
        <v>1.1971786523526537</v>
      </c>
      <c r="AD57" s="2">
        <f t="shared" si="26"/>
        <v>0</v>
      </c>
      <c r="AF57">
        <f t="shared" si="7"/>
        <v>2009</v>
      </c>
      <c r="AG57" s="6">
        <f t="shared" si="52"/>
        <v>0.23165275702551044</v>
      </c>
      <c r="AH57" s="7"/>
      <c r="AI57" s="6">
        <f t="shared" si="51"/>
        <v>0.29818798642949612</v>
      </c>
      <c r="AJ57" s="6">
        <f t="shared" si="51"/>
        <v>9.845900484101347E-2</v>
      </c>
      <c r="AK57" s="7"/>
      <c r="AL57" s="6">
        <f t="shared" si="44"/>
        <v>7.8559626771479332E-2</v>
      </c>
      <c r="AM57" s="6">
        <f t="shared" si="8"/>
        <v>0.2931406249325007</v>
      </c>
      <c r="AN57" s="6">
        <f t="shared" si="27"/>
        <v>1</v>
      </c>
      <c r="AO57" s="7">
        <f t="shared" si="28"/>
        <v>0.7068593750674993</v>
      </c>
      <c r="AP57" s="7">
        <f t="shared" si="29"/>
        <v>0</v>
      </c>
    </row>
    <row r="58" spans="1:42" x14ac:dyDescent="0.25">
      <c r="A58">
        <f t="shared" si="5"/>
        <v>2010</v>
      </c>
      <c r="B58" s="2">
        <f t="shared" si="45"/>
        <v>45799.8421256398</v>
      </c>
      <c r="C58" s="2"/>
      <c r="D58" s="2">
        <f t="shared" si="46"/>
        <v>64367.124559450611</v>
      </c>
      <c r="E58" s="2">
        <f t="shared" si="47"/>
        <v>21636.302001800934</v>
      </c>
      <c r="F58" s="2"/>
      <c r="G58" s="2">
        <f t="shared" si="31"/>
        <v>15019.667800347175</v>
      </c>
      <c r="H58" s="2">
        <f t="shared" si="12"/>
        <v>53674.492515239806</v>
      </c>
      <c r="I58" s="2">
        <f t="shared" si="13"/>
        <v>200497.42900247834</v>
      </c>
      <c r="J58" s="2">
        <f t="shared" si="14"/>
        <v>21193.484886249062</v>
      </c>
      <c r="K58" s="6">
        <f t="shared" si="15"/>
        <v>0.11819865419419284</v>
      </c>
      <c r="L58" s="7">
        <f t="shared" si="16"/>
        <v>1.1181986541941928</v>
      </c>
      <c r="N58">
        <f t="shared" si="17"/>
        <v>2010</v>
      </c>
      <c r="O58" s="2">
        <f t="shared" si="18"/>
        <v>7349.8729403996222</v>
      </c>
      <c r="P58" s="2"/>
      <c r="Q58" s="2"/>
      <c r="R58">
        <f t="shared" si="19"/>
        <v>2010</v>
      </c>
      <c r="S58" s="2">
        <f t="shared" si="48"/>
        <v>44329.867537559876</v>
      </c>
      <c r="T58" s="2"/>
      <c r="U58" s="2">
        <f t="shared" si="49"/>
        <v>62897.149971370687</v>
      </c>
      <c r="V58" s="2">
        <f t="shared" si="49"/>
        <v>20166.32741372101</v>
      </c>
      <c r="W58" s="2"/>
      <c r="X58" s="2">
        <f t="shared" si="50"/>
        <v>13549.693212267252</v>
      </c>
      <c r="Y58" s="2">
        <f t="shared" si="50"/>
        <v>52204.517927159883</v>
      </c>
      <c r="Z58" s="2">
        <f t="shared" si="22"/>
        <v>193147.55606207869</v>
      </c>
      <c r="AA58" s="2">
        <f t="shared" si="53"/>
        <v>21092.007350582775</v>
      </c>
      <c r="AB58" s="6">
        <f t="shared" si="54"/>
        <v>0.12258835886746099</v>
      </c>
      <c r="AC58" s="7">
        <f t="shared" si="25"/>
        <v>1.122588358867461</v>
      </c>
      <c r="AD58" s="2">
        <f t="shared" si="26"/>
        <v>0</v>
      </c>
      <c r="AF58">
        <f t="shared" si="7"/>
        <v>2010</v>
      </c>
      <c r="AG58" s="6">
        <f t="shared" si="52"/>
        <v>0.22951296118555087</v>
      </c>
      <c r="AH58" s="7"/>
      <c r="AI58" s="6">
        <f t="shared" si="51"/>
        <v>0.32564300192933943</v>
      </c>
      <c r="AJ58" s="6">
        <f t="shared" si="51"/>
        <v>0.10440891836725825</v>
      </c>
      <c r="AK58" s="7"/>
      <c r="AL58" s="6">
        <f t="shared" si="44"/>
        <v>7.0152030336393723E-2</v>
      </c>
      <c r="AM58" s="6">
        <f t="shared" si="8"/>
        <v>0.27028308818145785</v>
      </c>
      <c r="AN58" s="6">
        <f t="shared" si="27"/>
        <v>1.0000000000000002</v>
      </c>
      <c r="AO58" s="7">
        <f t="shared" si="28"/>
        <v>0.72971691181854237</v>
      </c>
      <c r="AP58" s="7">
        <f t="shared" si="29"/>
        <v>0</v>
      </c>
    </row>
    <row r="59" spans="1:42" x14ac:dyDescent="0.25">
      <c r="A59">
        <f t="shared" si="5"/>
        <v>2011</v>
      </c>
      <c r="B59" s="2">
        <f t="shared" si="45"/>
        <v>45203.165928049806</v>
      </c>
      <c r="C59" s="2"/>
      <c r="D59" s="2">
        <f t="shared" si="46"/>
        <v>61570.020106974764</v>
      </c>
      <c r="E59" s="2">
        <f t="shared" si="47"/>
        <v>19601.670246136822</v>
      </c>
      <c r="F59" s="2"/>
      <c r="G59" s="2">
        <f t="shared" si="31"/>
        <v>11576.85788056114</v>
      </c>
      <c r="H59" s="2">
        <f t="shared" si="12"/>
        <v>56151.179482453175</v>
      </c>
      <c r="I59" s="2">
        <f t="shared" si="13"/>
        <v>194102.89364417573</v>
      </c>
      <c r="J59" s="2">
        <f t="shared" si="14"/>
        <v>-6394.5353583026154</v>
      </c>
      <c r="K59" s="6">
        <f t="shared" si="15"/>
        <v>-3.1893353396684067E-2</v>
      </c>
      <c r="L59" s="7">
        <f t="shared" si="16"/>
        <v>0.96810664660331591</v>
      </c>
      <c r="N59">
        <f t="shared" si="17"/>
        <v>2011</v>
      </c>
      <c r="O59" s="2">
        <f t="shared" si="18"/>
        <v>7570.3691286116109</v>
      </c>
      <c r="P59" s="2"/>
      <c r="Q59" s="2"/>
      <c r="R59">
        <f t="shared" si="19"/>
        <v>2011</v>
      </c>
      <c r="S59" s="2">
        <f t="shared" si="48"/>
        <v>43689.092102327486</v>
      </c>
      <c r="T59" s="2"/>
      <c r="U59" s="2">
        <f t="shared" si="49"/>
        <v>60055.946281252443</v>
      </c>
      <c r="V59" s="2">
        <f t="shared" si="49"/>
        <v>18087.596420414498</v>
      </c>
      <c r="W59" s="2"/>
      <c r="X59" s="2">
        <f t="shared" si="50"/>
        <v>10062.784054838818</v>
      </c>
      <c r="Y59" s="2">
        <f t="shared" si="50"/>
        <v>54637.105656730855</v>
      </c>
      <c r="Z59" s="2">
        <f t="shared" si="22"/>
        <v>186532.52451556409</v>
      </c>
      <c r="AA59" s="2">
        <f t="shared" si="53"/>
        <v>-6615.0315465145977</v>
      </c>
      <c r="AB59" s="6">
        <f t="shared" si="54"/>
        <v>-3.4248590463078342E-2</v>
      </c>
      <c r="AC59" s="7">
        <f t="shared" si="25"/>
        <v>0.96575140953692162</v>
      </c>
      <c r="AD59" s="2">
        <f t="shared" si="26"/>
        <v>0</v>
      </c>
      <c r="AF59">
        <f t="shared" si="7"/>
        <v>2011</v>
      </c>
      <c r="AG59" s="6">
        <f t="shared" si="52"/>
        <v>0.2342170204139499</v>
      </c>
      <c r="AH59" s="7"/>
      <c r="AI59" s="6">
        <f t="shared" si="51"/>
        <v>0.32195964986385756</v>
      </c>
      <c r="AJ59" s="6">
        <f t="shared" si="51"/>
        <v>9.696752063689186E-2</v>
      </c>
      <c r="AK59" s="7"/>
      <c r="AL59" s="6">
        <f t="shared" si="44"/>
        <v>5.3946538712068892E-2</v>
      </c>
      <c r="AM59" s="6">
        <f t="shared" si="8"/>
        <v>0.29290927037323183</v>
      </c>
      <c r="AN59" s="6">
        <f t="shared" si="27"/>
        <v>1</v>
      </c>
      <c r="AO59" s="7">
        <f t="shared" si="28"/>
        <v>0.70709072962676822</v>
      </c>
      <c r="AP59" s="7">
        <f t="shared" si="29"/>
        <v>0</v>
      </c>
    </row>
    <row r="60" spans="1:42" x14ac:dyDescent="0.25">
      <c r="A60">
        <f t="shared" si="5"/>
        <v>2012</v>
      </c>
      <c r="B60" s="2">
        <f t="shared" si="45"/>
        <v>50600.706472915692</v>
      </c>
      <c r="C60" s="2"/>
      <c r="D60" s="2">
        <f t="shared" si="46"/>
        <v>69544.785793690331</v>
      </c>
      <c r="E60" s="2">
        <f t="shared" si="47"/>
        <v>21350.598814657274</v>
      </c>
      <c r="F60" s="2"/>
      <c r="G60" s="2">
        <f t="shared" si="31"/>
        <v>11888.17308238658</v>
      </c>
      <c r="H60" s="2">
        <f t="shared" si="12"/>
        <v>56849.908435828453</v>
      </c>
      <c r="I60" s="2">
        <f t="shared" si="13"/>
        <v>210234.17259947833</v>
      </c>
      <c r="J60" s="2">
        <f t="shared" si="14"/>
        <v>16131.278955302609</v>
      </c>
      <c r="K60" s="6">
        <f t="shared" si="15"/>
        <v>8.3106844274429215E-2</v>
      </c>
      <c r="L60" s="7">
        <f t="shared" si="16"/>
        <v>1.0831068442744292</v>
      </c>
      <c r="N60">
        <f t="shared" si="17"/>
        <v>2012</v>
      </c>
      <c r="O60" s="2">
        <f t="shared" si="18"/>
        <v>7706.6357729266201</v>
      </c>
      <c r="P60" s="2"/>
      <c r="Q60" s="2"/>
      <c r="R60">
        <f t="shared" si="19"/>
        <v>2012</v>
      </c>
      <c r="S60" s="2">
        <f t="shared" si="48"/>
        <v>49059.379318330364</v>
      </c>
      <c r="T60" s="2"/>
      <c r="U60" s="2">
        <f t="shared" si="49"/>
        <v>68003.458639105011</v>
      </c>
      <c r="V60" s="2">
        <f t="shared" si="49"/>
        <v>19809.27166007195</v>
      </c>
      <c r="W60" s="2"/>
      <c r="X60" s="2">
        <f t="shared" si="50"/>
        <v>10346.845927801256</v>
      </c>
      <c r="Y60" s="2">
        <f t="shared" si="50"/>
        <v>55308.581281243125</v>
      </c>
      <c r="Z60" s="2">
        <f t="shared" si="22"/>
        <v>202527.53682655169</v>
      </c>
      <c r="AA60" s="2">
        <f t="shared" si="53"/>
        <v>15995.0123109876</v>
      </c>
      <c r="AB60" s="6">
        <f t="shared" si="54"/>
        <v>8.5749186918086195E-2</v>
      </c>
      <c r="AC60" s="7">
        <f t="shared" si="25"/>
        <v>1.0857491869180862</v>
      </c>
      <c r="AD60" s="2">
        <f t="shared" si="26"/>
        <v>0</v>
      </c>
      <c r="AF60">
        <f t="shared" si="7"/>
        <v>2012</v>
      </c>
      <c r="AG60" s="6">
        <f t="shared" si="52"/>
        <v>0.24223559959822016</v>
      </c>
      <c r="AH60" s="7"/>
      <c r="AI60" s="6">
        <f t="shared" si="51"/>
        <v>0.33577388884823312</v>
      </c>
      <c r="AJ60" s="6">
        <f t="shared" si="51"/>
        <v>9.7810263090480257E-2</v>
      </c>
      <c r="AK60" s="7"/>
      <c r="AL60" s="6">
        <f t="shared" si="44"/>
        <v>5.1088588198564253E-2</v>
      </c>
      <c r="AM60" s="6">
        <f t="shared" si="8"/>
        <v>0.27309166026450227</v>
      </c>
      <c r="AN60" s="6">
        <f t="shared" si="27"/>
        <v>1</v>
      </c>
      <c r="AO60" s="7">
        <f t="shared" si="28"/>
        <v>0.72690833973549773</v>
      </c>
      <c r="AP60" s="7">
        <f t="shared" si="29"/>
        <v>0</v>
      </c>
    </row>
    <row r="61" spans="1:42" x14ac:dyDescent="0.25">
      <c r="A61">
        <f t="shared" si="5"/>
        <v>2013</v>
      </c>
      <c r="B61" s="2">
        <f t="shared" si="45"/>
        <v>64846.687582969076</v>
      </c>
      <c r="C61" s="2"/>
      <c r="D61" s="2">
        <f t="shared" si="46"/>
        <v>91804.669162791775</v>
      </c>
      <c r="E61" s="2">
        <f t="shared" si="47"/>
        <v>27261.519658591016</v>
      </c>
      <c r="F61" s="2"/>
      <c r="G61" s="2">
        <f t="shared" si="31"/>
        <v>11903.011555342564</v>
      </c>
      <c r="H61" s="2">
        <f t="shared" si="12"/>
        <v>54058.607344287033</v>
      </c>
      <c r="I61" s="2">
        <f t="shared" si="13"/>
        <v>249874.49530398147</v>
      </c>
      <c r="J61" s="2">
        <f t="shared" si="14"/>
        <v>39640.322704503138</v>
      </c>
      <c r="K61" s="6">
        <f t="shared" si="15"/>
        <v>0.18855318435801002</v>
      </c>
      <c r="L61" s="7">
        <f t="shared" si="16"/>
        <v>1.1885531843580099</v>
      </c>
      <c r="N61">
        <f t="shared" si="17"/>
        <v>2013</v>
      </c>
      <c r="O61" s="2">
        <f t="shared" si="18"/>
        <v>7795.6930166802676</v>
      </c>
      <c r="P61" s="2"/>
      <c r="Q61" s="2"/>
      <c r="R61">
        <f t="shared" si="19"/>
        <v>2013</v>
      </c>
      <c r="S61" s="2">
        <f t="shared" si="48"/>
        <v>63287.548979633022</v>
      </c>
      <c r="T61" s="2"/>
      <c r="U61" s="2">
        <f t="shared" si="49"/>
        <v>90245.530559455729</v>
      </c>
      <c r="V61" s="2">
        <f t="shared" si="49"/>
        <v>25702.381055254962</v>
      </c>
      <c r="W61" s="2"/>
      <c r="X61" s="2">
        <f t="shared" si="50"/>
        <v>10343.87295200651</v>
      </c>
      <c r="Y61" s="2">
        <f t="shared" si="50"/>
        <v>52499.468740950979</v>
      </c>
      <c r="Z61" s="2">
        <f t="shared" si="22"/>
        <v>242078.80228730122</v>
      </c>
      <c r="AA61" s="2">
        <f t="shared" si="53"/>
        <v>39551.265460749535</v>
      </c>
      <c r="AB61" s="6">
        <f t="shared" si="54"/>
        <v>0.19528833501106552</v>
      </c>
      <c r="AC61" s="7">
        <f t="shared" si="25"/>
        <v>1.1952883350110655</v>
      </c>
      <c r="AD61" s="2">
        <f t="shared" si="26"/>
        <v>0</v>
      </c>
      <c r="AF61">
        <f t="shared" si="7"/>
        <v>2013</v>
      </c>
      <c r="AG61" s="6">
        <f t="shared" si="52"/>
        <v>0.26143366697808929</v>
      </c>
      <c r="AH61" s="7"/>
      <c r="AI61" s="6">
        <f t="shared" si="51"/>
        <v>0.37279402288330704</v>
      </c>
      <c r="AJ61" s="6">
        <f t="shared" si="51"/>
        <v>0.10617361294092638</v>
      </c>
      <c r="AK61" s="7"/>
      <c r="AL61" s="6">
        <f t="shared" si="44"/>
        <v>4.2729362729291398E-2</v>
      </c>
      <c r="AM61" s="6">
        <f t="shared" si="8"/>
        <v>0.21686933446838585</v>
      </c>
      <c r="AN61" s="6">
        <f t="shared" si="27"/>
        <v>1</v>
      </c>
      <c r="AO61" s="7">
        <f t="shared" si="28"/>
        <v>0.78313066553161415</v>
      </c>
      <c r="AP61" s="7">
        <f t="shared" si="29"/>
        <v>0</v>
      </c>
    </row>
    <row r="62" spans="1:42" x14ac:dyDescent="0.25">
      <c r="A62">
        <f t="shared" si="5"/>
        <v>2014</v>
      </c>
      <c r="B62" s="2">
        <f t="shared" si="45"/>
        <v>71837.696846781444</v>
      </c>
      <c r="C62" s="2"/>
      <c r="D62" s="2">
        <f t="shared" si="46"/>
        <v>102518.92271554172</v>
      </c>
      <c r="E62" s="2">
        <f t="shared" si="47"/>
        <v>27596.646539027257</v>
      </c>
      <c r="F62" s="2"/>
      <c r="G62" s="2">
        <f t="shared" si="31"/>
        <v>9905.2927388414337</v>
      </c>
      <c r="H62" s="2">
        <f t="shared" si="12"/>
        <v>55523.43814042976</v>
      </c>
      <c r="I62" s="2">
        <f t="shared" si="13"/>
        <v>267381.9969806216</v>
      </c>
      <c r="J62" s="2">
        <f t="shared" si="14"/>
        <v>17507.501676640124</v>
      </c>
      <c r="K62" s="6">
        <f t="shared" si="15"/>
        <v>7.0065180743403233E-2</v>
      </c>
      <c r="L62" s="7">
        <f t="shared" si="16"/>
        <v>1.0700651807434032</v>
      </c>
      <c r="N62">
        <f t="shared" si="17"/>
        <v>2014</v>
      </c>
      <c r="O62" s="2">
        <f t="shared" si="18"/>
        <v>7896.2574565954428</v>
      </c>
      <c r="P62" s="2"/>
      <c r="Q62" s="2"/>
      <c r="R62">
        <f t="shared" si="19"/>
        <v>2014</v>
      </c>
      <c r="S62" s="2">
        <f t="shared" si="48"/>
        <v>70258.445355462361</v>
      </c>
      <c r="T62" s="2"/>
      <c r="U62" s="2">
        <f t="shared" si="49"/>
        <v>100939.67122422263</v>
      </c>
      <c r="V62" s="2">
        <f t="shared" si="49"/>
        <v>26017.395047708167</v>
      </c>
      <c r="W62" s="2"/>
      <c r="X62" s="2">
        <f t="shared" si="50"/>
        <v>8326.0412475223457</v>
      </c>
      <c r="Y62" s="2">
        <f t="shared" si="50"/>
        <v>53944.18664911067</v>
      </c>
      <c r="Z62" s="2">
        <f t="shared" si="22"/>
        <v>259485.7395240262</v>
      </c>
      <c r="AA62" s="2">
        <f t="shared" si="53"/>
        <v>17406.937236724974</v>
      </c>
      <c r="AB62" s="6">
        <f t="shared" si="54"/>
        <v>7.1906077988878478E-2</v>
      </c>
      <c r="AC62" s="7">
        <f t="shared" si="25"/>
        <v>1.0719060779888785</v>
      </c>
      <c r="AD62" s="2">
        <f t="shared" si="26"/>
        <v>0</v>
      </c>
      <c r="AF62">
        <f t="shared" si="7"/>
        <v>2014</v>
      </c>
      <c r="AG62" s="6">
        <f t="shared" si="52"/>
        <v>0.2707603334361926</v>
      </c>
      <c r="AH62" s="7"/>
      <c r="AI62" s="6">
        <f t="shared" si="51"/>
        <v>0.3889989153522499</v>
      </c>
      <c r="AJ62" s="6">
        <f t="shared" si="51"/>
        <v>0.10026522110784117</v>
      </c>
      <c r="AK62" s="7"/>
      <c r="AL62" s="6">
        <f t="shared" si="44"/>
        <v>3.2086700651815299E-2</v>
      </c>
      <c r="AM62" s="6">
        <f t="shared" si="8"/>
        <v>0.20788882945190093</v>
      </c>
      <c r="AN62" s="6">
        <f t="shared" si="27"/>
        <v>0.99999999999999989</v>
      </c>
      <c r="AO62" s="7">
        <f t="shared" si="28"/>
        <v>0.79211117054809899</v>
      </c>
      <c r="AP62" s="7">
        <f t="shared" si="29"/>
        <v>0</v>
      </c>
    </row>
    <row r="63" spans="1:42" x14ac:dyDescent="0.25">
      <c r="A63">
        <f t="shared" si="5"/>
        <v>2015</v>
      </c>
      <c r="B63" s="2">
        <f t="shared" si="45"/>
        <v>71136.675922405644</v>
      </c>
      <c r="C63" s="2"/>
      <c r="D63" s="2">
        <f t="shared" si="46"/>
        <v>99465.952024348997</v>
      </c>
      <c r="E63" s="2">
        <f t="shared" si="47"/>
        <v>25033.937514904796</v>
      </c>
      <c r="F63" s="2"/>
      <c r="G63" s="2">
        <f t="shared" si="31"/>
        <v>7962.1932450056192</v>
      </c>
      <c r="H63" s="2">
        <f t="shared" si="12"/>
        <v>54106.019209057995</v>
      </c>
      <c r="I63" s="2">
        <f t="shared" si="13"/>
        <v>257704.77791572304</v>
      </c>
      <c r="J63" s="2">
        <f t="shared" si="14"/>
        <v>-9677.2190648985561</v>
      </c>
      <c r="K63" s="6">
        <f t="shared" si="15"/>
        <v>-3.6192485560648677E-2</v>
      </c>
      <c r="L63" s="7">
        <f t="shared" si="16"/>
        <v>0.96380751443935131</v>
      </c>
      <c r="N63">
        <f t="shared" si="17"/>
        <v>2015</v>
      </c>
      <c r="O63" s="2">
        <f t="shared" si="18"/>
        <v>7931.0009894044624</v>
      </c>
      <c r="P63" s="2"/>
      <c r="Q63" s="2"/>
      <c r="R63">
        <f t="shared" si="19"/>
        <v>2015</v>
      </c>
      <c r="S63" s="2">
        <f t="shared" si="48"/>
        <v>69550.475724524746</v>
      </c>
      <c r="T63" s="2"/>
      <c r="U63" s="2">
        <f t="shared" si="49"/>
        <v>97879.751826468098</v>
      </c>
      <c r="V63" s="2">
        <f t="shared" si="49"/>
        <v>23447.737317023904</v>
      </c>
      <c r="W63" s="2"/>
      <c r="X63" s="2">
        <f t="shared" si="50"/>
        <v>6375.9930471247262</v>
      </c>
      <c r="Y63" s="2">
        <f t="shared" si="50"/>
        <v>52519.819011177104</v>
      </c>
      <c r="Z63" s="2">
        <f t="shared" si="22"/>
        <v>249773.77692631862</v>
      </c>
      <c r="AA63" s="2">
        <f t="shared" si="53"/>
        <v>-9711.9625977075775</v>
      </c>
      <c r="AB63" s="6">
        <f t="shared" si="54"/>
        <v>-3.7427731541325539E-2</v>
      </c>
      <c r="AC63" s="7">
        <f t="shared" si="25"/>
        <v>0.9625722684586745</v>
      </c>
      <c r="AD63" s="2">
        <f t="shared" si="26"/>
        <v>0</v>
      </c>
      <c r="AF63">
        <f t="shared" si="7"/>
        <v>2015</v>
      </c>
      <c r="AG63" s="6">
        <f t="shared" si="52"/>
        <v>0.27845387366281293</v>
      </c>
      <c r="AH63" s="7"/>
      <c r="AI63" s="6">
        <f t="shared" si="51"/>
        <v>0.39187361071671623</v>
      </c>
      <c r="AJ63" s="6">
        <f t="shared" si="51"/>
        <v>9.3875896843810022E-2</v>
      </c>
      <c r="AK63" s="7"/>
      <c r="AL63" s="6">
        <f t="shared" si="44"/>
        <v>2.5527071438750739E-2</v>
      </c>
      <c r="AM63" s="6">
        <f t="shared" si="8"/>
        <v>0.21026954733790992</v>
      </c>
      <c r="AN63" s="6">
        <f t="shared" si="27"/>
        <v>0.99999999999999989</v>
      </c>
      <c r="AO63" s="7">
        <f t="shared" si="28"/>
        <v>0.78973045266208997</v>
      </c>
      <c r="AP63" s="7">
        <f t="shared" si="29"/>
        <v>0</v>
      </c>
    </row>
    <row r="64" spans="1:42" x14ac:dyDescent="0.25">
      <c r="A64">
        <f t="shared" si="5"/>
        <v>2016</v>
      </c>
      <c r="B64" s="2">
        <f t="shared" si="45"/>
        <v>77771.341955163574</v>
      </c>
      <c r="C64" s="2"/>
      <c r="D64" s="2">
        <f t="shared" si="46"/>
        <v>108715.04035365811</v>
      </c>
      <c r="E64" s="2">
        <f t="shared" si="47"/>
        <v>27708.191187527147</v>
      </c>
      <c r="F64" s="2"/>
      <c r="G64" s="2">
        <f t="shared" si="31"/>
        <v>6672.4767238160257</v>
      </c>
      <c r="H64" s="2">
        <f t="shared" si="12"/>
        <v>53832.814486456526</v>
      </c>
      <c r="I64" s="2">
        <f t="shared" si="13"/>
        <v>274699.86470662139</v>
      </c>
      <c r="J64" s="2">
        <f t="shared" si="14"/>
        <v>16995.086790898349</v>
      </c>
      <c r="K64" s="6">
        <f t="shared" si="15"/>
        <v>6.594789172460061E-2</v>
      </c>
      <c r="L64" s="7">
        <f t="shared" si="16"/>
        <v>1.0659478917246006</v>
      </c>
      <c r="N64">
        <f t="shared" si="17"/>
        <v>2016</v>
      </c>
      <c r="O64" s="2">
        <f t="shared" si="18"/>
        <v>8065.8280062243375</v>
      </c>
      <c r="P64" s="2"/>
      <c r="Q64" s="2"/>
      <c r="R64">
        <f t="shared" si="19"/>
        <v>2016</v>
      </c>
      <c r="S64" s="2">
        <f t="shared" si="48"/>
        <v>76158.176353918709</v>
      </c>
      <c r="T64" s="2"/>
      <c r="U64" s="2">
        <f t="shared" si="49"/>
        <v>107101.87475241325</v>
      </c>
      <c r="V64" s="2">
        <f t="shared" si="49"/>
        <v>26095.025586282281</v>
      </c>
      <c r="W64" s="2"/>
      <c r="X64" s="2">
        <f t="shared" si="50"/>
        <v>5059.3111225711582</v>
      </c>
      <c r="Y64" s="2">
        <f t="shared" si="50"/>
        <v>52219.64888521166</v>
      </c>
      <c r="Z64" s="2">
        <f t="shared" si="22"/>
        <v>266634.03670039703</v>
      </c>
      <c r="AA64" s="2">
        <f t="shared" si="53"/>
        <v>16860.259774078411</v>
      </c>
      <c r="AB64" s="6">
        <f t="shared" si="54"/>
        <v>6.7502121245706509E-2</v>
      </c>
      <c r="AC64" s="7">
        <f t="shared" si="25"/>
        <v>1.0675021212457065</v>
      </c>
      <c r="AD64" s="2">
        <f t="shared" si="26"/>
        <v>0</v>
      </c>
      <c r="AF64">
        <f t="shared" si="7"/>
        <v>2016</v>
      </c>
      <c r="AG64" s="6">
        <f t="shared" si="52"/>
        <v>0.28562811146085498</v>
      </c>
      <c r="AH64" s="7"/>
      <c r="AI64" s="6">
        <f t="shared" si="51"/>
        <v>0.40168118098424965</v>
      </c>
      <c r="AJ64" s="6">
        <f t="shared" si="51"/>
        <v>9.7868321348650325E-2</v>
      </c>
      <c r="AK64" s="7"/>
      <c r="AL64" s="6">
        <f t="shared" si="44"/>
        <v>1.8974738503681907E-2</v>
      </c>
      <c r="AM64" s="6">
        <f t="shared" si="8"/>
        <v>0.19584764770256319</v>
      </c>
      <c r="AN64" s="6">
        <f t="shared" si="27"/>
        <v>1</v>
      </c>
      <c r="AO64" s="7">
        <f t="shared" si="28"/>
        <v>0.80415235229743687</v>
      </c>
      <c r="AP64" s="7">
        <f t="shared" si="29"/>
        <v>0</v>
      </c>
    </row>
    <row r="65" spans="1:36" x14ac:dyDescent="0.25">
      <c r="A65" s="9" t="s">
        <v>78</v>
      </c>
      <c r="B65" s="10">
        <f>S64</f>
        <v>76158.176353918709</v>
      </c>
      <c r="C65" s="10"/>
      <c r="D65" s="10">
        <f>U64</f>
        <v>107101.87475241325</v>
      </c>
      <c r="E65" s="10">
        <f>V64</f>
        <v>26095.025586282281</v>
      </c>
      <c r="F65" s="10"/>
      <c r="G65" s="10">
        <f>X64</f>
        <v>5059.3111225711582</v>
      </c>
      <c r="H65" s="10">
        <f>Y64</f>
        <v>52219.64888521166</v>
      </c>
      <c r="I65" s="10">
        <f>SUM(B65:H65)</f>
        <v>266634.03670039703</v>
      </c>
      <c r="J65" s="10"/>
      <c r="K65" s="10"/>
      <c r="N65" t="s">
        <v>40</v>
      </c>
      <c r="O65" s="2">
        <f>O64</f>
        <v>8065.8280062243375</v>
      </c>
      <c r="P65" s="2"/>
      <c r="R65" s="9" t="s">
        <v>78</v>
      </c>
      <c r="S65" s="10">
        <f>S64</f>
        <v>76158.176353918709</v>
      </c>
      <c r="T65" s="10"/>
      <c r="U65" s="10">
        <f>U64</f>
        <v>107101.87475241325</v>
      </c>
      <c r="V65" s="10">
        <f>V64</f>
        <v>26095.025586282281</v>
      </c>
      <c r="W65" s="10"/>
      <c r="X65" s="10">
        <f>X64</f>
        <v>5059.3111225711582</v>
      </c>
      <c r="Y65" s="10">
        <f>Y64</f>
        <v>52219.64888521166</v>
      </c>
      <c r="Z65" s="10">
        <f>SUM(S65:Y65)</f>
        <v>266634.03670039703</v>
      </c>
      <c r="AA65" s="43"/>
      <c r="AB65" s="43"/>
      <c r="AC65" s="43"/>
      <c r="AD65" s="43"/>
      <c r="AJ65" s="7"/>
    </row>
    <row r="66" spans="1:36" x14ac:dyDescent="0.25">
      <c r="A66" s="11" t="s">
        <v>11</v>
      </c>
      <c r="I66" s="6">
        <f>(Z65-Z39)/Z39</f>
        <v>1.6663403670039703</v>
      </c>
      <c r="K66" s="6"/>
      <c r="N66" t="s">
        <v>70</v>
      </c>
      <c r="O66" s="2">
        <f>SUM(O40:O64)</f>
        <v>161096.15649493449</v>
      </c>
      <c r="P66" s="2"/>
      <c r="AH66" s="7"/>
      <c r="AJ66" s="7"/>
    </row>
    <row r="67" spans="1:36" x14ac:dyDescent="0.25">
      <c r="A67" s="1" t="s">
        <v>12</v>
      </c>
      <c r="I67" s="12">
        <f>STDEV(AC40:AC64)</f>
        <v>0.12181323170923099</v>
      </c>
      <c r="AI67" s="7"/>
    </row>
    <row r="68" spans="1:36" x14ac:dyDescent="0.25">
      <c r="A68" s="1" t="s">
        <v>13</v>
      </c>
      <c r="I68" s="13">
        <f>((1+I66)^(1/I75))-1</f>
        <v>4.0007864689419748E-2</v>
      </c>
    </row>
    <row r="69" spans="1:36" x14ac:dyDescent="0.25">
      <c r="A69" s="1" t="s">
        <v>82</v>
      </c>
      <c r="I69" s="31">
        <f>J60</f>
        <v>16131.278955302609</v>
      </c>
      <c r="O69" s="2"/>
      <c r="P69" s="2"/>
    </row>
    <row r="70" spans="1:36" x14ac:dyDescent="0.25">
      <c r="A70" s="1" t="s">
        <v>83</v>
      </c>
      <c r="I70" s="32">
        <f>K60</f>
        <v>8.3106844274429215E-2</v>
      </c>
    </row>
    <row r="71" spans="1:36" x14ac:dyDescent="0.25">
      <c r="A71" s="1" t="s">
        <v>42</v>
      </c>
      <c r="I71" s="2">
        <f>O66</f>
        <v>161096.15649493449</v>
      </c>
    </row>
    <row r="72" spans="1:36" x14ac:dyDescent="0.25">
      <c r="A72" s="3" t="s">
        <v>84</v>
      </c>
      <c r="I72" s="33">
        <f>I65-Z64</f>
        <v>0</v>
      </c>
    </row>
    <row r="73" spans="1:36" x14ac:dyDescent="0.25">
      <c r="A73" s="3" t="s">
        <v>148</v>
      </c>
      <c r="I73" s="33">
        <f>((SUM(AA40:AA64)))-(I65-I39)</f>
        <v>0</v>
      </c>
    </row>
    <row r="74" spans="1:36" x14ac:dyDescent="0.25">
      <c r="A74" s="3" t="s">
        <v>147</v>
      </c>
      <c r="I74" s="33">
        <f>(SUM(O40:O64))-I71</f>
        <v>0</v>
      </c>
    </row>
    <row r="75" spans="1:36" x14ac:dyDescent="0.25">
      <c r="A75" s="3" t="s">
        <v>159</v>
      </c>
      <c r="I75" s="3">
        <f>COUNTA(I40:I64)</f>
        <v>25</v>
      </c>
    </row>
    <row r="76" spans="1:36" x14ac:dyDescent="0.25">
      <c r="A76" s="1" t="s">
        <v>105</v>
      </c>
      <c r="B76" s="62"/>
      <c r="C76" s="62"/>
      <c r="D76" s="62"/>
      <c r="E76" s="62"/>
      <c r="G76" s="62"/>
      <c r="H76" s="62"/>
      <c r="I76" s="85">
        <f>(SUM(B65:G65)/I65)</f>
        <v>0.80415235229743687</v>
      </c>
    </row>
    <row r="77" spans="1:36" x14ac:dyDescent="0.25">
      <c r="A77" s="1" t="s">
        <v>106</v>
      </c>
      <c r="B77" s="62"/>
      <c r="C77" s="62"/>
      <c r="D77" s="62"/>
      <c r="E77" s="62"/>
      <c r="G77" s="62"/>
      <c r="H77" s="62"/>
      <c r="I77" s="85">
        <f>(H65/I65)</f>
        <v>0.19584764770256319</v>
      </c>
    </row>
    <row r="78" spans="1:36" x14ac:dyDescent="0.25">
      <c r="A78" s="3" t="s">
        <v>107</v>
      </c>
      <c r="I78" s="3">
        <f>100%-(I76+I77)</f>
        <v>0</v>
      </c>
    </row>
    <row r="79" spans="1:36" x14ac:dyDescent="0.25">
      <c r="B79" s="2"/>
      <c r="D79" s="2"/>
      <c r="E79" s="2"/>
      <c r="G79" s="2"/>
      <c r="H79" s="2"/>
      <c r="I79"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3A68-D7F2-41AE-BC69-BAAB87677CEB}">
  <dimension ref="A1:BT78"/>
  <sheetViews>
    <sheetView topLeftCell="A32" zoomScale="120" zoomScaleNormal="120" workbookViewId="0">
      <pane xSplit="36075" topLeftCell="AV1"/>
      <selection activeCell="A76" sqref="A76:I78"/>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49</v>
      </c>
      <c r="N1" s="20" t="s">
        <v>144</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1992</v>
      </c>
      <c r="B4" s="17">
        <f>'Non-Rebalanced Portfolio'!B4</f>
        <v>7.42</v>
      </c>
      <c r="C4" s="19">
        <f>'Non-Rebalanced Portfolio'!C4</f>
        <v>12.465999999999999</v>
      </c>
      <c r="D4" s="17"/>
      <c r="E4" s="17"/>
      <c r="F4" s="17">
        <f>'Non-Rebalanced Portfolio'!F4</f>
        <v>-8.7210000000000001</v>
      </c>
      <c r="G4" s="17"/>
      <c r="H4" s="17">
        <f>'Non-Rebalanced Portfolio'!H4</f>
        <v>7.14</v>
      </c>
      <c r="N4" s="49">
        <f>'4.5% Withdrawals-No Rebalancing'!N4</f>
        <v>1992</v>
      </c>
      <c r="O4" s="50">
        <f>'4.5% Withdrawals-No Rebalancing'!O4</f>
        <v>0.03</v>
      </c>
      <c r="P4" s="44"/>
    </row>
    <row r="5" spans="1:16" x14ac:dyDescent="0.25">
      <c r="A5" s="17">
        <f>'Non-Rebalanced Portfolio'!A5</f>
        <v>1993</v>
      </c>
      <c r="B5" s="17">
        <f>'Non-Rebalanced Portfolio'!B5</f>
        <v>9.89</v>
      </c>
      <c r="C5" s="19">
        <f>'Non-Rebalanced Portfolio'!C5</f>
        <v>14.49</v>
      </c>
      <c r="D5" s="17"/>
      <c r="E5" s="17"/>
      <c r="F5" s="17">
        <f>'Non-Rebalanced Portfolio'!F5</f>
        <v>30.494</v>
      </c>
      <c r="G5" s="17"/>
      <c r="H5" s="17">
        <f>'Non-Rebalanced Portfolio'!H5</f>
        <v>9.68</v>
      </c>
      <c r="N5" s="49">
        <f>'4.5% Withdrawals-No Rebalancing'!N5</f>
        <v>1993</v>
      </c>
      <c r="O5" s="50">
        <f>'4.5% Withdrawals-No Rebalancing'!O5</f>
        <v>2.8000000000000001E-2</v>
      </c>
      <c r="P5" s="44"/>
    </row>
    <row r="6" spans="1:16" x14ac:dyDescent="0.25">
      <c r="A6" s="17">
        <f>'Non-Rebalanced Portfolio'!A6</f>
        <v>1994</v>
      </c>
      <c r="B6" s="17">
        <f>'Non-Rebalanced Portfolio'!B6</f>
        <v>1.18</v>
      </c>
      <c r="C6" s="19">
        <f>'Non-Rebalanced Portfolio'!C6</f>
        <v>-1.764</v>
      </c>
      <c r="D6" s="17"/>
      <c r="E6" s="17"/>
      <c r="F6" s="17">
        <f>'Non-Rebalanced Portfolio'!F6</f>
        <v>5.2549999999999999</v>
      </c>
      <c r="G6" s="17"/>
      <c r="H6" s="17">
        <f>'Non-Rebalanced Portfolio'!H6</f>
        <v>-2.66</v>
      </c>
      <c r="N6" s="49">
        <f>'4.5% Withdrawals-No Rebalancing'!N6</f>
        <v>1994</v>
      </c>
      <c r="O6" s="50">
        <f>'4.5% Withdrawals-No Rebalancing'!O6</f>
        <v>2.5999999999999999E-2</v>
      </c>
      <c r="P6" s="44"/>
    </row>
    <row r="7" spans="1:16" x14ac:dyDescent="0.25">
      <c r="A7" s="17">
        <f>'Non-Rebalanced Portfolio'!A7</f>
        <v>1995</v>
      </c>
      <c r="B7" s="17">
        <f>'Non-Rebalanced Portfolio'!B7</f>
        <v>37.450000000000003</v>
      </c>
      <c r="C7" s="19">
        <f>'Non-Rebalanced Portfolio'!C7</f>
        <v>33.796999999999997</v>
      </c>
      <c r="D7" s="17"/>
      <c r="E7" s="17"/>
      <c r="F7" s="17">
        <f>'Non-Rebalanced Portfolio'!F7</f>
        <v>9.6460000000000008</v>
      </c>
      <c r="G7" s="17"/>
      <c r="H7" s="17">
        <f>'Non-Rebalanced Portfolio'!H7</f>
        <v>18.18</v>
      </c>
      <c r="N7" s="49">
        <f>'4.5% Withdrawals-No Rebalancing'!N7</f>
        <v>1995</v>
      </c>
      <c r="O7" s="50">
        <f>'4.5% Withdrawals-No Rebalancing'!O7</f>
        <v>2.5000000000000001E-2</v>
      </c>
      <c r="P7" s="44"/>
    </row>
    <row r="8" spans="1:16" x14ac:dyDescent="0.25">
      <c r="A8" s="17">
        <f>'Non-Rebalanced Portfolio'!A8</f>
        <v>1996</v>
      </c>
      <c r="B8" s="17">
        <f>'Non-Rebalanced Portfolio'!B8</f>
        <v>22.88</v>
      </c>
      <c r="C8" s="19">
        <f>'Non-Rebalanced Portfolio'!C8</f>
        <v>17.646999999999998</v>
      </c>
      <c r="D8" s="17"/>
      <c r="E8" s="17"/>
      <c r="F8" s="17">
        <f>'Non-Rebalanced Portfolio'!F8</f>
        <v>10.218999999999999</v>
      </c>
      <c r="G8" s="17"/>
      <c r="H8" s="17">
        <f>'Non-Rebalanced Portfolio'!H8</f>
        <v>3.58</v>
      </c>
      <c r="N8" s="49">
        <f>'4.5% Withdrawals-No Rebalancing'!N8</f>
        <v>1996</v>
      </c>
      <c r="O8" s="50">
        <f>'4.5% Withdrawals-No Rebalancing'!O8</f>
        <v>3.4000000000000002E-2</v>
      </c>
      <c r="P8" s="44"/>
    </row>
    <row r="9" spans="1:16" x14ac:dyDescent="0.25">
      <c r="A9" s="17">
        <f>'Non-Rebalanced Portfolio'!A9</f>
        <v>1997</v>
      </c>
      <c r="B9" s="17">
        <f>'Non-Rebalanced Portfolio'!B9</f>
        <v>33.19</v>
      </c>
      <c r="C9" s="19">
        <f>'Non-Rebalanced Portfolio'!C9</f>
        <v>26.687000000000001</v>
      </c>
      <c r="D9" s="17"/>
      <c r="E9" s="17"/>
      <c r="F9" s="17">
        <f>'Non-Rebalanced Portfolio'!F9</f>
        <v>0</v>
      </c>
      <c r="G9" s="17"/>
      <c r="H9" s="17">
        <f>'Non-Rebalanced Portfolio'!H9</f>
        <v>9.44</v>
      </c>
      <c r="N9" s="49">
        <f>'4.5% Withdrawals-No Rebalancing'!N9</f>
        <v>1997</v>
      </c>
      <c r="O9" s="50">
        <f>'4.5% Withdrawals-No Rebalancing'!O9</f>
        <v>1.7000000000000001E-2</v>
      </c>
      <c r="P9" s="44"/>
    </row>
    <row r="10" spans="1:16" x14ac:dyDescent="0.25">
      <c r="A10" s="17">
        <f>'Non-Rebalanced Portfolio'!A10</f>
        <v>1998</v>
      </c>
      <c r="B10" s="17">
        <f>'Non-Rebalanced Portfolio'!B10</f>
        <v>28.66</v>
      </c>
      <c r="C10" s="19">
        <f>'Non-Rebalanced Portfolio'!C10</f>
        <v>8.3529999999999998</v>
      </c>
      <c r="D10" s="17"/>
      <c r="E10" s="17"/>
      <c r="F10" s="17">
        <f>'Non-Rebalanced Portfolio'!F10</f>
        <v>0</v>
      </c>
      <c r="G10" s="17"/>
      <c r="H10" s="17">
        <f>'Non-Rebalanced Portfolio'!H10</f>
        <v>8.58</v>
      </c>
      <c r="N10" s="49">
        <f>'4.5% Withdrawals-No Rebalancing'!N10</f>
        <v>1998</v>
      </c>
      <c r="O10" s="50">
        <f>'4.5% Withdrawals-No Rebalancing'!O10</f>
        <v>1.6E-2</v>
      </c>
      <c r="P10" s="44"/>
    </row>
    <row r="11" spans="1:16" x14ac:dyDescent="0.25">
      <c r="A11" s="17">
        <f>'Non-Rebalanced Portfolio'!A11</f>
        <v>1999</v>
      </c>
      <c r="B11" s="17">
        <f>'Non-Rebalanced Portfolio'!B11</f>
        <v>21.07</v>
      </c>
      <c r="C11" s="19">
        <f>'Non-Rebalanced Portfolio'!C11</f>
        <v>0</v>
      </c>
      <c r="D11" s="17"/>
      <c r="E11" s="17"/>
      <c r="F11" s="17">
        <f>'Non-Rebalanced Portfolio'!F11</f>
        <v>0</v>
      </c>
      <c r="G11" s="17">
        <f>'Non-Rebalanced Portfolio'!G11</f>
        <v>29.919</v>
      </c>
      <c r="H11" s="17">
        <f>'Non-Rebalanced Portfolio'!H11</f>
        <v>-0.76</v>
      </c>
      <c r="N11" s="49">
        <f>'4.5% Withdrawals-No Rebalancing'!N11</f>
        <v>1999</v>
      </c>
      <c r="O11" s="50">
        <f>'4.5% Withdrawals-No Rebalancing'!O11</f>
        <v>2.7E-2</v>
      </c>
      <c r="P11" s="44"/>
    </row>
    <row r="12" spans="1:16" x14ac:dyDescent="0.25">
      <c r="A12" s="17">
        <f>'Non-Rebalanced Portfolio'!A12</f>
        <v>2000</v>
      </c>
      <c r="B12" s="17">
        <f>'Non-Rebalanced Portfolio'!B12</f>
        <v>-9.06</v>
      </c>
      <c r="C12" s="19">
        <f>'Non-Rebalanced Portfolio'!C12</f>
        <v>0</v>
      </c>
      <c r="D12" s="17"/>
      <c r="E12" s="17"/>
      <c r="F12" s="17">
        <f>'Non-Rebalanced Portfolio'!F12</f>
        <v>0</v>
      </c>
      <c r="G12" s="17">
        <f>'Non-Rebalanced Portfolio'!G12</f>
        <v>-15.614000000000001</v>
      </c>
      <c r="H12" s="17">
        <f>'Non-Rebalanced Portfolio'!H12</f>
        <v>11.39</v>
      </c>
      <c r="N12" s="49">
        <f>'4.5% Withdrawals-No Rebalancing'!N12</f>
        <v>2000</v>
      </c>
      <c r="O12" s="50">
        <f>'4.5% Withdrawals-No Rebalancing'!O12</f>
        <v>3.4000000000000002E-2</v>
      </c>
      <c r="P12" s="44"/>
    </row>
    <row r="13" spans="1:16" x14ac:dyDescent="0.25">
      <c r="A13" s="17">
        <f>'Non-Rebalanced Portfolio'!A13</f>
        <v>2001</v>
      </c>
      <c r="B13" s="17">
        <f>'Non-Rebalanced Portfolio'!B13</f>
        <v>-12.02</v>
      </c>
      <c r="C13" s="19"/>
      <c r="D13" s="17">
        <f>'Non-Rebalanced Portfolio'!D13</f>
        <v>-0.499</v>
      </c>
      <c r="E13" s="17">
        <f>'Non-Rebalanced Portfolio'!E13</f>
        <v>3.1</v>
      </c>
      <c r="F13" s="17"/>
      <c r="G13" s="17">
        <f>'Non-Rebalanced Portfolio'!G13</f>
        <v>-20.152999999999999</v>
      </c>
      <c r="H13" s="17">
        <f>'Non-Rebalanced Portfolio'!H13</f>
        <v>8.43</v>
      </c>
      <c r="N13" s="49">
        <f>'4.5% Withdrawals-No Rebalancing'!N13</f>
        <v>2001</v>
      </c>
      <c r="O13" s="50">
        <f>'4.5% Withdrawals-No Rebalancing'!O13</f>
        <v>1.6E-2</v>
      </c>
      <c r="P13" s="44"/>
    </row>
    <row r="14" spans="1:16" x14ac:dyDescent="0.25">
      <c r="A14" s="17">
        <f>'Non-Rebalanced Portfolio'!A14</f>
        <v>2002</v>
      </c>
      <c r="B14" s="17">
        <f>'Non-Rebalanced Portfolio'!B14</f>
        <v>-22.15</v>
      </c>
      <c r="C14" s="19"/>
      <c r="D14" s="17">
        <f>'Non-Rebalanced Portfolio'!D14</f>
        <v>-14.608000000000001</v>
      </c>
      <c r="E14" s="17">
        <f>'Non-Rebalanced Portfolio'!E14</f>
        <v>-20.021999999999998</v>
      </c>
      <c r="F14" s="17"/>
      <c r="G14" s="17">
        <f>'Non-Rebalanced Portfolio'!G14</f>
        <v>-15.083</v>
      </c>
      <c r="H14" s="17">
        <f>'Non-Rebalanced Portfolio'!H14</f>
        <v>8.26</v>
      </c>
      <c r="N14" s="49">
        <f>'4.5% Withdrawals-No Rebalancing'!N14</f>
        <v>2002</v>
      </c>
      <c r="O14" s="50">
        <f>'4.5% Withdrawals-No Rebalancing'!O14</f>
        <v>2.5000000000000001E-2</v>
      </c>
      <c r="P14" s="44"/>
    </row>
    <row r="15" spans="1:16" x14ac:dyDescent="0.25">
      <c r="A15" s="17">
        <f>'Non-Rebalanced Portfolio'!A15</f>
        <v>2003</v>
      </c>
      <c r="B15" s="17">
        <f>'Non-Rebalanced Portfolio'!B15</f>
        <v>28.5</v>
      </c>
      <c r="C15" s="17"/>
      <c r="D15" s="17">
        <f>'Non-Rebalanced Portfolio'!D15</f>
        <v>34.142000000000003</v>
      </c>
      <c r="E15" s="17">
        <f>'Non-Rebalanced Portfolio'!E15</f>
        <v>45.628</v>
      </c>
      <c r="F15" s="17"/>
      <c r="G15" s="17">
        <f>'Non-Rebalanced Portfolio'!G15</f>
        <v>40.340000000000003</v>
      </c>
      <c r="H15" s="17">
        <f>'Non-Rebalanced Portfolio'!H15</f>
        <v>3.97</v>
      </c>
      <c r="N15" s="49">
        <f>'4.5% Withdrawals-No Rebalancing'!N15</f>
        <v>2003</v>
      </c>
      <c r="O15" s="50">
        <f>'4.5% Withdrawals-No Rebalancing'!O15</f>
        <v>0.02</v>
      </c>
      <c r="P15" s="44"/>
    </row>
    <row r="16" spans="1:16"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c r="N16" s="49">
        <f>'4.5% Withdrawals-No Rebalancing'!N16</f>
        <v>2004</v>
      </c>
      <c r="O16" s="50">
        <f>'4.5% Withdrawals-No Rebalancing'!O16</f>
        <v>3.3000000000000002E-2</v>
      </c>
      <c r="P16" s="44"/>
    </row>
    <row r="17" spans="1:16"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c r="N17" s="49">
        <f>'4.5% Withdrawals-No Rebalancing'!N17</f>
        <v>2005</v>
      </c>
      <c r="O17" s="50">
        <f>'4.5% Withdrawals-No Rebalancing'!O17</f>
        <v>3.3000000000000002E-2</v>
      </c>
      <c r="P17" s="44"/>
    </row>
    <row r="18" spans="1:16"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c r="N18" s="49">
        <f>'4.5% Withdrawals-No Rebalancing'!N18</f>
        <v>2006</v>
      </c>
      <c r="O18" s="50">
        <f>'4.5% Withdrawals-No Rebalancing'!O18</f>
        <v>2.5000000000000001E-2</v>
      </c>
      <c r="P18" s="44"/>
    </row>
    <row r="19" spans="1:16"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c r="N19" s="49">
        <f>'4.5% Withdrawals-No Rebalancing'!N19</f>
        <v>2007</v>
      </c>
      <c r="O19" s="50">
        <f>'4.5% Withdrawals-No Rebalancing'!O19</f>
        <v>4.1000000000000002E-2</v>
      </c>
      <c r="P19" s="44"/>
    </row>
    <row r="20" spans="1:16"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c r="N20" s="49">
        <f>'4.5% Withdrawals-No Rebalancing'!N20</f>
        <v>2008</v>
      </c>
      <c r="O20" s="50">
        <f>'4.5% Withdrawals-No Rebalancing'!O20</f>
        <v>0</v>
      </c>
      <c r="P20" s="44"/>
    </row>
    <row r="21" spans="1:16"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c r="N21" s="49">
        <f>'4.5% Withdrawals-No Rebalancing'!N21</f>
        <v>2009</v>
      </c>
      <c r="O21" s="50">
        <f>'4.5% Withdrawals-No Rebalancing'!O21</f>
        <v>2.8000000000000001E-2</v>
      </c>
      <c r="P21" s="44"/>
    </row>
    <row r="22" spans="1:16"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c r="N22" s="49">
        <f>'4.5% Withdrawals-No Rebalancing'!N22</f>
        <v>2010</v>
      </c>
      <c r="O22" s="50">
        <f>'4.5% Withdrawals-No Rebalancing'!O22</f>
        <v>1.4E-2</v>
      </c>
      <c r="P22" s="44"/>
    </row>
    <row r="23" spans="1:16"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c r="N23" s="49">
        <f>'4.5% Withdrawals-No Rebalancing'!N23</f>
        <v>2011</v>
      </c>
      <c r="O23" s="50">
        <f>'4.5% Withdrawals-No Rebalancing'!O23</f>
        <v>0.03</v>
      </c>
      <c r="P23" s="44"/>
    </row>
    <row r="24" spans="1:16"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c r="N24" s="49">
        <f>'4.5% Withdrawals-No Rebalancing'!N24</f>
        <v>2012</v>
      </c>
      <c r="O24" s="50">
        <f>'4.5% Withdrawals-No Rebalancing'!O24</f>
        <v>1.7999999999999999E-2</v>
      </c>
      <c r="P24" s="44"/>
    </row>
    <row r="25" spans="1:16"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c r="N25" s="49">
        <f>'4.5% Withdrawals-No Rebalancing'!N25</f>
        <v>2013</v>
      </c>
      <c r="O25" s="50">
        <f>'4.5% Withdrawals-No Rebalancing'!O25</f>
        <v>1.15559170535223E-2</v>
      </c>
      <c r="P25" s="44"/>
    </row>
    <row r="26" spans="1:16"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c r="N26" s="49">
        <f>'4.5% Withdrawals-No Rebalancing'!N26</f>
        <v>2014</v>
      </c>
      <c r="O26" s="50">
        <f>'4.5% Withdrawals-No Rebalancing'!O26</f>
        <v>1.29E-2</v>
      </c>
      <c r="P26" s="44"/>
    </row>
    <row r="27" spans="1:16"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c r="N27" s="49">
        <f>'4.5% Withdrawals-No Rebalancing'!N27</f>
        <v>2015</v>
      </c>
      <c r="O27" s="50">
        <f>'4.5% Withdrawals-No Rebalancing'!O27</f>
        <v>4.4000000000000003E-3</v>
      </c>
    </row>
    <row r="28" spans="1:16" x14ac:dyDescent="0.25">
      <c r="A28" s="17">
        <f>'Non-Rebalanced Portfolio'!A28</f>
        <v>2016</v>
      </c>
      <c r="B28" s="17">
        <f>'Non-Rebalanced Portfolio'!B28</f>
        <v>11.82</v>
      </c>
      <c r="C28" s="17"/>
      <c r="D28" s="17">
        <f>'Non-Rebalanced Portfolio'!D28</f>
        <v>11.07</v>
      </c>
      <c r="E28" s="17">
        <f>'Non-Rebalanced Portfolio'!E28</f>
        <v>18.170000000000002</v>
      </c>
      <c r="F28" s="17"/>
      <c r="G28" s="17">
        <f>'Non-Rebalanced Portfolio'!G28</f>
        <v>4.6500000000000004</v>
      </c>
      <c r="H28" s="17">
        <f>'Non-Rebalanced Portfolio'!H28</f>
        <v>2.5</v>
      </c>
      <c r="N28" s="49">
        <f>'4.5% Withdrawals-No Rebalancing'!N28</f>
        <v>2016</v>
      </c>
      <c r="O28" s="50">
        <f>'4.5% Withdrawals-No Rebalancing'!O28</f>
        <v>1.7000000000000001E-2</v>
      </c>
    </row>
    <row r="29" spans="1:16" x14ac:dyDescent="0.25">
      <c r="A29" s="17">
        <f>'Non-Rebalanced Portfolio'!A29</f>
        <v>2017</v>
      </c>
      <c r="B29" s="17">
        <f>'Non-Rebalanced Portfolio'!B29</f>
        <v>21.67</v>
      </c>
      <c r="C29" s="17"/>
      <c r="D29" s="17">
        <f>'Non-Rebalanced Portfolio'!D29</f>
        <v>19.600000000000001</v>
      </c>
      <c r="E29" s="17">
        <f>'Non-Rebalanced Portfolio'!E29</f>
        <v>16.100000000000001</v>
      </c>
      <c r="F29" s="17"/>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7"/>
      <c r="D30" s="17">
        <f>'Non-Rebalanced Portfolio'!D30</f>
        <v>19.600000000000001</v>
      </c>
      <c r="E30" s="17">
        <f>'Non-Rebalanced Portfolio'!E30</f>
        <v>16.100000000000001</v>
      </c>
      <c r="F30" s="17"/>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'4.5% Withdrawals-No Rebalancing'!N32</f>
        <v>2017</v>
      </c>
      <c r="O32" s="50">
        <f>'4.5% Withdrawals-No Rebalancing'!O32</f>
        <v>2.23E-2</v>
      </c>
    </row>
    <row r="33" spans="1:72"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72" x14ac:dyDescent="0.25">
      <c r="A36" s="20" t="s">
        <v>116</v>
      </c>
      <c r="N36" s="20" t="s">
        <v>25</v>
      </c>
      <c r="R36" s="20" t="s">
        <v>117</v>
      </c>
      <c r="AG36" s="20" t="s">
        <v>118</v>
      </c>
      <c r="AS36" s="20" t="s">
        <v>7</v>
      </c>
      <c r="BC36" s="20" t="s">
        <v>119</v>
      </c>
    </row>
    <row r="37" spans="1:7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88</v>
      </c>
    </row>
    <row r="38" spans="1:72"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72</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87</v>
      </c>
    </row>
    <row r="39" spans="1:72" x14ac:dyDescent="0.25">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86</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72" x14ac:dyDescent="0.25">
      <c r="A40">
        <f t="shared" ref="A40:A64" si="6">A4</f>
        <v>1992</v>
      </c>
      <c r="B40" s="2">
        <f>B39*(1+(B4/100))</f>
        <v>21484</v>
      </c>
      <c r="C40" s="2">
        <f>C39*(1+(C4/100))</f>
        <v>33739.800000000003</v>
      </c>
      <c r="D40" s="2"/>
      <c r="E40" s="2"/>
      <c r="F40" s="2">
        <f>F39*(1+(F4/100))</f>
        <v>18255.8</v>
      </c>
      <c r="G40" s="2"/>
      <c r="H40" s="2">
        <f>H39*(1+(H4/100))</f>
        <v>32141.999999999996</v>
      </c>
      <c r="I40" s="2">
        <f>SUM(B40:H40)</f>
        <v>105621.6</v>
      </c>
      <c r="J40" s="2">
        <f>I40-I39</f>
        <v>5621.6000000000058</v>
      </c>
      <c r="K40" s="6">
        <f>(J40/I39)</f>
        <v>5.6216000000000058E-2</v>
      </c>
      <c r="L40" s="7">
        <f>K40+1</f>
        <v>1.056216</v>
      </c>
      <c r="N40">
        <f>A40</f>
        <v>1992</v>
      </c>
      <c r="O40" s="2">
        <f>I40*0.045</f>
        <v>4752.9719999999998</v>
      </c>
      <c r="P40" s="2"/>
      <c r="Q40" s="2"/>
      <c r="R40">
        <f>A40</f>
        <v>1992</v>
      </c>
      <c r="S40" s="2">
        <f>B40-($O40/4)</f>
        <v>20295.757000000001</v>
      </c>
      <c r="T40" s="2">
        <f>C40-($O40/4)</f>
        <v>32551.557000000004</v>
      </c>
      <c r="U40" s="2"/>
      <c r="V40" s="2"/>
      <c r="W40" s="2">
        <f t="shared" ref="W40:W44" si="7">F40-($O40/4)</f>
        <v>17067.557000000001</v>
      </c>
      <c r="X40" s="2"/>
      <c r="Y40" s="2">
        <f>H40-($O40/4)</f>
        <v>30953.756999999998</v>
      </c>
      <c r="Z40" s="2">
        <f>SUM(S40:Y40)</f>
        <v>100868.62800000001</v>
      </c>
      <c r="AA40" s="2">
        <f>Z40-Z39</f>
        <v>868.62800000001153</v>
      </c>
      <c r="AB40" s="6">
        <f>(AA40/Z39)</f>
        <v>8.6862800000001156E-3</v>
      </c>
      <c r="AC40" s="7">
        <f>AB40+1</f>
        <v>1.00868628</v>
      </c>
      <c r="AD40" s="2">
        <f>Z40-(I40-O40)</f>
        <v>0</v>
      </c>
      <c r="AE40" s="2"/>
      <c r="AG40">
        <f>A40</f>
        <v>1992</v>
      </c>
      <c r="AH40" s="6">
        <f t="shared" si="5"/>
        <v>0.201209805292484</v>
      </c>
      <c r="AI40" s="6">
        <f t="shared" si="5"/>
        <v>0.32271239973641758</v>
      </c>
      <c r="AJ40" s="7"/>
      <c r="AK40" s="7"/>
      <c r="AL40" s="6">
        <f>W40/$Z40</f>
        <v>0.16920580103458926</v>
      </c>
      <c r="AM40" s="7"/>
      <c r="AN40" s="6">
        <f>Y40/$Z40</f>
        <v>0.3068719939365091</v>
      </c>
      <c r="AO40" s="6">
        <f>SUM(AH40:AN40)</f>
        <v>1</v>
      </c>
      <c r="AP40" s="7">
        <f>SUM(AH40:AM40)</f>
        <v>0.6931280060634909</v>
      </c>
      <c r="AQ40" s="7">
        <f>AO40-(AP40+AN40)</f>
        <v>0</v>
      </c>
      <c r="AR40" s="24"/>
      <c r="AS40">
        <f>AG40</f>
        <v>1992</v>
      </c>
      <c r="AT40" s="1" t="b">
        <f>AND((S40/$Z40)&gt;0.15,(S40/$Z40)&lt;0.25)</f>
        <v>1</v>
      </c>
      <c r="AU40" s="1" t="b">
        <f>AND((T40/$Z40)&gt;0.25,(T40/$Z40)&lt;0.35)</f>
        <v>1</v>
      </c>
      <c r="AX40" s="1" t="b">
        <f t="shared" ref="AX40:AX43" si="8">AND((W40/$Z40)&gt;0.15,(W40/$Z40)&lt;0.25)</f>
        <v>1</v>
      </c>
      <c r="AZ40" s="1" t="b">
        <f>AND((Y40/$Z40)&gt;0.25,(Y40/$Z40)&lt;0.35)</f>
        <v>1</v>
      </c>
      <c r="BA40" s="1" t="b">
        <f>AND((Z40/$Z40)&gt;0.999,(Z40/$Z40)&lt;1.01)</f>
        <v>1</v>
      </c>
      <c r="BC40">
        <f>AS40</f>
        <v>1992</v>
      </c>
      <c r="BD40" s="2">
        <f t="shared" ref="BD40:BE42" si="9">S40</f>
        <v>20295.757000000001</v>
      </c>
      <c r="BE40" s="2">
        <f t="shared" si="9"/>
        <v>32551.557000000004</v>
      </c>
      <c r="BF40" s="2"/>
      <c r="BG40" s="2"/>
      <c r="BH40" s="2">
        <f t="shared" ref="BH40" si="10">W40</f>
        <v>17067.557000000001</v>
      </c>
      <c r="BI40" s="2"/>
      <c r="BJ40" s="2">
        <f>Y40</f>
        <v>30953.756999999998</v>
      </c>
      <c r="BK40" s="2">
        <f>Z40</f>
        <v>100868.62800000001</v>
      </c>
      <c r="BL40" s="2">
        <f>SUM(BD40:BJ40)-Z40</f>
        <v>0</v>
      </c>
      <c r="BM40" s="2"/>
    </row>
    <row r="41" spans="1:72" x14ac:dyDescent="0.25">
      <c r="A41">
        <f t="shared" si="6"/>
        <v>1993</v>
      </c>
      <c r="B41" s="2">
        <f t="shared" ref="B41:B50" si="11">BD40*(1+(B5/100))</f>
        <v>22303.007367300001</v>
      </c>
      <c r="C41" s="2">
        <f t="shared" ref="C41:C47" si="12">BE40*(1+(C5/100))</f>
        <v>37268.277609300007</v>
      </c>
      <c r="D41" s="2"/>
      <c r="E41" s="2"/>
      <c r="F41" s="2">
        <f t="shared" ref="F41:F44" si="13">BH40*(1+(F5/100))</f>
        <v>22272.137831579999</v>
      </c>
      <c r="G41" s="2"/>
      <c r="H41" s="2">
        <f t="shared" ref="H41:H64" si="14">BJ40*(1+(H5/100))</f>
        <v>33950.080677599995</v>
      </c>
      <c r="I41" s="2">
        <f>SUM(B41:H41)</f>
        <v>115793.50348578001</v>
      </c>
      <c r="J41" s="2">
        <f t="shared" ref="J41:J64" si="15">I41-I40</f>
        <v>10171.90348578</v>
      </c>
      <c r="K41" s="6">
        <f t="shared" ref="K41:K64" si="16">(J41/I40)</f>
        <v>9.6305144835715409E-2</v>
      </c>
      <c r="L41" s="7">
        <f t="shared" ref="L41:L64" si="17">K41+1</f>
        <v>1.0963051448357155</v>
      </c>
      <c r="N41">
        <f t="shared" ref="N41:N64" si="18">A41</f>
        <v>1993</v>
      </c>
      <c r="O41" s="2">
        <f t="shared" ref="O41:O64" si="19">O40*(1+O5)</f>
        <v>4886.0552159999997</v>
      </c>
      <c r="P41" s="2"/>
      <c r="Q41" s="2"/>
      <c r="R41">
        <f t="shared" ref="R41:R64" si="20">A41</f>
        <v>1993</v>
      </c>
      <c r="S41" s="2">
        <f t="shared" ref="S41:T45" si="21">B41-($O41/4)</f>
        <v>21081.493563300002</v>
      </c>
      <c r="T41" s="2">
        <f t="shared" si="21"/>
        <v>36046.763805300005</v>
      </c>
      <c r="U41" s="2"/>
      <c r="V41" s="2"/>
      <c r="W41" s="2">
        <f t="shared" si="7"/>
        <v>21050.624027580001</v>
      </c>
      <c r="X41" s="2"/>
      <c r="Y41" s="2">
        <f t="shared" ref="Y41:Y45" si="22">H41-($O41/4)</f>
        <v>32728.566873599997</v>
      </c>
      <c r="Z41" s="2">
        <f t="shared" ref="Z41:Z64" si="23">SUM(S41:Y41)</f>
        <v>110907.44826978001</v>
      </c>
      <c r="AA41" s="2">
        <f t="shared" ref="AA41:AA55" si="24">Z41-Z40</f>
        <v>10038.820269780001</v>
      </c>
      <c r="AB41" s="6">
        <f t="shared" ref="AB41:AB55" si="25">(AA41/Z40)</f>
        <v>9.9523711869859074E-2</v>
      </c>
      <c r="AC41" s="7">
        <f t="shared" ref="AC41:AC64" si="26">AB41+1</f>
        <v>1.0995237118698591</v>
      </c>
      <c r="AD41" s="2">
        <f t="shared" ref="AD41:AD64" si="27">Z41-(I41-O41)</f>
        <v>0</v>
      </c>
      <c r="AE41" s="2"/>
      <c r="AG41">
        <f t="shared" ref="AG41:AG64" si="28">A41</f>
        <v>1993</v>
      </c>
      <c r="AH41" s="6">
        <f t="shared" si="5"/>
        <v>0.19008185556681204</v>
      </c>
      <c r="AI41" s="6">
        <f t="shared" si="5"/>
        <v>0.3250166185197681</v>
      </c>
      <c r="AJ41" s="7"/>
      <c r="AK41" s="7"/>
      <c r="AL41" s="6">
        <f t="shared" ref="AL41:AM56" si="29">W41/$Z41</f>
        <v>0.18980351956502331</v>
      </c>
      <c r="AM41" s="7"/>
      <c r="AN41" s="6">
        <f t="shared" ref="AN41:AN64" si="30">Y41/$Z41</f>
        <v>0.2950980063483965</v>
      </c>
      <c r="AO41" s="6">
        <f t="shared" ref="AO41:AO64" si="31">SUM(AH41:AN41)</f>
        <v>1</v>
      </c>
      <c r="AP41" s="7">
        <f t="shared" ref="AP41:AP64" si="32">SUM(AH41:AM41)</f>
        <v>0.70490199365160344</v>
      </c>
      <c r="AQ41" s="7">
        <f t="shared" ref="AQ41:AQ64" si="33">AO41-(AP41+AN41)</f>
        <v>0</v>
      </c>
      <c r="AR41" s="24"/>
      <c r="AS41">
        <f t="shared" ref="AS41:AS64" si="34">AG41</f>
        <v>1993</v>
      </c>
      <c r="AT41" s="1" t="b">
        <f t="shared" ref="AT41:AT64" si="35">AND((S41/$Z41)&gt;0.15,(S41/$Z41)&lt;0.25)</f>
        <v>1</v>
      </c>
      <c r="AU41" s="1" t="b">
        <f t="shared" ref="AU41:AU46" si="36">AND((T41/$Z41)&gt;0.25,(T41/$Z41)&lt;0.35)</f>
        <v>1</v>
      </c>
      <c r="AX41" s="1" t="b">
        <f t="shared" si="8"/>
        <v>1</v>
      </c>
      <c r="AZ41" s="1" t="b">
        <f t="shared" ref="AZ41:AZ64" si="37">AND((Y41/$Z41)&gt;0.25,(Y41/$Z41)&lt;0.35)</f>
        <v>1</v>
      </c>
      <c r="BA41" s="1" t="b">
        <f t="shared" ref="BA41:BA64" si="38">AND((Z41/$Z41)&gt;0.999,(Z41/$Z41)&lt;1.01)</f>
        <v>1</v>
      </c>
      <c r="BC41">
        <f t="shared" ref="BC41:BC64" si="39">AS41</f>
        <v>1993</v>
      </c>
      <c r="BD41" s="2">
        <f t="shared" si="9"/>
        <v>21081.493563300002</v>
      </c>
      <c r="BE41" s="2">
        <f t="shared" si="9"/>
        <v>36046.763805300005</v>
      </c>
      <c r="BF41" s="2"/>
      <c r="BG41" s="2"/>
      <c r="BH41" s="2">
        <f t="shared" ref="BH41:BH42" si="40">W41</f>
        <v>21050.624027580001</v>
      </c>
      <c r="BI41" s="2"/>
      <c r="BJ41" s="2">
        <f>Y41</f>
        <v>32728.566873599997</v>
      </c>
      <c r="BK41" s="2">
        <f t="shared" ref="BK41:BK64" si="41">Z41</f>
        <v>110907.44826978001</v>
      </c>
      <c r="BL41" s="2">
        <f t="shared" ref="BL41:BL64" si="42">SUM(BD41:BJ41)-Z41</f>
        <v>0</v>
      </c>
      <c r="BM41" s="2"/>
    </row>
    <row r="42" spans="1:72" x14ac:dyDescent="0.25">
      <c r="A42">
        <f t="shared" si="6"/>
        <v>1994</v>
      </c>
      <c r="B42" s="2">
        <f t="shared" si="11"/>
        <v>21330.255187346942</v>
      </c>
      <c r="C42" s="2">
        <f t="shared" si="12"/>
        <v>35410.898891774516</v>
      </c>
      <c r="D42" s="2"/>
      <c r="E42" s="2"/>
      <c r="F42" s="2">
        <f t="shared" si="13"/>
        <v>22156.834320229333</v>
      </c>
      <c r="G42" s="2"/>
      <c r="H42" s="2">
        <f t="shared" si="14"/>
        <v>31857.986994762239</v>
      </c>
      <c r="I42" s="2">
        <f t="shared" ref="I42:I64" si="43">SUM(B42:H42)</f>
        <v>110755.97539411302</v>
      </c>
      <c r="J42" s="2">
        <f t="shared" si="15"/>
        <v>-5037.5280916669872</v>
      </c>
      <c r="K42" s="6">
        <f t="shared" si="16"/>
        <v>-4.3504410351359823E-2</v>
      </c>
      <c r="L42" s="7">
        <f t="shared" si="17"/>
        <v>0.95649558964864023</v>
      </c>
      <c r="N42">
        <f t="shared" si="18"/>
        <v>1994</v>
      </c>
      <c r="O42" s="2">
        <f t="shared" si="19"/>
        <v>5013.0926516159998</v>
      </c>
      <c r="P42" s="2"/>
      <c r="Q42" s="2"/>
      <c r="R42">
        <f t="shared" si="20"/>
        <v>1994</v>
      </c>
      <c r="S42" s="2">
        <f t="shared" si="21"/>
        <v>20076.982024442943</v>
      </c>
      <c r="T42" s="2">
        <f t="shared" si="21"/>
        <v>34157.625728870516</v>
      </c>
      <c r="U42" s="2"/>
      <c r="V42" s="2"/>
      <c r="W42" s="2">
        <f t="shared" si="7"/>
        <v>20903.561157325334</v>
      </c>
      <c r="X42" s="2"/>
      <c r="Y42" s="2">
        <f t="shared" si="22"/>
        <v>30604.71383185824</v>
      </c>
      <c r="Z42" s="2">
        <f t="shared" si="23"/>
        <v>105742.88274249704</v>
      </c>
      <c r="AA42" s="2">
        <f t="shared" si="24"/>
        <v>-5164.5655272829754</v>
      </c>
      <c r="AB42" s="6">
        <f t="shared" si="25"/>
        <v>-4.6566444435005655E-2</v>
      </c>
      <c r="AC42" s="7">
        <f t="shared" si="26"/>
        <v>0.95343355556499432</v>
      </c>
      <c r="AD42" s="2">
        <f t="shared" si="27"/>
        <v>0</v>
      </c>
      <c r="AE42" s="2"/>
      <c r="AG42">
        <f t="shared" si="28"/>
        <v>1994</v>
      </c>
      <c r="AH42" s="6">
        <f t="shared" si="5"/>
        <v>0.18986603640581665</v>
      </c>
      <c r="AI42" s="6">
        <f t="shared" si="5"/>
        <v>0.32302529345687014</v>
      </c>
      <c r="AJ42" s="7"/>
      <c r="AK42" s="7"/>
      <c r="AL42" s="6">
        <f t="shared" si="29"/>
        <v>0.19768291364090451</v>
      </c>
      <c r="AM42" s="7"/>
      <c r="AN42" s="6">
        <f t="shared" si="30"/>
        <v>0.28942575649640867</v>
      </c>
      <c r="AO42" s="6">
        <f t="shared" si="31"/>
        <v>1</v>
      </c>
      <c r="AP42" s="7">
        <f t="shared" si="32"/>
        <v>0.71057424350359133</v>
      </c>
      <c r="AQ42" s="7">
        <f t="shared" si="33"/>
        <v>0</v>
      </c>
      <c r="AR42" s="24"/>
      <c r="AS42">
        <f t="shared" si="34"/>
        <v>1994</v>
      </c>
      <c r="AT42" s="1" t="b">
        <f t="shared" si="35"/>
        <v>1</v>
      </c>
      <c r="AU42" s="1" t="b">
        <f t="shared" si="36"/>
        <v>1</v>
      </c>
      <c r="AX42" s="1" t="b">
        <f t="shared" si="8"/>
        <v>1</v>
      </c>
      <c r="AZ42" s="1" t="b">
        <f t="shared" si="37"/>
        <v>1</v>
      </c>
      <c r="BA42" s="1" t="b">
        <f t="shared" si="38"/>
        <v>1</v>
      </c>
      <c r="BC42">
        <f t="shared" si="39"/>
        <v>1994</v>
      </c>
      <c r="BD42" s="2">
        <f t="shared" si="9"/>
        <v>20076.982024442943</v>
      </c>
      <c r="BE42" s="2">
        <f t="shared" si="9"/>
        <v>34157.625728870516</v>
      </c>
      <c r="BF42" s="2"/>
      <c r="BG42" s="2"/>
      <c r="BH42" s="2">
        <f t="shared" si="40"/>
        <v>20903.561157325334</v>
      </c>
      <c r="BI42" s="2"/>
      <c r="BJ42" s="2">
        <f>Y42</f>
        <v>30604.71383185824</v>
      </c>
      <c r="BK42" s="2">
        <f t="shared" si="41"/>
        <v>105742.88274249704</v>
      </c>
      <c r="BL42" s="2">
        <f t="shared" si="42"/>
        <v>0</v>
      </c>
      <c r="BM42" s="2"/>
    </row>
    <row r="43" spans="1:72" x14ac:dyDescent="0.25">
      <c r="A43">
        <f t="shared" si="6"/>
        <v>1995</v>
      </c>
      <c r="B43" s="2">
        <f t="shared" si="11"/>
        <v>27595.811792596825</v>
      </c>
      <c r="C43" s="2">
        <f t="shared" si="12"/>
        <v>45701.878496456884</v>
      </c>
      <c r="D43" s="2"/>
      <c r="E43" s="2"/>
      <c r="F43" s="2">
        <f t="shared" si="13"/>
        <v>22919.918666560934</v>
      </c>
      <c r="G43" s="2"/>
      <c r="H43" s="2">
        <f t="shared" si="14"/>
        <v>36168.65080649007</v>
      </c>
      <c r="I43" s="2">
        <f t="shared" si="43"/>
        <v>132386.25976210472</v>
      </c>
      <c r="J43" s="2">
        <f t="shared" si="15"/>
        <v>21630.284367991699</v>
      </c>
      <c r="K43" s="6">
        <f t="shared" si="16"/>
        <v>0.19529677104122553</v>
      </c>
      <c r="L43" s="7">
        <f t="shared" si="17"/>
        <v>1.1952967710412254</v>
      </c>
      <c r="N43">
        <f t="shared" si="18"/>
        <v>1995</v>
      </c>
      <c r="O43" s="2">
        <f t="shared" si="19"/>
        <v>5138.4199679063995</v>
      </c>
      <c r="P43" s="2"/>
      <c r="Q43" s="2"/>
      <c r="R43">
        <f t="shared" si="20"/>
        <v>1995</v>
      </c>
      <c r="S43" s="2">
        <f t="shared" si="21"/>
        <v>26311.206800620224</v>
      </c>
      <c r="T43" s="2">
        <f t="shared" si="21"/>
        <v>44417.273504480283</v>
      </c>
      <c r="U43" s="2"/>
      <c r="V43" s="2"/>
      <c r="W43" s="2">
        <f t="shared" si="7"/>
        <v>21635.313674584333</v>
      </c>
      <c r="X43" s="2"/>
      <c r="Y43" s="2">
        <f t="shared" si="22"/>
        <v>34884.045814513469</v>
      </c>
      <c r="Z43" s="2">
        <f t="shared" si="23"/>
        <v>127247.83979419831</v>
      </c>
      <c r="AA43" s="2">
        <f t="shared" si="24"/>
        <v>21504.957051701276</v>
      </c>
      <c r="AB43" s="6">
        <f t="shared" si="25"/>
        <v>0.20337025522625216</v>
      </c>
      <c r="AC43" s="7">
        <f t="shared" si="26"/>
        <v>1.2033702552262522</v>
      </c>
      <c r="AD43" s="2">
        <f t="shared" si="27"/>
        <v>0</v>
      </c>
      <c r="AE43" s="2"/>
      <c r="AG43">
        <f t="shared" si="28"/>
        <v>1995</v>
      </c>
      <c r="AH43" s="6">
        <f t="shared" si="5"/>
        <v>0.20677134356995069</v>
      </c>
      <c r="AI43" s="6">
        <f t="shared" si="5"/>
        <v>0.3490611202226902</v>
      </c>
      <c r="AJ43" s="7"/>
      <c r="AK43" s="7"/>
      <c r="AL43" s="6">
        <f t="shared" si="29"/>
        <v>0.17002499774908372</v>
      </c>
      <c r="AM43" s="7"/>
      <c r="AN43" s="6">
        <f t="shared" si="30"/>
        <v>0.27414253845827535</v>
      </c>
      <c r="AO43" s="6">
        <f t="shared" si="31"/>
        <v>1</v>
      </c>
      <c r="AP43" s="7">
        <f t="shared" si="32"/>
        <v>0.72585746154172459</v>
      </c>
      <c r="AQ43" s="7">
        <f t="shared" si="33"/>
        <v>0</v>
      </c>
      <c r="AR43" s="24"/>
      <c r="AS43">
        <f t="shared" si="34"/>
        <v>1995</v>
      </c>
      <c r="AT43" s="1" t="b">
        <f t="shared" si="35"/>
        <v>1</v>
      </c>
      <c r="AU43" s="1" t="b">
        <f t="shared" si="36"/>
        <v>1</v>
      </c>
      <c r="AX43" s="1" t="b">
        <f t="shared" si="8"/>
        <v>1</v>
      </c>
      <c r="AZ43" s="1" t="b">
        <f t="shared" si="37"/>
        <v>1</v>
      </c>
      <c r="BA43" s="1" t="b">
        <f t="shared" si="38"/>
        <v>1</v>
      </c>
      <c r="BC43">
        <f t="shared" si="39"/>
        <v>1995</v>
      </c>
      <c r="BD43" s="2">
        <f t="shared" ref="BD43" si="44">S43</f>
        <v>26311.206800620224</v>
      </c>
      <c r="BE43" s="2">
        <f t="shared" ref="BE43" si="45">T43</f>
        <v>44417.273504480283</v>
      </c>
      <c r="BF43" s="2"/>
      <c r="BG43" s="2"/>
      <c r="BH43" s="2">
        <f t="shared" ref="BH43" si="46">W43</f>
        <v>21635.313674584333</v>
      </c>
      <c r="BI43" s="2"/>
      <c r="BJ43" s="2">
        <f>Y43</f>
        <v>34884.045814513469</v>
      </c>
      <c r="BK43" s="2">
        <f t="shared" si="41"/>
        <v>127247.83979419831</v>
      </c>
      <c r="BL43" s="2">
        <f t="shared" si="42"/>
        <v>0</v>
      </c>
      <c r="BM43" s="2"/>
    </row>
    <row r="44" spans="1:72" x14ac:dyDescent="0.25">
      <c r="A44">
        <f t="shared" si="6"/>
        <v>1996</v>
      </c>
      <c r="B44" s="2">
        <f t="shared" si="11"/>
        <v>32331.210916602136</v>
      </c>
      <c r="C44" s="2">
        <f t="shared" si="12"/>
        <v>52255.589759815914</v>
      </c>
      <c r="D44" s="2"/>
      <c r="E44" s="2"/>
      <c r="F44" s="2">
        <f t="shared" si="13"/>
        <v>23846.226378990104</v>
      </c>
      <c r="G44" s="2"/>
      <c r="H44" s="2">
        <f t="shared" si="14"/>
        <v>36132.894654673051</v>
      </c>
      <c r="I44" s="2">
        <f t="shared" si="43"/>
        <v>144565.92171008119</v>
      </c>
      <c r="J44" s="2">
        <f t="shared" si="15"/>
        <v>12179.661947976478</v>
      </c>
      <c r="K44" s="6">
        <f t="shared" si="16"/>
        <v>9.2000952137050104E-2</v>
      </c>
      <c r="L44" s="7">
        <f t="shared" si="17"/>
        <v>1.0920009521370502</v>
      </c>
      <c r="N44">
        <f t="shared" si="18"/>
        <v>1996</v>
      </c>
      <c r="O44" s="2">
        <f t="shared" si="19"/>
        <v>5313.1262468152172</v>
      </c>
      <c r="P44" s="2"/>
      <c r="Q44" s="2"/>
      <c r="R44">
        <f t="shared" si="20"/>
        <v>1996</v>
      </c>
      <c r="S44" s="2">
        <f t="shared" si="21"/>
        <v>31002.929354898333</v>
      </c>
      <c r="T44" s="2">
        <f t="shared" si="21"/>
        <v>50927.308198112107</v>
      </c>
      <c r="U44" s="2"/>
      <c r="V44" s="2"/>
      <c r="W44" s="2">
        <f t="shared" si="7"/>
        <v>22517.944817286301</v>
      </c>
      <c r="X44" s="2"/>
      <c r="Y44" s="2">
        <f t="shared" si="22"/>
        <v>34804.613092969244</v>
      </c>
      <c r="Z44" s="2">
        <f t="shared" si="23"/>
        <v>139252.79546326597</v>
      </c>
      <c r="AA44" s="2">
        <f t="shared" si="24"/>
        <v>12004.955669067655</v>
      </c>
      <c r="AB44" s="6">
        <f t="shared" si="25"/>
        <v>9.4343099957403004E-2</v>
      </c>
      <c r="AC44" s="7">
        <f t="shared" si="26"/>
        <v>1.0943430999574031</v>
      </c>
      <c r="AD44" s="2">
        <f t="shared" si="27"/>
        <v>0</v>
      </c>
      <c r="AE44" s="2"/>
      <c r="AG44">
        <f t="shared" si="28"/>
        <v>1996</v>
      </c>
      <c r="AH44" s="6">
        <f t="shared" si="5"/>
        <v>0.22263775209508607</v>
      </c>
      <c r="AI44" s="38">
        <f t="shared" si="5"/>
        <v>0.36571839027494724</v>
      </c>
      <c r="AJ44" s="7"/>
      <c r="AK44" s="7"/>
      <c r="AL44" s="38">
        <f t="shared" si="29"/>
        <v>0.16170551364784916</v>
      </c>
      <c r="AM44" s="7"/>
      <c r="AN44" s="6">
        <f t="shared" si="30"/>
        <v>0.24993834398211767</v>
      </c>
      <c r="AO44" s="6">
        <f t="shared" si="31"/>
        <v>1</v>
      </c>
      <c r="AP44" s="7">
        <f t="shared" si="32"/>
        <v>0.75006165601788244</v>
      </c>
      <c r="AQ44" s="7">
        <f t="shared" si="33"/>
        <v>0</v>
      </c>
      <c r="AR44" s="24"/>
      <c r="AS44">
        <f t="shared" si="34"/>
        <v>1996</v>
      </c>
      <c r="AT44" s="1" t="b">
        <f t="shared" si="35"/>
        <v>1</v>
      </c>
      <c r="AU44" s="39" t="b">
        <f t="shared" ref="AU44" si="47">AND((T44/$Z44)&gt;0.25,(T44/$Z44)&lt;0.35)</f>
        <v>0</v>
      </c>
      <c r="AX44" s="1" t="b">
        <f t="shared" ref="AX44" si="48">AND((W44/$Z44)&gt;0.15,(W44/$Z44)&lt;0.25)</f>
        <v>1</v>
      </c>
      <c r="AZ44" s="39" t="b">
        <f t="shared" si="37"/>
        <v>0</v>
      </c>
      <c r="BA44" s="1" t="b">
        <f t="shared" si="38"/>
        <v>1</v>
      </c>
      <c r="BC44">
        <f t="shared" si="39"/>
        <v>1996</v>
      </c>
      <c r="BD44" s="40">
        <f>$BK44*BD$39</f>
        <v>27850.559092653195</v>
      </c>
      <c r="BE44" s="40">
        <f>$BK44*BE$39</f>
        <v>41775.838638979789</v>
      </c>
      <c r="BF44" s="2"/>
      <c r="BG44" s="2"/>
      <c r="BH44" s="40">
        <f>$BK44*BH$39</f>
        <v>27850.559092653195</v>
      </c>
      <c r="BI44" s="2"/>
      <c r="BJ44" s="40">
        <f>$BK44*BJ$39</f>
        <v>41775.838638979789</v>
      </c>
      <c r="BK44" s="2">
        <f t="shared" si="41"/>
        <v>139252.79546326597</v>
      </c>
      <c r="BL44" s="2">
        <f t="shared" si="42"/>
        <v>0</v>
      </c>
      <c r="BM44" s="2"/>
      <c r="BN44" s="2"/>
      <c r="BO44" s="2"/>
      <c r="BP44" s="2"/>
      <c r="BQ44" s="2"/>
      <c r="BR44" s="2"/>
      <c r="BS44" s="2"/>
      <c r="BT44" s="2"/>
    </row>
    <row r="45" spans="1:72" x14ac:dyDescent="0.25">
      <c r="A45">
        <f t="shared" si="6"/>
        <v>1997</v>
      </c>
      <c r="B45" s="2">
        <f t="shared" si="11"/>
        <v>37094.159655504795</v>
      </c>
      <c r="C45" s="2">
        <f t="shared" si="12"/>
        <v>52924.556696564323</v>
      </c>
      <c r="D45" s="2"/>
      <c r="E45" s="2"/>
      <c r="F45" s="2"/>
      <c r="G45" s="2">
        <f>BH44*(1+(G9/100))</f>
        <v>27850.559092653195</v>
      </c>
      <c r="H45" s="2">
        <f t="shared" si="14"/>
        <v>45719.477806499483</v>
      </c>
      <c r="I45" s="2">
        <f t="shared" si="43"/>
        <v>163588.75325122179</v>
      </c>
      <c r="J45" s="2">
        <f t="shared" si="15"/>
        <v>19022.831541140593</v>
      </c>
      <c r="K45" s="6">
        <f t="shared" si="16"/>
        <v>0.13158586280997681</v>
      </c>
      <c r="L45" s="7">
        <f t="shared" si="17"/>
        <v>1.1315858628099769</v>
      </c>
      <c r="N45">
        <f t="shared" si="18"/>
        <v>1997</v>
      </c>
      <c r="O45" s="2">
        <f t="shared" si="19"/>
        <v>5403.4493930110757</v>
      </c>
      <c r="P45" s="2"/>
      <c r="Q45" s="2"/>
      <c r="R45">
        <f t="shared" si="20"/>
        <v>1997</v>
      </c>
      <c r="S45" s="2">
        <f t="shared" si="21"/>
        <v>35743.297307252025</v>
      </c>
      <c r="T45" s="2">
        <f t="shared" si="21"/>
        <v>51573.694348311554</v>
      </c>
      <c r="U45" s="2"/>
      <c r="V45" s="2"/>
      <c r="W45" s="2"/>
      <c r="X45" s="2">
        <f t="shared" ref="X45:X46" si="49">G45-($O45/4)</f>
        <v>26499.696744400426</v>
      </c>
      <c r="Y45" s="2">
        <f t="shared" si="22"/>
        <v>44368.615458246713</v>
      </c>
      <c r="Z45" s="2">
        <f t="shared" si="23"/>
        <v>158185.30385821074</v>
      </c>
      <c r="AA45" s="2">
        <f t="shared" si="24"/>
        <v>18932.508394944773</v>
      </c>
      <c r="AB45" s="6">
        <f t="shared" si="25"/>
        <v>0.1359578336072905</v>
      </c>
      <c r="AC45" s="7">
        <f t="shared" si="26"/>
        <v>1.1359578336072904</v>
      </c>
      <c r="AD45" s="2">
        <f t="shared" si="27"/>
        <v>0</v>
      </c>
      <c r="AE45" s="2"/>
      <c r="AG45">
        <f t="shared" si="28"/>
        <v>1997</v>
      </c>
      <c r="AH45" s="6">
        <f t="shared" si="5"/>
        <v>0.22595839458822609</v>
      </c>
      <c r="AI45" s="6">
        <f t="shared" si="5"/>
        <v>0.32603341201999136</v>
      </c>
      <c r="AJ45" s="7"/>
      <c r="AK45" s="7"/>
      <c r="AL45" s="6">
        <f t="shared" si="29"/>
        <v>0</v>
      </c>
      <c r="AM45" s="7"/>
      <c r="AN45" s="6">
        <f t="shared" si="30"/>
        <v>0.28048506641310045</v>
      </c>
      <c r="AO45" s="6">
        <f t="shared" si="31"/>
        <v>0.8324768730213179</v>
      </c>
      <c r="AP45" s="7">
        <f t="shared" si="32"/>
        <v>0.55199180660821745</v>
      </c>
      <c r="AQ45" s="7">
        <f t="shared" si="33"/>
        <v>0</v>
      </c>
      <c r="AR45" s="24"/>
      <c r="AS45">
        <f t="shared" si="34"/>
        <v>1997</v>
      </c>
      <c r="AT45" s="1" t="b">
        <f t="shared" si="35"/>
        <v>1</v>
      </c>
      <c r="AU45" s="1" t="b">
        <f t="shared" si="36"/>
        <v>1</v>
      </c>
      <c r="AX45" s="1"/>
      <c r="AY45" s="1" t="b">
        <f t="shared" ref="AY45:AY64" si="50">AND((X45/$Z45)&gt;0.15,(X45/$Z45)&lt;0.25)</f>
        <v>1</v>
      </c>
      <c r="AZ45" s="1" t="b">
        <f t="shared" si="37"/>
        <v>1</v>
      </c>
      <c r="BA45" s="1" t="b">
        <f t="shared" si="38"/>
        <v>1</v>
      </c>
      <c r="BC45">
        <f t="shared" si="39"/>
        <v>1997</v>
      </c>
      <c r="BD45" s="2">
        <f t="shared" ref="BD45:BE64" si="51">S45</f>
        <v>35743.297307252025</v>
      </c>
      <c r="BE45" s="2">
        <f t="shared" si="51"/>
        <v>51573.694348311554</v>
      </c>
      <c r="BF45" s="2"/>
      <c r="BG45" s="2"/>
      <c r="BH45" s="2"/>
      <c r="BI45" s="2">
        <f t="shared" ref="BI45:BJ47" si="52">X45</f>
        <v>26499.696744400426</v>
      </c>
      <c r="BJ45" s="2">
        <f>Y45</f>
        <v>44368.615458246713</v>
      </c>
      <c r="BK45" s="2">
        <f t="shared" si="41"/>
        <v>158185.30385821074</v>
      </c>
      <c r="BL45" s="2">
        <f t="shared" si="42"/>
        <v>0</v>
      </c>
      <c r="BM45" s="2"/>
    </row>
    <row r="46" spans="1:72" x14ac:dyDescent="0.25">
      <c r="A46">
        <f t="shared" si="6"/>
        <v>1998</v>
      </c>
      <c r="B46" s="2">
        <f t="shared" si="11"/>
        <v>45987.326315510458</v>
      </c>
      <c r="C46" s="2">
        <f t="shared" si="12"/>
        <v>55881.645037226022</v>
      </c>
      <c r="D46" s="2"/>
      <c r="E46" s="2"/>
      <c r="F46" s="2"/>
      <c r="G46" s="2">
        <f t="shared" ref="G46:G64" si="53">BI45*(1+(G10/100))</f>
        <v>26499.696744400426</v>
      </c>
      <c r="H46" s="2">
        <f t="shared" si="14"/>
        <v>48175.442664564289</v>
      </c>
      <c r="I46" s="2">
        <f t="shared" si="43"/>
        <v>176544.11076170119</v>
      </c>
      <c r="J46" s="2">
        <f t="shared" si="15"/>
        <v>12955.3575104794</v>
      </c>
      <c r="K46" s="6">
        <f t="shared" si="16"/>
        <v>7.9194671106662035E-2</v>
      </c>
      <c r="L46" s="7">
        <f t="shared" si="17"/>
        <v>1.079194671106662</v>
      </c>
      <c r="N46">
        <f t="shared" si="18"/>
        <v>1998</v>
      </c>
      <c r="O46" s="2">
        <f t="shared" si="19"/>
        <v>5489.9045832992533</v>
      </c>
      <c r="P46" s="2"/>
      <c r="Q46" s="2"/>
      <c r="R46">
        <f t="shared" si="20"/>
        <v>1998</v>
      </c>
      <c r="S46" s="2">
        <f t="shared" ref="S46" si="54">B46-($O46/4)</f>
        <v>44614.850169685647</v>
      </c>
      <c r="T46" s="2">
        <f t="shared" ref="T46" si="55">C46-($O46/4)</f>
        <v>54509.168891401212</v>
      </c>
      <c r="U46" s="2"/>
      <c r="V46" s="2"/>
      <c r="W46" s="2"/>
      <c r="X46" s="2">
        <f t="shared" si="49"/>
        <v>25127.220598575612</v>
      </c>
      <c r="Y46" s="2">
        <f t="shared" ref="Y46" si="56">H46-($O46/4)</f>
        <v>46802.966518739478</v>
      </c>
      <c r="Z46" s="2">
        <f t="shared" si="23"/>
        <v>171054.20617840195</v>
      </c>
      <c r="AA46" s="2">
        <f t="shared" si="24"/>
        <v>12868.902320191206</v>
      </c>
      <c r="AB46" s="6">
        <f t="shared" si="25"/>
        <v>8.1353336917607946E-2</v>
      </c>
      <c r="AC46" s="7">
        <f t="shared" si="26"/>
        <v>1.081353336917608</v>
      </c>
      <c r="AD46" s="2">
        <f t="shared" si="27"/>
        <v>0</v>
      </c>
      <c r="AE46" s="2"/>
      <c r="AG46">
        <f t="shared" si="28"/>
        <v>1998</v>
      </c>
      <c r="AH46" s="6">
        <f t="shared" si="5"/>
        <v>0.26082287694904349</v>
      </c>
      <c r="AI46" s="6">
        <f t="shared" si="5"/>
        <v>0.31866605393234571</v>
      </c>
      <c r="AJ46" s="7"/>
      <c r="AK46" s="7"/>
      <c r="AL46" s="6"/>
      <c r="AM46" s="6">
        <f t="shared" si="29"/>
        <v>0.1468962451140724</v>
      </c>
      <c r="AN46" s="6">
        <f t="shared" si="30"/>
        <v>0.2736148240045384</v>
      </c>
      <c r="AO46" s="6">
        <f t="shared" si="31"/>
        <v>1</v>
      </c>
      <c r="AP46" s="7">
        <f t="shared" si="32"/>
        <v>0.7263851759954616</v>
      </c>
      <c r="AQ46" s="7">
        <f t="shared" si="33"/>
        <v>0</v>
      </c>
      <c r="AR46" s="24"/>
      <c r="AS46">
        <f t="shared" si="34"/>
        <v>1998</v>
      </c>
      <c r="AT46" s="39" t="b">
        <f t="shared" si="35"/>
        <v>0</v>
      </c>
      <c r="AU46" s="39" t="b">
        <f t="shared" si="36"/>
        <v>1</v>
      </c>
      <c r="AX46" s="1"/>
      <c r="AY46" s="39" t="b">
        <f t="shared" si="50"/>
        <v>0</v>
      </c>
      <c r="AZ46" s="39" t="b">
        <f t="shared" si="37"/>
        <v>1</v>
      </c>
      <c r="BA46" s="1" t="b">
        <f t="shared" si="38"/>
        <v>1</v>
      </c>
      <c r="BC46">
        <f t="shared" si="39"/>
        <v>1998</v>
      </c>
      <c r="BD46" s="40">
        <f>$BK46*BD$39</f>
        <v>34210.841235680389</v>
      </c>
      <c r="BE46" s="40">
        <f>$BK46*BE$39</f>
        <v>51316.261853520584</v>
      </c>
      <c r="BF46" s="2"/>
      <c r="BG46" s="2"/>
      <c r="BH46" s="62"/>
      <c r="BI46" s="40">
        <f t="shared" ref="BI46:BJ48" si="57">$BK46*BI$39</f>
        <v>34210.841235680389</v>
      </c>
      <c r="BJ46" s="40">
        <f t="shared" si="57"/>
        <v>51316.261853520584</v>
      </c>
      <c r="BK46" s="2">
        <f t="shared" si="41"/>
        <v>171054.20617840195</v>
      </c>
      <c r="BL46" s="2">
        <f t="shared" si="42"/>
        <v>0</v>
      </c>
      <c r="BM46" s="2"/>
    </row>
    <row r="47" spans="1:72" x14ac:dyDescent="0.25">
      <c r="A47">
        <f t="shared" si="6"/>
        <v>1999</v>
      </c>
      <c r="B47" s="2">
        <f t="shared" si="11"/>
        <v>41419.065484038249</v>
      </c>
      <c r="C47" s="2">
        <f t="shared" si="12"/>
        <v>51316.261853520584</v>
      </c>
      <c r="D47" s="2">
        <f>($BE46*0.67)*(1+(D11/100))</f>
        <v>34381.895441858796</v>
      </c>
      <c r="E47" s="2">
        <f>($BE46*0.33)*(1+(E11/100))</f>
        <v>16934.366411661795</v>
      </c>
      <c r="F47" s="2"/>
      <c r="G47" s="2">
        <f t="shared" si="53"/>
        <v>44446.382824983608</v>
      </c>
      <c r="H47" s="2">
        <f t="shared" si="14"/>
        <v>50926.258263433825</v>
      </c>
      <c r="I47" s="2">
        <f t="shared" si="43"/>
        <v>239424.23027949687</v>
      </c>
      <c r="J47" s="2">
        <f t="shared" si="15"/>
        <v>62880.119517795683</v>
      </c>
      <c r="K47" s="6">
        <f t="shared" si="16"/>
        <v>0.35617228604510698</v>
      </c>
      <c r="L47" s="7">
        <f t="shared" si="17"/>
        <v>1.3561722860451071</v>
      </c>
      <c r="N47">
        <f t="shared" si="18"/>
        <v>1999</v>
      </c>
      <c r="O47" s="2">
        <f t="shared" si="19"/>
        <v>5638.1320070483325</v>
      </c>
      <c r="P47" s="2"/>
      <c r="Q47" s="2"/>
      <c r="R47">
        <f t="shared" si="20"/>
        <v>1999</v>
      </c>
      <c r="S47" s="2">
        <f t="shared" ref="S47:S48" si="58">B47-($O47/5)</f>
        <v>40291.439082628582</v>
      </c>
      <c r="T47" s="2"/>
      <c r="U47" s="2">
        <f t="shared" ref="U47" si="59">D47-($O47/5)</f>
        <v>33254.26904044913</v>
      </c>
      <c r="V47" s="2">
        <f t="shared" ref="V47" si="60">E47-($O47/5)</f>
        <v>15806.740010252128</v>
      </c>
      <c r="W47" s="2"/>
      <c r="X47" s="2">
        <f t="shared" ref="X47:X48" si="61">G47-($O47/5)</f>
        <v>43318.756423573941</v>
      </c>
      <c r="Y47" s="2">
        <f t="shared" ref="Y47:Y48" si="62">H47-($O47/5)</f>
        <v>49798.631862024158</v>
      </c>
      <c r="Z47" s="2">
        <f t="shared" si="23"/>
        <v>182469.83641892794</v>
      </c>
      <c r="AA47" s="2">
        <f t="shared" si="24"/>
        <v>11415.630240525992</v>
      </c>
      <c r="AB47" s="6">
        <f t="shared" si="25"/>
        <v>6.673691630020484E-2</v>
      </c>
      <c r="AC47" s="7">
        <f t="shared" si="26"/>
        <v>1.0667369163002047</v>
      </c>
      <c r="AD47" s="2">
        <f t="shared" si="27"/>
        <v>-51316.261853520613</v>
      </c>
      <c r="AE47" s="2"/>
      <c r="AG47">
        <f t="shared" si="28"/>
        <v>1999</v>
      </c>
      <c r="AH47" s="6">
        <f t="shared" si="5"/>
        <v>0.22081150437447905</v>
      </c>
      <c r="AI47" s="6">
        <f t="shared" si="5"/>
        <v>0</v>
      </c>
      <c r="AJ47" s="7"/>
      <c r="AK47" s="7"/>
      <c r="AL47" s="6"/>
      <c r="AM47" s="6">
        <f t="shared" si="29"/>
        <v>0.23740228672162281</v>
      </c>
      <c r="AN47" s="6">
        <f t="shared" si="30"/>
        <v>0.27291432293331336</v>
      </c>
      <c r="AO47" s="6">
        <f t="shared" si="31"/>
        <v>0.73112811402941524</v>
      </c>
      <c r="AP47" s="7">
        <f t="shared" si="32"/>
        <v>0.45821379109610183</v>
      </c>
      <c r="AQ47" s="7">
        <f t="shared" si="33"/>
        <v>0</v>
      </c>
      <c r="AR47" s="24"/>
      <c r="AS47">
        <f t="shared" si="34"/>
        <v>1999</v>
      </c>
      <c r="AT47" s="1" t="b">
        <f t="shared" si="35"/>
        <v>1</v>
      </c>
      <c r="AU47" s="1"/>
      <c r="AV47" s="1" t="b">
        <f>AND((U47/$Z47)&gt;0.15,(U47/$Z47)&lt;0.25)</f>
        <v>1</v>
      </c>
      <c r="AW47" s="1" t="b">
        <f>AND((V47/$Z47)&gt;0.05,(V47/$Z47)&lt;0.15)</f>
        <v>1</v>
      </c>
      <c r="AX47" s="1"/>
      <c r="AY47" s="1" t="b">
        <f t="shared" si="50"/>
        <v>1</v>
      </c>
      <c r="AZ47" s="1" t="b">
        <f t="shared" si="37"/>
        <v>1</v>
      </c>
      <c r="BA47" s="1" t="b">
        <f t="shared" si="38"/>
        <v>1</v>
      </c>
      <c r="BC47">
        <f t="shared" si="39"/>
        <v>1999</v>
      </c>
      <c r="BD47" s="2">
        <f t="shared" ref="BD47" si="63">S47</f>
        <v>40291.439082628582</v>
      </c>
      <c r="BE47" s="2"/>
      <c r="BF47" s="2">
        <f t="shared" ref="BF47" si="64">U47</f>
        <v>33254.26904044913</v>
      </c>
      <c r="BG47" s="2">
        <f t="shared" ref="BG47" si="65">V47</f>
        <v>15806.740010252128</v>
      </c>
      <c r="BH47" s="62"/>
      <c r="BI47" s="2">
        <f t="shared" si="52"/>
        <v>43318.756423573941</v>
      </c>
      <c r="BJ47" s="2">
        <f t="shared" si="52"/>
        <v>49798.631862024158</v>
      </c>
      <c r="BK47" s="2">
        <f t="shared" si="41"/>
        <v>182469.83641892794</v>
      </c>
      <c r="BL47" s="2">
        <f t="shared" si="42"/>
        <v>0</v>
      </c>
      <c r="BM47" s="2"/>
    </row>
    <row r="48" spans="1:72" x14ac:dyDescent="0.25">
      <c r="A48">
        <f t="shared" si="6"/>
        <v>2000</v>
      </c>
      <c r="B48" s="2">
        <f t="shared" si="11"/>
        <v>36641.034701742428</v>
      </c>
      <c r="C48" s="2"/>
      <c r="D48" s="2">
        <f t="shared" ref="D48:D51" si="66">BF47*(1+(D12/100))</f>
        <v>33254.26904044913</v>
      </c>
      <c r="E48" s="2">
        <f t="shared" ref="E48:E51" si="67">BG47*(1+(E12/100))</f>
        <v>15806.740010252128</v>
      </c>
      <c r="F48" s="2"/>
      <c r="G48" s="2">
        <f t="shared" si="53"/>
        <v>36554.965795597105</v>
      </c>
      <c r="H48" s="2">
        <f t="shared" si="14"/>
        <v>55470.696031108717</v>
      </c>
      <c r="I48" s="2">
        <f t="shared" si="43"/>
        <v>177727.70557914951</v>
      </c>
      <c r="J48" s="2">
        <f t="shared" si="15"/>
        <v>-61696.524700347363</v>
      </c>
      <c r="K48" s="6">
        <f t="shared" si="16"/>
        <v>-0.25768705459896285</v>
      </c>
      <c r="L48" s="7">
        <f t="shared" si="17"/>
        <v>0.74231294540103709</v>
      </c>
      <c r="N48">
        <f t="shared" si="18"/>
        <v>2000</v>
      </c>
      <c r="O48" s="2">
        <f t="shared" si="19"/>
        <v>5829.8284952879758</v>
      </c>
      <c r="P48" s="2"/>
      <c r="Q48" s="2"/>
      <c r="R48">
        <f t="shared" si="20"/>
        <v>2000</v>
      </c>
      <c r="S48" s="2">
        <f t="shared" si="58"/>
        <v>35475.069002684832</v>
      </c>
      <c r="T48" s="2"/>
      <c r="U48" s="2">
        <f t="shared" ref="U48" si="68">D48-($O48/5)</f>
        <v>32088.303341391533</v>
      </c>
      <c r="V48" s="2">
        <f t="shared" ref="V48" si="69">E48-($O48/5)</f>
        <v>14640.774311194533</v>
      </c>
      <c r="W48" s="2"/>
      <c r="X48" s="2">
        <f t="shared" si="61"/>
        <v>35389.000096539508</v>
      </c>
      <c r="Y48" s="2">
        <f t="shared" si="62"/>
        <v>54304.73033205112</v>
      </c>
      <c r="Z48" s="2">
        <f t="shared" si="23"/>
        <v>171897.87708386153</v>
      </c>
      <c r="AA48" s="2">
        <f t="shared" si="24"/>
        <v>-10571.959335066407</v>
      </c>
      <c r="AB48" s="6">
        <f t="shared" si="25"/>
        <v>-5.7938120308249248E-2</v>
      </c>
      <c r="AC48" s="7">
        <f t="shared" si="26"/>
        <v>0.9420618796917507</v>
      </c>
      <c r="AD48" s="2">
        <f t="shared" si="27"/>
        <v>0</v>
      </c>
      <c r="AE48" s="2"/>
      <c r="AG48">
        <f t="shared" si="28"/>
        <v>2000</v>
      </c>
      <c r="AH48" s="6">
        <f t="shared" si="5"/>
        <v>0.2063729326068296</v>
      </c>
      <c r="AI48" s="6">
        <f t="shared" si="5"/>
        <v>0</v>
      </c>
      <c r="AJ48" s="6">
        <f t="shared" ref="AJ48:AJ52" si="70">U48/$Z48</f>
        <v>0.18667073663589828</v>
      </c>
      <c r="AK48" s="6">
        <f t="shared" ref="AK48:AK52" si="71">V48/$Z48</f>
        <v>8.5171350336408949E-2</v>
      </c>
      <c r="AL48" s="6"/>
      <c r="AM48" s="6">
        <f t="shared" si="29"/>
        <v>0.20587223470639343</v>
      </c>
      <c r="AN48" s="38">
        <f t="shared" si="30"/>
        <v>0.3159127457144697</v>
      </c>
      <c r="AO48" s="6">
        <f t="shared" si="31"/>
        <v>1</v>
      </c>
      <c r="AP48" s="7">
        <f t="shared" si="32"/>
        <v>0.6840872542855303</v>
      </c>
      <c r="AQ48" s="7">
        <f t="shared" si="33"/>
        <v>0</v>
      </c>
      <c r="AR48" s="24"/>
      <c r="AS48">
        <f t="shared" si="34"/>
        <v>2000</v>
      </c>
      <c r="AT48" s="1" t="b">
        <f t="shared" ref="AT48" si="72">AND((S48/$Z48)&gt;0.15,(S48/$Z48)&lt;0.25)</f>
        <v>1</v>
      </c>
      <c r="AU48" s="84"/>
      <c r="AV48" s="1" t="b">
        <f t="shared" ref="AV48:AV50" si="73">AND((U48/$Z48)&gt;0.15,(U48/$Z48)&lt;0.25)</f>
        <v>1</v>
      </c>
      <c r="AW48" s="1" t="b">
        <f t="shared" ref="AW48:AW50" si="74">AND((V48/$Z48)&gt;0.05,(V48/$Z48)&lt;0.15)</f>
        <v>1</v>
      </c>
      <c r="AX48" s="1"/>
      <c r="AY48" s="1" t="b">
        <f t="shared" si="50"/>
        <v>1</v>
      </c>
      <c r="AZ48" s="1" t="b">
        <f t="shared" ref="AZ48" si="75">AND((Y48/$Z48)&gt;0.25,(Y48/$Z48)&lt;0.35)</f>
        <v>1</v>
      </c>
      <c r="BA48" s="1" t="b">
        <f t="shared" si="38"/>
        <v>1</v>
      </c>
      <c r="BC48">
        <f t="shared" si="39"/>
        <v>2000</v>
      </c>
      <c r="BD48" s="62">
        <f>$BK48*BD$39</f>
        <v>34379.575416772306</v>
      </c>
      <c r="BE48" s="62"/>
      <c r="BF48" s="62">
        <f t="shared" ref="BF48:BG48" si="76">$BK48*BF$39</f>
        <v>34379.575416772306</v>
      </c>
      <c r="BG48" s="62">
        <f t="shared" si="76"/>
        <v>17189.787708386153</v>
      </c>
      <c r="BH48" s="62"/>
      <c r="BI48" s="62">
        <f>$BK48*BI$39</f>
        <v>34379.575416772306</v>
      </c>
      <c r="BJ48" s="62">
        <f t="shared" si="57"/>
        <v>51569.363125158459</v>
      </c>
      <c r="BK48" s="2">
        <f t="shared" si="41"/>
        <v>171897.87708386153</v>
      </c>
      <c r="BL48" s="2">
        <f t="shared" si="42"/>
        <v>0</v>
      </c>
      <c r="BM48" s="2"/>
    </row>
    <row r="49" spans="1:65" x14ac:dyDescent="0.25">
      <c r="A49">
        <f t="shared" si="6"/>
        <v>2001</v>
      </c>
      <c r="B49" s="2">
        <f t="shared" si="11"/>
        <v>30247.150451676276</v>
      </c>
      <c r="C49" s="2"/>
      <c r="D49" s="2">
        <f t="shared" si="66"/>
        <v>34208.021335442609</v>
      </c>
      <c r="E49" s="2">
        <f t="shared" si="67"/>
        <v>17722.671127346122</v>
      </c>
      <c r="F49" s="2"/>
      <c r="G49" s="2">
        <f t="shared" si="53"/>
        <v>27451.059583030183</v>
      </c>
      <c r="H49" s="2">
        <f t="shared" si="14"/>
        <v>55916.660436609316</v>
      </c>
      <c r="I49" s="2">
        <f t="shared" si="43"/>
        <v>165545.56293410453</v>
      </c>
      <c r="J49" s="2">
        <f t="shared" si="15"/>
        <v>-12182.14264504498</v>
      </c>
      <c r="K49" s="6">
        <f t="shared" si="16"/>
        <v>-6.8543858175335343E-2</v>
      </c>
      <c r="L49" s="7">
        <f t="shared" si="17"/>
        <v>0.93145614182466463</v>
      </c>
      <c r="N49">
        <f t="shared" si="18"/>
        <v>2001</v>
      </c>
      <c r="O49" s="2">
        <f t="shared" si="19"/>
        <v>5923.1057512125835</v>
      </c>
      <c r="P49" s="2"/>
      <c r="Q49" s="2"/>
      <c r="R49">
        <f t="shared" si="20"/>
        <v>2001</v>
      </c>
      <c r="S49" s="2">
        <f t="shared" ref="S49" si="77">B49-($O49/5)</f>
        <v>29062.529301433759</v>
      </c>
      <c r="T49" s="2"/>
      <c r="U49" s="2">
        <f t="shared" ref="U49" si="78">D49-($O49/5)</f>
        <v>33023.400185200095</v>
      </c>
      <c r="V49" s="2">
        <f t="shared" ref="V49" si="79">E49-($O49/5)</f>
        <v>16538.049977103605</v>
      </c>
      <c r="W49" s="2"/>
      <c r="X49" s="2">
        <f t="shared" ref="X49" si="80">G49-($O49/5)</f>
        <v>26266.438432787665</v>
      </c>
      <c r="Y49" s="2">
        <f t="shared" ref="Y49" si="81">H49-($O49/5)</f>
        <v>54732.039286366802</v>
      </c>
      <c r="Z49" s="2">
        <f t="shared" si="23"/>
        <v>159622.45718289193</v>
      </c>
      <c r="AA49" s="2">
        <f t="shared" si="24"/>
        <v>-12275.419900969602</v>
      </c>
      <c r="AB49" s="6">
        <f t="shared" si="25"/>
        <v>-7.1411119841700871E-2</v>
      </c>
      <c r="AC49" s="7">
        <f t="shared" si="26"/>
        <v>0.9285888801582991</v>
      </c>
      <c r="AD49" s="2">
        <f t="shared" si="27"/>
        <v>0</v>
      </c>
      <c r="AE49" s="2"/>
      <c r="AG49">
        <f t="shared" si="28"/>
        <v>2001</v>
      </c>
      <c r="AH49" s="6">
        <f t="shared" si="5"/>
        <v>0.18207042927634265</v>
      </c>
      <c r="AI49" s="6">
        <f t="shared" si="5"/>
        <v>0</v>
      </c>
      <c r="AJ49" s="6">
        <f t="shared" si="70"/>
        <v>0.20688442446016606</v>
      </c>
      <c r="AK49" s="6">
        <f t="shared" si="71"/>
        <v>0.10360728852929928</v>
      </c>
      <c r="AL49" s="6"/>
      <c r="AM49" s="6">
        <f t="shared" si="29"/>
        <v>0.16455352772005102</v>
      </c>
      <c r="AN49" s="6">
        <f t="shared" si="30"/>
        <v>0.34288433001414098</v>
      </c>
      <c r="AO49" s="6">
        <f t="shared" si="31"/>
        <v>1</v>
      </c>
      <c r="AP49" s="7">
        <f t="shared" si="32"/>
        <v>0.65711566998585902</v>
      </c>
      <c r="AQ49" s="7">
        <f t="shared" si="33"/>
        <v>0</v>
      </c>
      <c r="AR49" s="24"/>
      <c r="AS49">
        <f t="shared" si="34"/>
        <v>2001</v>
      </c>
      <c r="AT49" s="1" t="b">
        <f t="shared" si="35"/>
        <v>1</v>
      </c>
      <c r="AU49" s="1"/>
      <c r="AV49" s="1" t="b">
        <f t="shared" si="73"/>
        <v>1</v>
      </c>
      <c r="AW49" s="1" t="b">
        <f t="shared" si="74"/>
        <v>1</v>
      </c>
      <c r="AX49" s="1"/>
      <c r="AY49" s="1" t="b">
        <f t="shared" si="50"/>
        <v>1</v>
      </c>
      <c r="AZ49" s="1" t="b">
        <f t="shared" si="37"/>
        <v>1</v>
      </c>
      <c r="BA49" s="1" t="b">
        <f t="shared" si="38"/>
        <v>1</v>
      </c>
      <c r="BC49">
        <f t="shared" si="39"/>
        <v>2001</v>
      </c>
      <c r="BD49" s="2">
        <f t="shared" ref="BD49:BD50" si="82">S49</f>
        <v>29062.529301433759</v>
      </c>
      <c r="BE49" s="2"/>
      <c r="BF49" s="2">
        <f t="shared" ref="BF49:BF50" si="83">U49</f>
        <v>33023.400185200095</v>
      </c>
      <c r="BG49" s="2">
        <f t="shared" ref="BG49:BG50" si="84">V49</f>
        <v>16538.049977103605</v>
      </c>
      <c r="BH49" s="2"/>
      <c r="BI49" s="2">
        <f>X49</f>
        <v>26266.438432787665</v>
      </c>
      <c r="BJ49" s="2">
        <f t="shared" ref="BJ49:BJ50" si="85">Y49</f>
        <v>54732.039286366802</v>
      </c>
      <c r="BK49" s="2">
        <f t="shared" si="41"/>
        <v>159622.45718289193</v>
      </c>
      <c r="BL49" s="2">
        <f t="shared" si="42"/>
        <v>0</v>
      </c>
      <c r="BM49" s="2"/>
    </row>
    <row r="50" spans="1:65" x14ac:dyDescent="0.25">
      <c r="A50">
        <f t="shared" si="6"/>
        <v>2002</v>
      </c>
      <c r="B50" s="2">
        <f t="shared" si="11"/>
        <v>22625.179061166182</v>
      </c>
      <c r="C50" s="2"/>
      <c r="D50" s="2">
        <f t="shared" si="66"/>
        <v>28199.341886146067</v>
      </c>
      <c r="E50" s="2">
        <f t="shared" si="67"/>
        <v>13226.801610687922</v>
      </c>
      <c r="F50" s="2"/>
      <c r="G50" s="2">
        <f t="shared" si="53"/>
        <v>22304.671523970301</v>
      </c>
      <c r="H50" s="2">
        <f t="shared" si="14"/>
        <v>59252.905731420702</v>
      </c>
      <c r="I50" s="2">
        <f t="shared" si="43"/>
        <v>145608.89981339118</v>
      </c>
      <c r="J50" s="2">
        <f t="shared" si="15"/>
        <v>-19936.663120713347</v>
      </c>
      <c r="K50" s="6">
        <f t="shared" si="16"/>
        <v>-0.12043006630536598</v>
      </c>
      <c r="L50" s="7">
        <f t="shared" si="17"/>
        <v>0.87956993369463399</v>
      </c>
      <c r="N50">
        <f t="shared" si="18"/>
        <v>2002</v>
      </c>
      <c r="O50" s="2">
        <f t="shared" si="19"/>
        <v>6071.1833949928978</v>
      </c>
      <c r="P50" s="2"/>
      <c r="Q50" s="2"/>
      <c r="R50">
        <f t="shared" si="20"/>
        <v>2002</v>
      </c>
      <c r="S50" s="2">
        <f t="shared" ref="S50" si="86">B50-($O50/5)</f>
        <v>21410.942382167603</v>
      </c>
      <c r="T50" s="2"/>
      <c r="U50" s="2">
        <f t="shared" ref="U50" si="87">D50-($O50/5)</f>
        <v>26985.105207147488</v>
      </c>
      <c r="V50" s="2">
        <f t="shared" ref="V50" si="88">E50-($O50/5)</f>
        <v>12012.564931689343</v>
      </c>
      <c r="W50" s="2"/>
      <c r="X50" s="2">
        <f t="shared" ref="X50" si="89">G50-($O50/5)</f>
        <v>21090.434844971722</v>
      </c>
      <c r="Y50" s="2">
        <f t="shared" ref="Y50" si="90">H50-($O50/5)</f>
        <v>58038.669052422119</v>
      </c>
      <c r="Z50" s="2">
        <f t="shared" si="23"/>
        <v>139537.71641839825</v>
      </c>
      <c r="AA50" s="2">
        <f t="shared" si="24"/>
        <v>-20084.740764493676</v>
      </c>
      <c r="AB50" s="6">
        <f t="shared" si="25"/>
        <v>-0.12582653543217304</v>
      </c>
      <c r="AC50" s="7">
        <f t="shared" si="26"/>
        <v>0.87417346456782696</v>
      </c>
      <c r="AD50" s="2">
        <f t="shared" si="27"/>
        <v>0</v>
      </c>
      <c r="AE50" s="2"/>
      <c r="AG50">
        <f t="shared" si="28"/>
        <v>2002</v>
      </c>
      <c r="AH50" s="38">
        <f t="shared" si="5"/>
        <v>0.15344197204695359</v>
      </c>
      <c r="AI50" s="6">
        <f t="shared" si="5"/>
        <v>0</v>
      </c>
      <c r="AJ50" s="6">
        <f t="shared" si="70"/>
        <v>0.19338932798809558</v>
      </c>
      <c r="AK50" s="6">
        <f t="shared" si="71"/>
        <v>8.6088300998635722E-2</v>
      </c>
      <c r="AL50" s="7"/>
      <c r="AM50" s="6">
        <f t="shared" si="29"/>
        <v>0.15114504799356826</v>
      </c>
      <c r="AN50" s="6">
        <f t="shared" si="30"/>
        <v>0.41593535097274703</v>
      </c>
      <c r="AO50" s="6">
        <f t="shared" si="31"/>
        <v>1.0000000000000002</v>
      </c>
      <c r="AP50" s="7">
        <f t="shared" si="32"/>
        <v>0.58406464902725319</v>
      </c>
      <c r="AQ50" s="7">
        <f t="shared" si="33"/>
        <v>0</v>
      </c>
      <c r="AR50" s="24"/>
      <c r="AS50">
        <f t="shared" si="34"/>
        <v>2002</v>
      </c>
      <c r="AT50" s="1" t="b">
        <f t="shared" si="35"/>
        <v>1</v>
      </c>
      <c r="AU50" s="1"/>
      <c r="AV50" s="1" t="b">
        <f t="shared" si="73"/>
        <v>1</v>
      </c>
      <c r="AW50" s="1" t="b">
        <f t="shared" si="74"/>
        <v>1</v>
      </c>
      <c r="AX50" s="1"/>
      <c r="AY50" s="1" t="b">
        <f t="shared" si="50"/>
        <v>1</v>
      </c>
      <c r="AZ50" s="39" t="b">
        <f t="shared" si="37"/>
        <v>0</v>
      </c>
      <c r="BA50" s="1" t="b">
        <f t="shared" si="38"/>
        <v>1</v>
      </c>
      <c r="BC50">
        <f t="shared" si="39"/>
        <v>2002</v>
      </c>
      <c r="BD50" s="40">
        <f t="shared" si="82"/>
        <v>21410.942382167603</v>
      </c>
      <c r="BE50" s="2"/>
      <c r="BF50" s="40">
        <f t="shared" si="83"/>
        <v>26985.105207147488</v>
      </c>
      <c r="BG50" s="40">
        <f t="shared" si="84"/>
        <v>12012.564931689343</v>
      </c>
      <c r="BH50" s="2"/>
      <c r="BI50" s="40">
        <f>X50</f>
        <v>21090.434844971722</v>
      </c>
      <c r="BJ50" s="40">
        <f t="shared" si="85"/>
        <v>58038.669052422119</v>
      </c>
      <c r="BK50" s="2">
        <f t="shared" si="41"/>
        <v>139537.71641839825</v>
      </c>
      <c r="BL50" s="2">
        <f t="shared" si="42"/>
        <v>0</v>
      </c>
      <c r="BM50" s="2"/>
    </row>
    <row r="51" spans="1:65" x14ac:dyDescent="0.25">
      <c r="A51">
        <f t="shared" si="6"/>
        <v>2003</v>
      </c>
      <c r="B51" s="2">
        <f t="shared" ref="B51:B64" si="91">BD50*(1+(B15/100))</f>
        <v>27513.060961085368</v>
      </c>
      <c r="C51" s="2"/>
      <c r="D51" s="2">
        <f t="shared" si="66"/>
        <v>36198.359826971784</v>
      </c>
      <c r="E51" s="2">
        <f t="shared" si="67"/>
        <v>17493.658058720557</v>
      </c>
      <c r="F51" s="2"/>
      <c r="G51" s="2">
        <f t="shared" si="53"/>
        <v>29598.316261433312</v>
      </c>
      <c r="H51" s="2">
        <f t="shared" si="14"/>
        <v>60342.804213803283</v>
      </c>
      <c r="I51" s="2">
        <f t="shared" si="43"/>
        <v>171146.19932201429</v>
      </c>
      <c r="J51" s="2">
        <f t="shared" si="15"/>
        <v>25537.299508623109</v>
      </c>
      <c r="K51" s="6">
        <f t="shared" si="16"/>
        <v>0.17538282029018207</v>
      </c>
      <c r="L51" s="7">
        <f t="shared" si="17"/>
        <v>1.1753828202901822</v>
      </c>
      <c r="N51">
        <f t="shared" si="18"/>
        <v>2003</v>
      </c>
      <c r="O51" s="2">
        <f t="shared" si="19"/>
        <v>6192.6070628927555</v>
      </c>
      <c r="P51" s="2"/>
      <c r="Q51" s="2"/>
      <c r="R51">
        <f t="shared" si="20"/>
        <v>2003</v>
      </c>
      <c r="S51" s="2">
        <f>B51-($O51/5)</f>
        <v>26274.539548506818</v>
      </c>
      <c r="T51" s="2"/>
      <c r="U51" s="2">
        <f>D51-($O51/5)</f>
        <v>34959.838414393234</v>
      </c>
      <c r="V51" s="2">
        <f>E51-($O51/5)</f>
        <v>16255.136646142006</v>
      </c>
      <c r="W51" s="2"/>
      <c r="X51" s="2">
        <f>G51-($O51/5)</f>
        <v>28359.794848854763</v>
      </c>
      <c r="Y51" s="2">
        <f>H51-($O51/5)</f>
        <v>59104.282801224734</v>
      </c>
      <c r="Z51" s="2">
        <f t="shared" si="23"/>
        <v>164953.59225912156</v>
      </c>
      <c r="AA51" s="2">
        <f t="shared" si="24"/>
        <v>25415.875840723311</v>
      </c>
      <c r="AB51" s="6">
        <f t="shared" si="25"/>
        <v>0.18214341249870269</v>
      </c>
      <c r="AC51" s="7">
        <f t="shared" si="26"/>
        <v>1.1821434124987027</v>
      </c>
      <c r="AD51" s="2">
        <f t="shared" si="27"/>
        <v>0</v>
      </c>
      <c r="AE51" s="2"/>
      <c r="AG51">
        <f t="shared" si="28"/>
        <v>2003</v>
      </c>
      <c r="AH51" s="6">
        <f t="shared" si="5"/>
        <v>0.15928443381355883</v>
      </c>
      <c r="AI51" s="7"/>
      <c r="AJ51" s="6">
        <f t="shared" si="70"/>
        <v>0.21193741788584802</v>
      </c>
      <c r="AK51" s="6">
        <f t="shared" si="71"/>
        <v>9.8543695978485932E-2</v>
      </c>
      <c r="AL51" s="7"/>
      <c r="AM51" s="6">
        <f t="shared" si="29"/>
        <v>0.17192590025141771</v>
      </c>
      <c r="AN51" s="6">
        <f t="shared" si="30"/>
        <v>0.35830855207068946</v>
      </c>
      <c r="AO51" s="6">
        <f t="shared" si="31"/>
        <v>1</v>
      </c>
      <c r="AP51" s="7">
        <f t="shared" si="32"/>
        <v>0.64169144792931054</v>
      </c>
      <c r="AQ51" s="7">
        <f t="shared" si="33"/>
        <v>0</v>
      </c>
      <c r="AR51" s="24"/>
      <c r="AS51">
        <f t="shared" si="34"/>
        <v>2003</v>
      </c>
      <c r="AT51" s="1" t="b">
        <f t="shared" si="35"/>
        <v>1</v>
      </c>
      <c r="AU51" s="1"/>
      <c r="AV51" s="1" t="b">
        <f>AND((U51/$Z51)&gt;0.15,(U51/$Z51)&lt;0.25)</f>
        <v>1</v>
      </c>
      <c r="AW51" s="1" t="b">
        <f>AND((V51/$Z51)&gt;0.05,(V51/$Z51)&lt;0.15)</f>
        <v>1</v>
      </c>
      <c r="AY51" s="1" t="b">
        <f t="shared" si="50"/>
        <v>1</v>
      </c>
      <c r="AZ51" s="39" t="b">
        <f t="shared" si="37"/>
        <v>0</v>
      </c>
      <c r="BA51" s="1" t="b">
        <f t="shared" si="38"/>
        <v>1</v>
      </c>
      <c r="BC51">
        <f t="shared" si="39"/>
        <v>2003</v>
      </c>
      <c r="BD51" s="40">
        <f>$BK51*BD$39</f>
        <v>32990.718451824316</v>
      </c>
      <c r="BE51" s="2"/>
      <c r="BF51" s="40">
        <f t="shared" ref="BF51:BG51" si="92">$BK51*BF$39</f>
        <v>32990.718451824316</v>
      </c>
      <c r="BG51" s="40">
        <f t="shared" si="92"/>
        <v>16495.359225912158</v>
      </c>
      <c r="BH51" s="2"/>
      <c r="BI51" s="40">
        <f>$BK51*BI$39</f>
        <v>32990.718451824316</v>
      </c>
      <c r="BJ51" s="40">
        <f t="shared" ref="BJ51" si="93">$BK51*BJ$39</f>
        <v>49486.077677736466</v>
      </c>
      <c r="BK51" s="2">
        <f t="shared" si="41"/>
        <v>164953.59225912156</v>
      </c>
      <c r="BL51" s="2">
        <f t="shared" si="42"/>
        <v>0</v>
      </c>
      <c r="BM51" s="2"/>
    </row>
    <row r="52" spans="1:65" x14ac:dyDescent="0.25">
      <c r="A52">
        <f t="shared" si="6"/>
        <v>2004</v>
      </c>
      <c r="B52" s="2">
        <f t="shared" si="91"/>
        <v>36533.921613550243</v>
      </c>
      <c r="C52" s="2"/>
      <c r="D52" s="2">
        <f t="shared" ref="D52:D64" si="94">BF51*(1+(D16/100))</f>
        <v>39705.319378324115</v>
      </c>
      <c r="E52" s="2">
        <f t="shared" ref="E52:E64" si="95">BG51*(1+(E16/100))</f>
        <v>19777.440851091902</v>
      </c>
      <c r="F52" s="2"/>
      <c r="G52" s="2">
        <f t="shared" si="53"/>
        <v>39864.994455630949</v>
      </c>
      <c r="H52" s="2">
        <f t="shared" si="14"/>
        <v>51584.28737127249</v>
      </c>
      <c r="I52" s="2">
        <f t="shared" si="43"/>
        <v>187465.9636698697</v>
      </c>
      <c r="J52" s="2">
        <f t="shared" si="15"/>
        <v>16319.764347855409</v>
      </c>
      <c r="K52" s="6">
        <f t="shared" si="16"/>
        <v>9.5355692457706948E-2</v>
      </c>
      <c r="L52" s="7">
        <f t="shared" si="17"/>
        <v>1.095355692457707</v>
      </c>
      <c r="N52">
        <f t="shared" si="18"/>
        <v>2004</v>
      </c>
      <c r="O52" s="2">
        <f t="shared" si="19"/>
        <v>6396.9630959682163</v>
      </c>
      <c r="P52" s="2"/>
      <c r="Q52" s="2"/>
      <c r="R52">
        <f t="shared" si="20"/>
        <v>2004</v>
      </c>
      <c r="S52" s="2">
        <f t="shared" ref="S52:S64" si="96">B52-($O52/5)</f>
        <v>35254.528994356602</v>
      </c>
      <c r="T52" s="2"/>
      <c r="U52" s="2">
        <f t="shared" ref="U52:V64" si="97">D52-($O52/5)</f>
        <v>38425.926759130474</v>
      </c>
      <c r="V52" s="2">
        <f t="shared" si="97"/>
        <v>18498.048231898258</v>
      </c>
      <c r="W52" s="2"/>
      <c r="X52" s="2">
        <f t="shared" ref="X52:Y64" si="98">G52-($O52/5)</f>
        <v>38585.601836437309</v>
      </c>
      <c r="Y52" s="2">
        <f t="shared" si="98"/>
        <v>50304.89475207885</v>
      </c>
      <c r="Z52" s="2">
        <f t="shared" si="23"/>
        <v>181069.00057390146</v>
      </c>
      <c r="AA52" s="2">
        <f t="shared" si="24"/>
        <v>16115.408314779896</v>
      </c>
      <c r="AB52" s="6">
        <f t="shared" si="25"/>
        <v>9.7696619358641157E-2</v>
      </c>
      <c r="AC52" s="7">
        <f t="shared" si="26"/>
        <v>1.0976966193586413</v>
      </c>
      <c r="AD52" s="2">
        <f t="shared" si="27"/>
        <v>0</v>
      </c>
      <c r="AE52" s="2"/>
      <c r="AG52">
        <f t="shared" si="28"/>
        <v>2004</v>
      </c>
      <c r="AH52" s="6">
        <f t="shared" si="5"/>
        <v>0.19470217918371857</v>
      </c>
      <c r="AI52" s="7"/>
      <c r="AJ52" s="6">
        <f t="shared" si="70"/>
        <v>0.21221703680552059</v>
      </c>
      <c r="AK52" s="6">
        <f t="shared" si="71"/>
        <v>0.10216021612351292</v>
      </c>
      <c r="AL52" s="7"/>
      <c r="AM52" s="6">
        <f t="shared" si="29"/>
        <v>0.21309888337672128</v>
      </c>
      <c r="AN52" s="6">
        <f t="shared" si="30"/>
        <v>0.2778216845105268</v>
      </c>
      <c r="AO52" s="6">
        <f t="shared" si="31"/>
        <v>1.0000000000000002</v>
      </c>
      <c r="AP52" s="7">
        <f t="shared" si="32"/>
        <v>0.72217831548947342</v>
      </c>
      <c r="AQ52" s="7">
        <f t="shared" si="33"/>
        <v>0</v>
      </c>
      <c r="AR52" s="24"/>
      <c r="AS52">
        <f t="shared" si="34"/>
        <v>2004</v>
      </c>
      <c r="AT52" s="1" t="b">
        <f t="shared" si="35"/>
        <v>1</v>
      </c>
      <c r="AU52" s="1"/>
      <c r="AV52" s="1" t="b">
        <f t="shared" ref="AV52:AV64" si="99">AND((U52/$Z52)&gt;0.15,(U52/$Z52)&lt;0.25)</f>
        <v>1</v>
      </c>
      <c r="AW52" s="1" t="b">
        <f t="shared" ref="AW52:AW64" si="100">AND((V52/$Z52)&gt;0.05,(V52/$Z52)&lt;0.15)</f>
        <v>1</v>
      </c>
      <c r="AY52" s="1" t="b">
        <f t="shared" si="50"/>
        <v>1</v>
      </c>
      <c r="AZ52" s="1" t="b">
        <f t="shared" si="37"/>
        <v>1</v>
      </c>
      <c r="BA52" s="1" t="b">
        <f t="shared" si="38"/>
        <v>1</v>
      </c>
      <c r="BC52">
        <f t="shared" si="39"/>
        <v>2004</v>
      </c>
      <c r="BD52" s="2">
        <f t="shared" ref="BD52" si="101">S52</f>
        <v>35254.528994356602</v>
      </c>
      <c r="BE52" s="2"/>
      <c r="BF52" s="2">
        <f t="shared" ref="BF52" si="102">U52</f>
        <v>38425.926759130474</v>
      </c>
      <c r="BG52" s="2">
        <f t="shared" ref="BG52" si="103">V52</f>
        <v>18498.048231898258</v>
      </c>
      <c r="BH52" s="2"/>
      <c r="BI52" s="2">
        <f t="shared" ref="BI52:BJ53" si="104">X52</f>
        <v>38585.601836437309</v>
      </c>
      <c r="BJ52" s="2">
        <f t="shared" si="104"/>
        <v>50304.89475207885</v>
      </c>
      <c r="BK52" s="2">
        <f t="shared" si="41"/>
        <v>181069.00057390146</v>
      </c>
      <c r="BL52" s="2">
        <f t="shared" si="42"/>
        <v>0</v>
      </c>
      <c r="BM52" s="2"/>
    </row>
    <row r="53" spans="1:65" x14ac:dyDescent="0.25">
      <c r="A53">
        <f t="shared" si="6"/>
        <v>2005</v>
      </c>
      <c r="B53" s="2">
        <f t="shared" si="91"/>
        <v>36936.170027387416</v>
      </c>
      <c r="C53" s="2"/>
      <c r="D53" s="2">
        <f t="shared" si="94"/>
        <v>43779.042615944942</v>
      </c>
      <c r="E53" s="2">
        <f t="shared" si="95"/>
        <v>19860.059523212927</v>
      </c>
      <c r="F53" s="2"/>
      <c r="G53" s="2">
        <f t="shared" si="53"/>
        <v>44593.765898388963</v>
      </c>
      <c r="H53" s="2">
        <f t="shared" si="14"/>
        <v>51512.212226128744</v>
      </c>
      <c r="I53" s="2">
        <f t="shared" si="43"/>
        <v>196681.25029106298</v>
      </c>
      <c r="J53" s="2">
        <f t="shared" si="15"/>
        <v>9215.2866211932851</v>
      </c>
      <c r="K53" s="6">
        <f t="shared" si="16"/>
        <v>4.9157118661932356E-2</v>
      </c>
      <c r="L53" s="7">
        <f t="shared" si="17"/>
        <v>1.0491571186619324</v>
      </c>
      <c r="N53">
        <f t="shared" si="18"/>
        <v>2005</v>
      </c>
      <c r="O53" s="2">
        <f t="shared" si="19"/>
        <v>6608.062878135167</v>
      </c>
      <c r="P53" s="2"/>
      <c r="Q53" s="2"/>
      <c r="R53">
        <f t="shared" si="20"/>
        <v>2005</v>
      </c>
      <c r="S53" s="2">
        <f t="shared" si="96"/>
        <v>35614.557451760382</v>
      </c>
      <c r="T53" s="2"/>
      <c r="U53" s="2">
        <f t="shared" si="97"/>
        <v>42457.430040317908</v>
      </c>
      <c r="V53" s="2">
        <f t="shared" si="97"/>
        <v>18538.446947585893</v>
      </c>
      <c r="W53" s="2"/>
      <c r="X53" s="2">
        <f t="shared" si="98"/>
        <v>43272.153322761929</v>
      </c>
      <c r="Y53" s="2">
        <f t="shared" si="98"/>
        <v>50190.59965050171</v>
      </c>
      <c r="Z53" s="2">
        <f t="shared" si="23"/>
        <v>190073.18741292783</v>
      </c>
      <c r="AA53" s="2">
        <f t="shared" si="24"/>
        <v>9004.1868390263699</v>
      </c>
      <c r="AB53" s="6">
        <f t="shared" si="25"/>
        <v>4.9727931399010529E-2</v>
      </c>
      <c r="AC53" s="7">
        <f t="shared" si="26"/>
        <v>1.0497279313990104</v>
      </c>
      <c r="AD53" s="2">
        <f t="shared" si="27"/>
        <v>0</v>
      </c>
      <c r="AE53" s="2"/>
      <c r="AG53">
        <f t="shared" si="28"/>
        <v>2005</v>
      </c>
      <c r="AH53" s="6">
        <f t="shared" si="5"/>
        <v>0.18737286377162135</v>
      </c>
      <c r="AI53" s="7"/>
      <c r="AJ53" s="6">
        <f t="shared" ref="AJ53:AK64" si="105">U53/$Z53</f>
        <v>0.22337411508799776</v>
      </c>
      <c r="AK53" s="6">
        <f t="shared" si="105"/>
        <v>9.7533203919560302E-2</v>
      </c>
      <c r="AL53" s="7"/>
      <c r="AM53" s="6">
        <f t="shared" si="29"/>
        <v>0.22766048126901023</v>
      </c>
      <c r="AN53" s="59">
        <f t="shared" si="30"/>
        <v>0.2640593359518103</v>
      </c>
      <c r="AO53" s="6">
        <f t="shared" si="31"/>
        <v>0.99999999999999989</v>
      </c>
      <c r="AP53" s="7">
        <f t="shared" si="32"/>
        <v>0.73594066404818959</v>
      </c>
      <c r="AQ53" s="7">
        <f t="shared" si="33"/>
        <v>0</v>
      </c>
      <c r="AR53" s="24"/>
      <c r="AS53">
        <f t="shared" si="34"/>
        <v>2005</v>
      </c>
      <c r="AT53" s="1" t="b">
        <f t="shared" si="35"/>
        <v>1</v>
      </c>
      <c r="AU53" s="1"/>
      <c r="AV53" s="1" t="b">
        <f t="shared" si="99"/>
        <v>1</v>
      </c>
      <c r="AW53" s="1" t="b">
        <f t="shared" si="100"/>
        <v>1</v>
      </c>
      <c r="AY53" s="1" t="b">
        <f t="shared" si="50"/>
        <v>1</v>
      </c>
      <c r="AZ53" s="1" t="b">
        <f t="shared" si="37"/>
        <v>1</v>
      </c>
      <c r="BA53" s="1" t="b">
        <f t="shared" si="38"/>
        <v>1</v>
      </c>
      <c r="BC53">
        <f t="shared" si="39"/>
        <v>2005</v>
      </c>
      <c r="BD53" s="2">
        <f t="shared" ref="BD53" si="106">S53</f>
        <v>35614.557451760382</v>
      </c>
      <c r="BE53" s="2"/>
      <c r="BF53" s="2">
        <f t="shared" ref="BF53" si="107">U53</f>
        <v>42457.430040317908</v>
      </c>
      <c r="BG53" s="2">
        <f t="shared" ref="BG53" si="108">V53</f>
        <v>18538.446947585893</v>
      </c>
      <c r="BH53" s="2"/>
      <c r="BI53" s="2">
        <f t="shared" si="104"/>
        <v>43272.153322761929</v>
      </c>
      <c r="BJ53" s="2">
        <f t="shared" si="104"/>
        <v>50190.59965050171</v>
      </c>
      <c r="BK53" s="2">
        <f t="shared" si="41"/>
        <v>190073.18741292783</v>
      </c>
      <c r="BL53" s="2">
        <f t="shared" si="42"/>
        <v>0</v>
      </c>
      <c r="BM53" s="2"/>
    </row>
    <row r="54" spans="1:65" x14ac:dyDescent="0.25">
      <c r="A54">
        <f t="shared" si="6"/>
        <v>2006</v>
      </c>
      <c r="B54" s="2">
        <f t="shared" si="91"/>
        <v>41184.67423721571</v>
      </c>
      <c r="C54" s="2"/>
      <c r="D54" s="2">
        <f t="shared" si="94"/>
        <v>48230.366802899931</v>
      </c>
      <c r="E54" s="2">
        <f t="shared" si="95"/>
        <v>21440.82620169994</v>
      </c>
      <c r="F54" s="2"/>
      <c r="G54" s="2">
        <f t="shared" si="53"/>
        <v>54798.556803346022</v>
      </c>
      <c r="H54" s="2">
        <f t="shared" si="14"/>
        <v>52333.73825557813</v>
      </c>
      <c r="I54" s="2">
        <f t="shared" si="43"/>
        <v>217988.16230073973</v>
      </c>
      <c r="J54" s="2">
        <f t="shared" si="15"/>
        <v>21306.912009676744</v>
      </c>
      <c r="K54" s="6">
        <f t="shared" si="16"/>
        <v>0.10833219728949887</v>
      </c>
      <c r="L54" s="7">
        <f t="shared" si="17"/>
        <v>1.1083321972894988</v>
      </c>
      <c r="N54">
        <f t="shared" si="18"/>
        <v>2006</v>
      </c>
      <c r="O54" s="2">
        <f t="shared" si="19"/>
        <v>6773.2644500885453</v>
      </c>
      <c r="P54" s="2"/>
      <c r="Q54" s="2"/>
      <c r="R54">
        <f t="shared" si="20"/>
        <v>2006</v>
      </c>
      <c r="S54" s="2">
        <f t="shared" si="96"/>
        <v>39830.021347198002</v>
      </c>
      <c r="T54" s="2"/>
      <c r="U54" s="2">
        <f t="shared" si="97"/>
        <v>46875.713912882224</v>
      </c>
      <c r="V54" s="2">
        <f t="shared" si="97"/>
        <v>20086.173311682229</v>
      </c>
      <c r="W54" s="2"/>
      <c r="X54" s="2">
        <f t="shared" si="98"/>
        <v>53443.903913328315</v>
      </c>
      <c r="Y54" s="2">
        <f t="shared" si="98"/>
        <v>50979.085365560422</v>
      </c>
      <c r="Z54" s="2">
        <f t="shared" si="23"/>
        <v>211214.89785065121</v>
      </c>
      <c r="AA54" s="2">
        <f t="shared" si="24"/>
        <v>21141.710437723377</v>
      </c>
      <c r="AB54" s="6">
        <f t="shared" si="25"/>
        <v>0.1112293150100845</v>
      </c>
      <c r="AC54" s="7">
        <f t="shared" si="26"/>
        <v>1.1112293150100845</v>
      </c>
      <c r="AD54" s="2">
        <f t="shared" si="27"/>
        <v>0</v>
      </c>
      <c r="AE54" s="2"/>
      <c r="AG54">
        <f t="shared" si="28"/>
        <v>2006</v>
      </c>
      <c r="AH54" s="6">
        <f t="shared" si="5"/>
        <v>0.18857581426553335</v>
      </c>
      <c r="AI54" s="7"/>
      <c r="AJ54" s="6">
        <f t="shared" si="105"/>
        <v>0.22193374799739629</v>
      </c>
      <c r="AK54" s="6">
        <f t="shared" si="105"/>
        <v>9.5098279127474442E-2</v>
      </c>
      <c r="AL54" s="7"/>
      <c r="AM54" s="38">
        <f t="shared" si="29"/>
        <v>0.25303093890241674</v>
      </c>
      <c r="AN54" s="38">
        <f t="shared" si="30"/>
        <v>0.24136121970717914</v>
      </c>
      <c r="AO54" s="6">
        <f t="shared" si="31"/>
        <v>1</v>
      </c>
      <c r="AP54" s="7">
        <f t="shared" si="32"/>
        <v>0.75863878029282095</v>
      </c>
      <c r="AQ54" s="7">
        <f t="shared" si="33"/>
        <v>0</v>
      </c>
      <c r="AR54" s="24"/>
      <c r="AS54">
        <f t="shared" si="34"/>
        <v>2006</v>
      </c>
      <c r="AT54" s="1" t="b">
        <f t="shared" si="35"/>
        <v>1</v>
      </c>
      <c r="AU54" s="1"/>
      <c r="AV54" s="1" t="b">
        <f t="shared" si="99"/>
        <v>1</v>
      </c>
      <c r="AW54" s="1" t="b">
        <f t="shared" si="100"/>
        <v>1</v>
      </c>
      <c r="AY54" s="39" t="b">
        <f t="shared" si="50"/>
        <v>0</v>
      </c>
      <c r="AZ54" s="39" t="b">
        <f t="shared" si="37"/>
        <v>0</v>
      </c>
      <c r="BA54" s="1" t="b">
        <f t="shared" si="38"/>
        <v>1</v>
      </c>
      <c r="BC54">
        <f t="shared" si="39"/>
        <v>2006</v>
      </c>
      <c r="BD54" s="27">
        <f>$BK54*BD$39</f>
        <v>42242.979570130243</v>
      </c>
      <c r="BE54" s="2"/>
      <c r="BF54" s="27">
        <f t="shared" ref="BF54:BG58" si="109">$BK54*BF$39</f>
        <v>42242.979570130243</v>
      </c>
      <c r="BG54" s="27">
        <f t="shared" si="109"/>
        <v>21121.489785065121</v>
      </c>
      <c r="BH54" s="2"/>
      <c r="BI54" s="27">
        <f>$BK54*BI$39</f>
        <v>42242.979570130243</v>
      </c>
      <c r="BJ54" s="27">
        <f t="shared" ref="BJ54:BJ58" si="110">$BK54*BJ$39</f>
        <v>63364.469355195361</v>
      </c>
      <c r="BK54" s="2">
        <f t="shared" si="41"/>
        <v>211214.89785065121</v>
      </c>
      <c r="BL54" s="2">
        <f t="shared" si="42"/>
        <v>0</v>
      </c>
      <c r="BM54" s="2"/>
    </row>
    <row r="55" spans="1:65" x14ac:dyDescent="0.25">
      <c r="A55">
        <f t="shared" si="6"/>
        <v>2007</v>
      </c>
      <c r="B55" s="2">
        <f t="shared" si="91"/>
        <v>44519.876168960269</v>
      </c>
      <c r="C55" s="2"/>
      <c r="D55" s="2">
        <f t="shared" si="94"/>
        <v>44786.429370047787</v>
      </c>
      <c r="E55" s="2">
        <f t="shared" si="95"/>
        <v>21365.654206980475</v>
      </c>
      <c r="F55" s="2"/>
      <c r="G55" s="2">
        <f t="shared" si="53"/>
        <v>48799.934859005858</v>
      </c>
      <c r="H55" s="2">
        <f t="shared" si="14"/>
        <v>67749.290634574878</v>
      </c>
      <c r="I55" s="2">
        <f t="shared" si="43"/>
        <v>227221.18523956928</v>
      </c>
      <c r="J55" s="2">
        <f t="shared" si="15"/>
        <v>9233.0229388295556</v>
      </c>
      <c r="K55" s="6">
        <f t="shared" si="16"/>
        <v>4.2355616201266648E-2</v>
      </c>
      <c r="L55" s="7">
        <f t="shared" si="17"/>
        <v>1.0423556162012666</v>
      </c>
      <c r="N55">
        <f t="shared" si="18"/>
        <v>2007</v>
      </c>
      <c r="O55" s="2">
        <f t="shared" si="19"/>
        <v>7050.9682925421748</v>
      </c>
      <c r="P55" s="2"/>
      <c r="Q55" s="2"/>
      <c r="R55">
        <f t="shared" si="20"/>
        <v>2007</v>
      </c>
      <c r="S55" s="2">
        <f t="shared" si="96"/>
        <v>43109.682510451836</v>
      </c>
      <c r="T55" s="2"/>
      <c r="U55" s="2">
        <f t="shared" si="97"/>
        <v>43376.235711539353</v>
      </c>
      <c r="V55" s="2">
        <f t="shared" si="97"/>
        <v>19955.460548472038</v>
      </c>
      <c r="W55" s="2"/>
      <c r="X55" s="2">
        <f t="shared" si="98"/>
        <v>47389.741200497425</v>
      </c>
      <c r="Y55" s="2">
        <f t="shared" si="98"/>
        <v>66339.096976066445</v>
      </c>
      <c r="Z55" s="2">
        <f t="shared" si="23"/>
        <v>220170.2169470271</v>
      </c>
      <c r="AA55" s="2">
        <f t="shared" si="24"/>
        <v>8955.3190963758971</v>
      </c>
      <c r="AB55" s="6">
        <f t="shared" si="25"/>
        <v>4.2399088262742475E-2</v>
      </c>
      <c r="AC55" s="7">
        <f t="shared" si="26"/>
        <v>1.0423990882627425</v>
      </c>
      <c r="AD55" s="2">
        <f t="shared" si="27"/>
        <v>0</v>
      </c>
      <c r="AE55" s="2"/>
      <c r="AG55">
        <f t="shared" si="28"/>
        <v>2007</v>
      </c>
      <c r="AH55" s="6">
        <f t="shared" ref="AH55:AH64" si="111">S55/$Z55</f>
        <v>0.19580160799325558</v>
      </c>
      <c r="AI55" s="7"/>
      <c r="AJ55" s="6">
        <f t="shared" si="105"/>
        <v>0.19701227674211569</v>
      </c>
      <c r="AK55" s="6">
        <f t="shared" si="105"/>
        <v>9.0636512173094319E-2</v>
      </c>
      <c r="AL55" s="7"/>
      <c r="AM55" s="6">
        <f t="shared" si="29"/>
        <v>0.21524137940918406</v>
      </c>
      <c r="AN55" s="38">
        <f t="shared" si="30"/>
        <v>0.30130822368235033</v>
      </c>
      <c r="AO55" s="6">
        <f t="shared" si="31"/>
        <v>1</v>
      </c>
      <c r="AP55" s="7">
        <f t="shared" si="32"/>
        <v>0.69869177631764967</v>
      </c>
      <c r="AQ55" s="7">
        <f t="shared" si="33"/>
        <v>0</v>
      </c>
      <c r="AR55" s="24"/>
      <c r="AS55">
        <f t="shared" si="34"/>
        <v>2007</v>
      </c>
      <c r="AT55" s="1" t="b">
        <f t="shared" si="35"/>
        <v>1</v>
      </c>
      <c r="AU55" s="1"/>
      <c r="AV55" s="1" t="b">
        <f t="shared" si="99"/>
        <v>1</v>
      </c>
      <c r="AW55" s="1" t="b">
        <f t="shared" si="100"/>
        <v>1</v>
      </c>
      <c r="AY55" s="1" t="b">
        <f t="shared" si="50"/>
        <v>1</v>
      </c>
      <c r="AZ55" s="1" t="b">
        <f t="shared" si="37"/>
        <v>1</v>
      </c>
      <c r="BA55" s="1" t="b">
        <f t="shared" si="38"/>
        <v>1</v>
      </c>
      <c r="BC55">
        <f t="shared" si="39"/>
        <v>2007</v>
      </c>
      <c r="BD55" s="2">
        <f t="shared" ref="BD55" si="112">S55</f>
        <v>43109.682510451836</v>
      </c>
      <c r="BE55" s="2"/>
      <c r="BF55" s="2">
        <f t="shared" ref="BF55" si="113">U55</f>
        <v>43376.235711539353</v>
      </c>
      <c r="BG55" s="2">
        <f t="shared" ref="BG55" si="114">V55</f>
        <v>19955.460548472038</v>
      </c>
      <c r="BH55" s="2"/>
      <c r="BI55" s="2">
        <f>X55</f>
        <v>47389.741200497425</v>
      </c>
      <c r="BJ55" s="2">
        <f>Y55</f>
        <v>66339.096976066445</v>
      </c>
      <c r="BK55" s="2">
        <f t="shared" si="41"/>
        <v>220170.2169470271</v>
      </c>
      <c r="BL55" s="2">
        <f t="shared" si="42"/>
        <v>0</v>
      </c>
      <c r="BM55" s="2"/>
    </row>
    <row r="56" spans="1:65" x14ac:dyDescent="0.25">
      <c r="A56">
        <f t="shared" si="6"/>
        <v>2008</v>
      </c>
      <c r="B56" s="2">
        <f t="shared" si="91"/>
        <v>27150.478045082564</v>
      </c>
      <c r="C56" s="2"/>
      <c r="D56" s="2">
        <f t="shared" si="94"/>
        <v>25234.558887545136</v>
      </c>
      <c r="E56" s="2">
        <f t="shared" si="95"/>
        <v>12757.525928638173</v>
      </c>
      <c r="F56" s="2"/>
      <c r="G56" s="2">
        <f t="shared" si="53"/>
        <v>26490.391433666056</v>
      </c>
      <c r="H56" s="2">
        <f t="shared" si="14"/>
        <v>69689.221373357796</v>
      </c>
      <c r="I56" s="2">
        <f t="shared" si="43"/>
        <v>161322.17566828971</v>
      </c>
      <c r="J56" s="2">
        <f>I56-I55</f>
        <v>-65899.009571279574</v>
      </c>
      <c r="K56" s="6">
        <f>(J56/I55)</f>
        <v>-0.29002141460444963</v>
      </c>
      <c r="L56" s="7">
        <f t="shared" si="17"/>
        <v>0.70997858539555037</v>
      </c>
      <c r="N56">
        <f t="shared" si="18"/>
        <v>2008</v>
      </c>
      <c r="O56" s="2">
        <f t="shared" si="19"/>
        <v>7050.9682925421748</v>
      </c>
      <c r="P56" s="2"/>
      <c r="Q56" s="2"/>
      <c r="R56">
        <f t="shared" si="20"/>
        <v>2008</v>
      </c>
      <c r="S56" s="2">
        <f t="shared" si="96"/>
        <v>25740.284386574131</v>
      </c>
      <c r="T56" s="2"/>
      <c r="U56" s="2">
        <f t="shared" si="97"/>
        <v>23824.365229036703</v>
      </c>
      <c r="V56" s="2">
        <f t="shared" si="97"/>
        <v>11347.332270129738</v>
      </c>
      <c r="W56" s="2"/>
      <c r="X56" s="2">
        <f t="shared" si="98"/>
        <v>25080.19777515762</v>
      </c>
      <c r="Y56" s="2">
        <f t="shared" si="98"/>
        <v>68279.027714849362</v>
      </c>
      <c r="Z56" s="2">
        <f t="shared" si="23"/>
        <v>154271.20737574756</v>
      </c>
      <c r="AA56" s="2">
        <f>Z56-Z55</f>
        <v>-65899.009571279545</v>
      </c>
      <c r="AB56" s="6">
        <f>(AA56/Z55)</f>
        <v>-0.29930937292547077</v>
      </c>
      <c r="AC56" s="7">
        <f t="shared" si="26"/>
        <v>0.70069062707452923</v>
      </c>
      <c r="AD56" s="2">
        <f t="shared" si="27"/>
        <v>0</v>
      </c>
      <c r="AE56" s="2"/>
      <c r="AG56">
        <f t="shared" si="28"/>
        <v>2008</v>
      </c>
      <c r="AH56" s="6">
        <f t="shared" si="111"/>
        <v>0.16685086494384091</v>
      </c>
      <c r="AI56" s="7"/>
      <c r="AJ56" s="6">
        <f t="shared" si="105"/>
        <v>0.15443170267676307</v>
      </c>
      <c r="AK56" s="6">
        <f t="shared" si="105"/>
        <v>7.3554440022575551E-2</v>
      </c>
      <c r="AL56" s="7"/>
      <c r="AM56" s="6">
        <f t="shared" si="29"/>
        <v>0.16257212348167821</v>
      </c>
      <c r="AN56" s="6">
        <f t="shared" si="30"/>
        <v>0.44259086887514221</v>
      </c>
      <c r="AO56" s="6">
        <f t="shared" si="31"/>
        <v>0.99999999999999989</v>
      </c>
      <c r="AP56" s="7">
        <f t="shared" si="32"/>
        <v>0.55740913112485768</v>
      </c>
      <c r="AQ56" s="7">
        <f t="shared" si="33"/>
        <v>0</v>
      </c>
      <c r="AR56" s="24"/>
      <c r="AS56">
        <f t="shared" si="34"/>
        <v>2008</v>
      </c>
      <c r="AT56" s="1" t="b">
        <f t="shared" si="35"/>
        <v>1</v>
      </c>
      <c r="AU56" s="1"/>
      <c r="AV56" s="1" t="b">
        <f t="shared" si="99"/>
        <v>1</v>
      </c>
      <c r="AW56" s="1" t="b">
        <f t="shared" si="100"/>
        <v>1</v>
      </c>
      <c r="AY56" s="1" t="b">
        <f t="shared" si="50"/>
        <v>1</v>
      </c>
      <c r="AZ56" s="39" t="b">
        <f t="shared" si="37"/>
        <v>0</v>
      </c>
      <c r="BA56" s="1" t="b">
        <f t="shared" si="38"/>
        <v>1</v>
      </c>
      <c r="BC56">
        <f t="shared" si="39"/>
        <v>2008</v>
      </c>
      <c r="BD56" s="27">
        <f>$BK56*BD$39</f>
        <v>30854.241475149513</v>
      </c>
      <c r="BE56" s="2"/>
      <c r="BF56" s="27">
        <f t="shared" si="109"/>
        <v>30854.241475149513</v>
      </c>
      <c r="BG56" s="27">
        <f t="shared" si="109"/>
        <v>15427.120737574756</v>
      </c>
      <c r="BH56" s="2"/>
      <c r="BI56" s="27">
        <f>$BK56*BI$39</f>
        <v>30854.241475149513</v>
      </c>
      <c r="BJ56" s="27">
        <f t="shared" si="110"/>
        <v>46281.362212724263</v>
      </c>
      <c r="BK56" s="2">
        <f t="shared" si="41"/>
        <v>154271.20737574756</v>
      </c>
      <c r="BL56" s="2">
        <f t="shared" si="42"/>
        <v>0</v>
      </c>
      <c r="BM56" s="2"/>
    </row>
    <row r="57" spans="1:65" x14ac:dyDescent="0.25">
      <c r="A57">
        <f t="shared" si="6"/>
        <v>2009</v>
      </c>
      <c r="B57" s="2">
        <f t="shared" si="91"/>
        <v>39027.530041916616</v>
      </c>
      <c r="C57" s="2"/>
      <c r="D57" s="2">
        <f t="shared" si="94"/>
        <v>43263.200311625144</v>
      </c>
      <c r="E57" s="2">
        <f t="shared" si="95"/>
        <v>20999.088205572007</v>
      </c>
      <c r="F57" s="2"/>
      <c r="G57" s="2">
        <f t="shared" si="53"/>
        <v>42186.078741727673</v>
      </c>
      <c r="H57" s="2">
        <f t="shared" si="14"/>
        <v>49025.846991938808</v>
      </c>
      <c r="I57" s="2">
        <f t="shared" si="43"/>
        <v>194501.74429278026</v>
      </c>
      <c r="J57" s="2">
        <f t="shared" si="15"/>
        <v>33179.568624490552</v>
      </c>
      <c r="K57" s="6">
        <f t="shared" si="16"/>
        <v>0.20567270734504786</v>
      </c>
      <c r="L57" s="7">
        <f t="shared" si="17"/>
        <v>1.2056727073450479</v>
      </c>
      <c r="N57">
        <f t="shared" si="18"/>
        <v>2009</v>
      </c>
      <c r="O57" s="2">
        <f t="shared" si="19"/>
        <v>7248.3954047333555</v>
      </c>
      <c r="P57" s="2"/>
      <c r="Q57" s="2"/>
      <c r="R57">
        <f t="shared" si="20"/>
        <v>2009</v>
      </c>
      <c r="S57" s="2">
        <f t="shared" si="96"/>
        <v>37577.850960969947</v>
      </c>
      <c r="T57" s="2"/>
      <c r="U57" s="2">
        <f t="shared" si="97"/>
        <v>41813.521230678474</v>
      </c>
      <c r="V57" s="2">
        <f t="shared" si="97"/>
        <v>19549.409124625337</v>
      </c>
      <c r="W57" s="2"/>
      <c r="X57" s="2">
        <f t="shared" si="98"/>
        <v>40736.399660781004</v>
      </c>
      <c r="Y57" s="2">
        <f t="shared" si="98"/>
        <v>47576.167910992139</v>
      </c>
      <c r="Z57" s="2">
        <f t="shared" si="23"/>
        <v>187253.34888804689</v>
      </c>
      <c r="AA57" s="2">
        <f t="shared" ref="AA57:AA64" si="115">Z57-Z56</f>
        <v>32982.141512299335</v>
      </c>
      <c r="AB57" s="6">
        <f t="shared" ref="AB57:AB64" si="116">(AA57/Z56)</f>
        <v>0.21379324161226693</v>
      </c>
      <c r="AC57" s="7">
        <f t="shared" si="26"/>
        <v>1.213793241612267</v>
      </c>
      <c r="AD57" s="2">
        <f t="shared" si="27"/>
        <v>0</v>
      </c>
      <c r="AE57" s="2"/>
      <c r="AG57">
        <f t="shared" si="28"/>
        <v>2009</v>
      </c>
      <c r="AH57" s="6">
        <f t="shared" si="111"/>
        <v>0.2006791931045068</v>
      </c>
      <c r="AI57" s="7"/>
      <c r="AJ57" s="6">
        <f t="shared" si="105"/>
        <v>0.22329919052971123</v>
      </c>
      <c r="AK57" s="6">
        <f t="shared" si="105"/>
        <v>0.10440085179097831</v>
      </c>
      <c r="AL57" s="7"/>
      <c r="AM57" s="6">
        <f t="shared" ref="AM57:AM64" si="117">X57/$Z57</f>
        <v>0.21754697527538513</v>
      </c>
      <c r="AN57" s="6">
        <f t="shared" si="30"/>
        <v>0.25407378929941854</v>
      </c>
      <c r="AO57" s="6">
        <f t="shared" si="31"/>
        <v>1</v>
      </c>
      <c r="AP57" s="7">
        <f t="shared" si="32"/>
        <v>0.74592621070058152</v>
      </c>
      <c r="AQ57" s="7">
        <f t="shared" si="33"/>
        <v>0</v>
      </c>
      <c r="AR57" s="24"/>
      <c r="AS57">
        <f t="shared" si="34"/>
        <v>2009</v>
      </c>
      <c r="AT57" s="1" t="b">
        <f t="shared" si="35"/>
        <v>1</v>
      </c>
      <c r="AU57" s="1"/>
      <c r="AV57" s="1" t="b">
        <f t="shared" si="99"/>
        <v>1</v>
      </c>
      <c r="AW57" s="1" t="b">
        <f t="shared" si="100"/>
        <v>1</v>
      </c>
      <c r="AY57" s="1" t="b">
        <f t="shared" si="50"/>
        <v>1</v>
      </c>
      <c r="AZ57" s="1" t="b">
        <f t="shared" si="37"/>
        <v>1</v>
      </c>
      <c r="BA57" s="1" t="b">
        <f t="shared" si="38"/>
        <v>1</v>
      </c>
      <c r="BC57">
        <f t="shared" si="39"/>
        <v>2009</v>
      </c>
      <c r="BD57" s="2">
        <f t="shared" ref="BD57" si="118">S57</f>
        <v>37577.850960969947</v>
      </c>
      <c r="BE57" s="2"/>
      <c r="BF57" s="2">
        <f t="shared" ref="BF57" si="119">U57</f>
        <v>41813.521230678474</v>
      </c>
      <c r="BG57" s="2">
        <f t="shared" ref="BG57" si="120">V57</f>
        <v>19549.409124625337</v>
      </c>
      <c r="BH57" s="2"/>
      <c r="BI57" s="2">
        <f>X57</f>
        <v>40736.399660781004</v>
      </c>
      <c r="BJ57" s="2">
        <f t="shared" ref="BJ57" si="121">Y57</f>
        <v>47576.167910992139</v>
      </c>
      <c r="BK57" s="2">
        <f t="shared" si="41"/>
        <v>187253.34888804689</v>
      </c>
      <c r="BL57" s="2">
        <f t="shared" si="42"/>
        <v>0</v>
      </c>
      <c r="BM57" s="2"/>
    </row>
    <row r="58" spans="1:65" x14ac:dyDescent="0.25">
      <c r="A58">
        <f t="shared" si="6"/>
        <v>2010</v>
      </c>
      <c r="B58" s="2">
        <f t="shared" si="91"/>
        <v>43180.708539250569</v>
      </c>
      <c r="C58" s="2"/>
      <c r="D58" s="2">
        <f t="shared" si="94"/>
        <v>52459.243736009208</v>
      </c>
      <c r="E58" s="2">
        <f t="shared" si="95"/>
        <v>24968.505333971483</v>
      </c>
      <c r="F58" s="2"/>
      <c r="G58" s="2">
        <f t="shared" si="53"/>
        <v>45266.287303059849</v>
      </c>
      <c r="H58" s="2">
        <f t="shared" si="14"/>
        <v>50630.557890877833</v>
      </c>
      <c r="I58" s="2">
        <f t="shared" si="43"/>
        <v>216505.30280316892</v>
      </c>
      <c r="J58" s="2">
        <f t="shared" si="15"/>
        <v>22003.558510388655</v>
      </c>
      <c r="K58" s="6">
        <f t="shared" si="16"/>
        <v>0.11312782098893191</v>
      </c>
      <c r="L58" s="7">
        <f t="shared" si="17"/>
        <v>1.1131278209889319</v>
      </c>
      <c r="N58">
        <f t="shared" si="18"/>
        <v>2010</v>
      </c>
      <c r="O58" s="2">
        <f t="shared" si="19"/>
        <v>7349.8729403996222</v>
      </c>
      <c r="P58" s="2"/>
      <c r="Q58" s="2"/>
      <c r="R58">
        <f t="shared" si="20"/>
        <v>2010</v>
      </c>
      <c r="S58" s="2">
        <f t="shared" si="96"/>
        <v>41710.733951170645</v>
      </c>
      <c r="T58" s="2"/>
      <c r="U58" s="2">
        <f t="shared" si="97"/>
        <v>50989.269147929284</v>
      </c>
      <c r="V58" s="2">
        <f t="shared" si="97"/>
        <v>23498.530745891559</v>
      </c>
      <c r="W58" s="2"/>
      <c r="X58" s="2">
        <f t="shared" si="98"/>
        <v>43796.312714979926</v>
      </c>
      <c r="Y58" s="2">
        <f t="shared" si="98"/>
        <v>49160.58330279791</v>
      </c>
      <c r="Z58" s="2">
        <f t="shared" si="23"/>
        <v>209155.42986276932</v>
      </c>
      <c r="AA58" s="2">
        <f t="shared" si="115"/>
        <v>21902.080974722427</v>
      </c>
      <c r="AB58" s="6">
        <f t="shared" si="116"/>
        <v>0.11696496273514989</v>
      </c>
      <c r="AC58" s="7">
        <f t="shared" si="26"/>
        <v>1.1169649627351499</v>
      </c>
      <c r="AD58" s="2">
        <f t="shared" si="27"/>
        <v>0</v>
      </c>
      <c r="AE58" s="2"/>
      <c r="AG58">
        <f t="shared" si="28"/>
        <v>2010</v>
      </c>
      <c r="AH58" s="6">
        <f t="shared" si="111"/>
        <v>0.19942458093742924</v>
      </c>
      <c r="AI58" s="7"/>
      <c r="AJ58" s="6">
        <f t="shared" si="105"/>
        <v>0.24378649495919982</v>
      </c>
      <c r="AK58" s="6">
        <f t="shared" si="105"/>
        <v>0.11234960890716236</v>
      </c>
      <c r="AL58" s="7"/>
      <c r="AM58" s="38">
        <f t="shared" si="117"/>
        <v>0.20939601110865486</v>
      </c>
      <c r="AN58" s="38">
        <f t="shared" si="30"/>
        <v>0.23504330408755375</v>
      </c>
      <c r="AO58" s="6">
        <f t="shared" si="31"/>
        <v>1</v>
      </c>
      <c r="AP58" s="7">
        <f t="shared" si="32"/>
        <v>0.76495669591244631</v>
      </c>
      <c r="AQ58" s="7">
        <f t="shared" si="33"/>
        <v>0</v>
      </c>
      <c r="AR58" s="24"/>
      <c r="AS58">
        <f t="shared" si="34"/>
        <v>2010</v>
      </c>
      <c r="AT58" s="1" t="b">
        <f t="shared" si="35"/>
        <v>1</v>
      </c>
      <c r="AU58" s="1"/>
      <c r="AV58" s="1" t="b">
        <f t="shared" si="99"/>
        <v>1</v>
      </c>
      <c r="AW58" s="1" t="b">
        <f t="shared" si="100"/>
        <v>1</v>
      </c>
      <c r="AY58" s="1" t="b">
        <f t="shared" ref="AY58" si="122">AND((X58/$Z58)&gt;0.15,(X58/$Z58)&lt;0.25)</f>
        <v>1</v>
      </c>
      <c r="AZ58" s="39" t="b">
        <f t="shared" ref="AZ58" si="123">AND((Y58/$Z58)&gt;0.25,(Y58/$Z58)&lt;0.35)</f>
        <v>0</v>
      </c>
      <c r="BA58" s="1" t="b">
        <f t="shared" si="38"/>
        <v>1</v>
      </c>
      <c r="BC58">
        <f t="shared" si="39"/>
        <v>2010</v>
      </c>
      <c r="BD58" s="27">
        <f>$BK58*BD$39</f>
        <v>41831.085972553868</v>
      </c>
      <c r="BE58" s="2"/>
      <c r="BF58" s="27">
        <f t="shared" si="109"/>
        <v>41831.085972553868</v>
      </c>
      <c r="BG58" s="27">
        <f t="shared" si="109"/>
        <v>20915.542986276934</v>
      </c>
      <c r="BH58" s="2"/>
      <c r="BI58" s="27">
        <f>$BK58*BI$39</f>
        <v>41831.085972553868</v>
      </c>
      <c r="BJ58" s="27">
        <f t="shared" si="110"/>
        <v>62746.628958830792</v>
      </c>
      <c r="BK58" s="2">
        <f t="shared" si="41"/>
        <v>209155.42986276932</v>
      </c>
      <c r="BL58" s="2">
        <f t="shared" si="42"/>
        <v>0</v>
      </c>
      <c r="BM58" s="2"/>
    </row>
    <row r="59" spans="1:65" x14ac:dyDescent="0.25">
      <c r="A59">
        <f t="shared" si="6"/>
        <v>2011</v>
      </c>
      <c r="B59" s="2">
        <f t="shared" si="91"/>
        <v>42655.158366213182</v>
      </c>
      <c r="C59" s="2"/>
      <c r="D59" s="2">
        <f t="shared" si="94"/>
        <v>40948.450058532981</v>
      </c>
      <c r="E59" s="2">
        <f t="shared" si="95"/>
        <v>20329.907782661179</v>
      </c>
      <c r="F59" s="2"/>
      <c r="G59" s="2">
        <f t="shared" si="53"/>
        <v>35740.479854950026</v>
      </c>
      <c r="H59" s="2">
        <f t="shared" si="14"/>
        <v>67490.274108118407</v>
      </c>
      <c r="I59" s="2">
        <f t="shared" si="43"/>
        <v>207164.27017047579</v>
      </c>
      <c r="J59" s="2">
        <f t="shared" si="15"/>
        <v>-9341.0326326931245</v>
      </c>
      <c r="K59" s="6">
        <f t="shared" si="16"/>
        <v>-4.3144590510031625E-2</v>
      </c>
      <c r="L59" s="7">
        <f t="shared" si="17"/>
        <v>0.95685540948996839</v>
      </c>
      <c r="N59">
        <f t="shared" si="18"/>
        <v>2011</v>
      </c>
      <c r="O59" s="2">
        <f t="shared" si="19"/>
        <v>7570.3691286116109</v>
      </c>
      <c r="P59" s="2"/>
      <c r="Q59" s="2"/>
      <c r="R59">
        <f t="shared" si="20"/>
        <v>2011</v>
      </c>
      <c r="S59" s="2">
        <f t="shared" si="96"/>
        <v>41141.084540490861</v>
      </c>
      <c r="T59" s="2"/>
      <c r="U59" s="2">
        <f t="shared" si="97"/>
        <v>39434.37623281066</v>
      </c>
      <c r="V59" s="2">
        <f t="shared" si="97"/>
        <v>18815.833956938855</v>
      </c>
      <c r="W59" s="2"/>
      <c r="X59" s="2">
        <f t="shared" si="98"/>
        <v>34226.406029227706</v>
      </c>
      <c r="Y59" s="2">
        <f t="shared" si="98"/>
        <v>65976.200282396079</v>
      </c>
      <c r="Z59" s="2">
        <f t="shared" si="23"/>
        <v>199593.90104186416</v>
      </c>
      <c r="AA59" s="2">
        <f t="shared" si="115"/>
        <v>-9561.528820905165</v>
      </c>
      <c r="AB59" s="6">
        <f t="shared" si="116"/>
        <v>-4.5714944274593577E-2</v>
      </c>
      <c r="AC59" s="7">
        <f t="shared" si="26"/>
        <v>0.95428505572540645</v>
      </c>
      <c r="AD59" s="2">
        <f t="shared" si="27"/>
        <v>0</v>
      </c>
      <c r="AE59" s="2"/>
      <c r="AG59">
        <f t="shared" si="28"/>
        <v>2011</v>
      </c>
      <c r="AH59" s="6">
        <f t="shared" si="111"/>
        <v>0.20612395632200031</v>
      </c>
      <c r="AI59" s="7"/>
      <c r="AJ59" s="6">
        <f t="shared" si="105"/>
        <v>0.19757305221735924</v>
      </c>
      <c r="AK59" s="6">
        <f t="shared" si="105"/>
        <v>9.4270585717908764E-2</v>
      </c>
      <c r="AL59" s="7"/>
      <c r="AM59" s="6">
        <f t="shared" si="117"/>
        <v>0.17148021983922662</v>
      </c>
      <c r="AN59" s="6">
        <f t="shared" si="30"/>
        <v>0.3305521859035051</v>
      </c>
      <c r="AO59" s="6">
        <f t="shared" si="31"/>
        <v>1</v>
      </c>
      <c r="AP59" s="7">
        <f t="shared" si="32"/>
        <v>0.6694478140964949</v>
      </c>
      <c r="AQ59" s="7">
        <f t="shared" si="33"/>
        <v>0</v>
      </c>
      <c r="AR59" s="24"/>
      <c r="AS59">
        <f t="shared" si="34"/>
        <v>2011</v>
      </c>
      <c r="AT59" s="1" t="b">
        <f t="shared" si="35"/>
        <v>1</v>
      </c>
      <c r="AU59" s="1"/>
      <c r="AV59" s="1" t="b">
        <f t="shared" si="99"/>
        <v>1</v>
      </c>
      <c r="AW59" s="1" t="b">
        <f t="shared" si="100"/>
        <v>1</v>
      </c>
      <c r="AY59" s="1" t="b">
        <f t="shared" si="50"/>
        <v>1</v>
      </c>
      <c r="AZ59" s="1" t="b">
        <f t="shared" si="37"/>
        <v>1</v>
      </c>
      <c r="BA59" s="1" t="b">
        <f t="shared" si="38"/>
        <v>1</v>
      </c>
      <c r="BC59">
        <f t="shared" si="39"/>
        <v>2011</v>
      </c>
      <c r="BD59" s="2">
        <f t="shared" ref="BD59" si="124">S59</f>
        <v>41141.084540490861</v>
      </c>
      <c r="BE59" s="2"/>
      <c r="BF59" s="2">
        <f t="shared" ref="BF59" si="125">U59</f>
        <v>39434.37623281066</v>
      </c>
      <c r="BG59" s="2">
        <f t="shared" ref="BG59" si="126">V59</f>
        <v>18815.833956938855</v>
      </c>
      <c r="BH59" s="2"/>
      <c r="BI59" s="2">
        <f>X59</f>
        <v>34226.406029227706</v>
      </c>
      <c r="BJ59" s="2">
        <f t="shared" ref="BJ59" si="127">Y59</f>
        <v>65976.200282396079</v>
      </c>
      <c r="BK59" s="2">
        <f t="shared" si="41"/>
        <v>199593.90104186416</v>
      </c>
      <c r="BL59" s="2">
        <f t="shared" si="42"/>
        <v>0</v>
      </c>
      <c r="BM59" s="2"/>
    </row>
    <row r="60" spans="1:65" x14ac:dyDescent="0.25">
      <c r="A60">
        <f t="shared" si="6"/>
        <v>2012</v>
      </c>
      <c r="B60" s="2">
        <f t="shared" si="91"/>
        <v>47649.604114796508</v>
      </c>
      <c r="C60" s="2"/>
      <c r="D60" s="2">
        <f t="shared" si="94"/>
        <v>45665.007677594738</v>
      </c>
      <c r="E60" s="2">
        <f t="shared" si="95"/>
        <v>22210.210402770626</v>
      </c>
      <c r="F60" s="2"/>
      <c r="G60" s="2">
        <f t="shared" si="53"/>
        <v>40435.076082929612</v>
      </c>
      <c r="H60" s="2">
        <f t="shared" si="14"/>
        <v>68648.236393833125</v>
      </c>
      <c r="I60" s="2">
        <f t="shared" si="43"/>
        <v>224608.13467192461</v>
      </c>
      <c r="J60" s="2">
        <f t="shared" si="15"/>
        <v>17443.864501448814</v>
      </c>
      <c r="K60" s="6">
        <f t="shared" si="16"/>
        <v>8.4203055319791539E-2</v>
      </c>
      <c r="L60" s="7">
        <f t="shared" si="17"/>
        <v>1.0842030553197914</v>
      </c>
      <c r="N60">
        <f t="shared" si="18"/>
        <v>2012</v>
      </c>
      <c r="O60" s="2">
        <f t="shared" si="19"/>
        <v>7706.6357729266201</v>
      </c>
      <c r="P60" s="2"/>
      <c r="Q60" s="2"/>
      <c r="R60">
        <f t="shared" si="20"/>
        <v>2012</v>
      </c>
      <c r="S60" s="2">
        <f t="shared" si="96"/>
        <v>46108.27696021118</v>
      </c>
      <c r="T60" s="2"/>
      <c r="U60" s="2">
        <f t="shared" si="97"/>
        <v>44123.680523009418</v>
      </c>
      <c r="V60" s="2">
        <f t="shared" si="97"/>
        <v>20668.883248185302</v>
      </c>
      <c r="W60" s="2"/>
      <c r="X60" s="2">
        <f t="shared" si="98"/>
        <v>38893.748928344285</v>
      </c>
      <c r="Y60" s="2">
        <f t="shared" si="98"/>
        <v>67106.909239247805</v>
      </c>
      <c r="Z60" s="2">
        <f t="shared" si="23"/>
        <v>216901.49889899796</v>
      </c>
      <c r="AA60" s="2">
        <f t="shared" si="115"/>
        <v>17307.597857133806</v>
      </c>
      <c r="AB60" s="6">
        <f t="shared" si="116"/>
        <v>8.6714061736303222E-2</v>
      </c>
      <c r="AC60" s="7">
        <f t="shared" si="26"/>
        <v>1.0867140617363031</v>
      </c>
      <c r="AD60" s="2">
        <f t="shared" si="27"/>
        <v>0</v>
      </c>
      <c r="AE60" s="2"/>
      <c r="AG60">
        <f t="shared" si="28"/>
        <v>2012</v>
      </c>
      <c r="AH60" s="6">
        <f t="shared" si="111"/>
        <v>0.21257703240530346</v>
      </c>
      <c r="AI60" s="7"/>
      <c r="AJ60" s="6">
        <f t="shared" si="105"/>
        <v>0.20342727342587885</v>
      </c>
      <c r="AK60" s="6">
        <f t="shared" si="105"/>
        <v>9.5291564849028287E-2</v>
      </c>
      <c r="AL60" s="7"/>
      <c r="AM60" s="6">
        <f t="shared" si="117"/>
        <v>0.17931526119354063</v>
      </c>
      <c r="AN60" s="38">
        <f t="shared" si="30"/>
        <v>0.30938886812624894</v>
      </c>
      <c r="AO60" s="6">
        <f t="shared" si="31"/>
        <v>1.0000000000000002</v>
      </c>
      <c r="AP60" s="7">
        <f t="shared" si="32"/>
        <v>0.69061113187375134</v>
      </c>
      <c r="AQ60" s="7">
        <f t="shared" si="33"/>
        <v>0</v>
      </c>
      <c r="AR60" s="24"/>
      <c r="AS60">
        <f t="shared" si="34"/>
        <v>2012</v>
      </c>
      <c r="AT60" s="1" t="b">
        <f t="shared" si="35"/>
        <v>1</v>
      </c>
      <c r="AV60" s="1" t="b">
        <f t="shared" si="99"/>
        <v>1</v>
      </c>
      <c r="AW60" s="1" t="b">
        <f t="shared" si="100"/>
        <v>1</v>
      </c>
      <c r="AY60" s="1" t="b">
        <f t="shared" si="50"/>
        <v>1</v>
      </c>
      <c r="AZ60" s="1" t="b">
        <f t="shared" si="37"/>
        <v>1</v>
      </c>
      <c r="BA60" s="1" t="b">
        <f t="shared" si="38"/>
        <v>1</v>
      </c>
      <c r="BC60">
        <f t="shared" si="39"/>
        <v>2012</v>
      </c>
      <c r="BD60" s="2">
        <f t="shared" ref="BD60" si="128">S60</f>
        <v>46108.27696021118</v>
      </c>
      <c r="BE60" s="2"/>
      <c r="BF60" s="2">
        <f t="shared" ref="BF60" si="129">U60</f>
        <v>44123.680523009418</v>
      </c>
      <c r="BG60" s="2">
        <f t="shared" ref="BG60" si="130">V60</f>
        <v>20668.883248185302</v>
      </c>
      <c r="BH60" s="2"/>
      <c r="BI60" s="2">
        <f>X60</f>
        <v>38893.748928344285</v>
      </c>
      <c r="BJ60" s="2">
        <f t="shared" ref="BJ60" si="131">Y60</f>
        <v>67106.909239247805</v>
      </c>
      <c r="BK60" s="2">
        <f t="shared" si="41"/>
        <v>216901.49889899796</v>
      </c>
      <c r="BL60" s="2">
        <f t="shared" si="42"/>
        <v>0</v>
      </c>
      <c r="BM60" s="2"/>
    </row>
    <row r="61" spans="1:65" x14ac:dyDescent="0.25">
      <c r="A61">
        <f t="shared" si="6"/>
        <v>2013</v>
      </c>
      <c r="B61" s="2">
        <f t="shared" si="91"/>
        <v>60945.92048600714</v>
      </c>
      <c r="C61" s="2"/>
      <c r="D61" s="2">
        <f t="shared" si="94"/>
        <v>59566.968706062718</v>
      </c>
      <c r="E61" s="2">
        <f t="shared" si="95"/>
        <v>28444.517126152612</v>
      </c>
      <c r="F61" s="2"/>
      <c r="G61" s="2">
        <f t="shared" si="53"/>
        <v>44743.36876716726</v>
      </c>
      <c r="H61" s="2">
        <f t="shared" si="14"/>
        <v>65590.293090440813</v>
      </c>
      <c r="I61" s="2">
        <f t="shared" si="43"/>
        <v>259291.06817583053</v>
      </c>
      <c r="J61" s="2">
        <f t="shared" si="15"/>
        <v>34682.933503905922</v>
      </c>
      <c r="K61" s="6">
        <f t="shared" si="16"/>
        <v>0.15441530447935817</v>
      </c>
      <c r="L61" s="7">
        <f t="shared" si="17"/>
        <v>1.1544153044793581</v>
      </c>
      <c r="N61">
        <f t="shared" si="18"/>
        <v>2013</v>
      </c>
      <c r="O61" s="2">
        <f t="shared" si="19"/>
        <v>7795.6930166802676</v>
      </c>
      <c r="P61" s="2"/>
      <c r="Q61" s="2"/>
      <c r="R61">
        <f t="shared" si="20"/>
        <v>2013</v>
      </c>
      <c r="S61" s="2">
        <f t="shared" si="96"/>
        <v>59386.781882671086</v>
      </c>
      <c r="T61" s="2"/>
      <c r="U61" s="2">
        <f t="shared" si="97"/>
        <v>58007.830102726664</v>
      </c>
      <c r="V61" s="2">
        <f t="shared" si="97"/>
        <v>26885.378522816558</v>
      </c>
      <c r="W61" s="2"/>
      <c r="X61" s="2">
        <f t="shared" si="98"/>
        <v>43184.230163831206</v>
      </c>
      <c r="Y61" s="2">
        <f t="shared" si="98"/>
        <v>64031.154487104759</v>
      </c>
      <c r="Z61" s="2">
        <f t="shared" si="23"/>
        <v>251495.37515915028</v>
      </c>
      <c r="AA61" s="2">
        <f t="shared" si="115"/>
        <v>34593.876260152319</v>
      </c>
      <c r="AB61" s="6">
        <f t="shared" si="116"/>
        <v>0.15949118118478864</v>
      </c>
      <c r="AC61" s="7">
        <f t="shared" si="26"/>
        <v>1.1594911811847886</v>
      </c>
      <c r="AD61" s="2">
        <f t="shared" si="27"/>
        <v>0</v>
      </c>
      <c r="AE61" s="2"/>
      <c r="AG61">
        <f t="shared" si="28"/>
        <v>2013</v>
      </c>
      <c r="AH61" s="6">
        <f t="shared" si="111"/>
        <v>0.23613468774561036</v>
      </c>
      <c r="AI61" s="7"/>
      <c r="AJ61" s="6">
        <f t="shared" si="105"/>
        <v>0.23065167725656341</v>
      </c>
      <c r="AK61" s="6">
        <f t="shared" si="105"/>
        <v>0.10690207923626055</v>
      </c>
      <c r="AL61" s="7"/>
      <c r="AM61" s="6">
        <f t="shared" si="117"/>
        <v>0.17170983814912516</v>
      </c>
      <c r="AN61" s="6">
        <f t="shared" si="30"/>
        <v>0.25460171761244049</v>
      </c>
      <c r="AO61" s="6">
        <f t="shared" si="31"/>
        <v>0.99999999999999978</v>
      </c>
      <c r="AP61" s="7">
        <f t="shared" si="32"/>
        <v>0.74539828238755934</v>
      </c>
      <c r="AQ61" s="7">
        <f t="shared" si="33"/>
        <v>0</v>
      </c>
      <c r="AR61" s="24"/>
      <c r="AS61">
        <f t="shared" si="34"/>
        <v>2013</v>
      </c>
      <c r="AT61" s="1" t="b">
        <f t="shared" si="35"/>
        <v>1</v>
      </c>
      <c r="AV61" s="1" t="b">
        <f t="shared" si="99"/>
        <v>1</v>
      </c>
      <c r="AW61" s="1" t="b">
        <f t="shared" si="100"/>
        <v>1</v>
      </c>
      <c r="AY61" s="1" t="b">
        <f t="shared" si="50"/>
        <v>1</v>
      </c>
      <c r="AZ61" s="1" t="b">
        <f t="shared" si="37"/>
        <v>1</v>
      </c>
      <c r="BA61" s="1" t="b">
        <f t="shared" si="38"/>
        <v>1</v>
      </c>
      <c r="BC61">
        <f t="shared" si="39"/>
        <v>2013</v>
      </c>
      <c r="BD61" s="2">
        <f t="shared" ref="BD61" si="132">S61</f>
        <v>59386.781882671086</v>
      </c>
      <c r="BE61" s="2"/>
      <c r="BF61" s="2">
        <f t="shared" ref="BF61" si="133">U61</f>
        <v>58007.830102726664</v>
      </c>
      <c r="BG61" s="2">
        <f t="shared" ref="BG61" si="134">V61</f>
        <v>26885.378522816558</v>
      </c>
      <c r="BH61" s="2"/>
      <c r="BI61" s="2">
        <f>X61</f>
        <v>43184.230163831206</v>
      </c>
      <c r="BJ61" s="2">
        <f t="shared" ref="BJ61" si="135">Y61</f>
        <v>64031.154487104759</v>
      </c>
      <c r="BK61" s="2">
        <f t="shared" si="41"/>
        <v>251495.37515915028</v>
      </c>
      <c r="BL61" s="2">
        <f t="shared" si="42"/>
        <v>0</v>
      </c>
      <c r="BM61" s="2"/>
    </row>
    <row r="62" spans="1:65" x14ac:dyDescent="0.25">
      <c r="A62">
        <f t="shared" si="6"/>
        <v>2014</v>
      </c>
      <c r="B62" s="2">
        <f t="shared" si="91"/>
        <v>67409.936115019955</v>
      </c>
      <c r="C62" s="2"/>
      <c r="D62" s="2">
        <f t="shared" si="94"/>
        <v>65896.894996697491</v>
      </c>
      <c r="E62" s="2">
        <f t="shared" si="95"/>
        <v>28866.830919948141</v>
      </c>
      <c r="F62" s="2"/>
      <c r="G62" s="2">
        <f t="shared" si="53"/>
        <v>41353.21880488476</v>
      </c>
      <c r="H62" s="2">
        <f t="shared" si="14"/>
        <v>67719.348985561999</v>
      </c>
      <c r="I62" s="2">
        <f t="shared" si="43"/>
        <v>271246.22982211236</v>
      </c>
      <c r="J62" s="2">
        <f t="shared" si="15"/>
        <v>11955.161646281835</v>
      </c>
      <c r="K62" s="6">
        <f t="shared" si="16"/>
        <v>4.6107109397901809E-2</v>
      </c>
      <c r="L62" s="7">
        <f t="shared" si="17"/>
        <v>1.0461071093979017</v>
      </c>
      <c r="N62">
        <f t="shared" si="18"/>
        <v>2014</v>
      </c>
      <c r="O62" s="2">
        <f t="shared" si="19"/>
        <v>7896.2574565954428</v>
      </c>
      <c r="P62" s="2"/>
      <c r="Q62" s="2"/>
      <c r="R62">
        <f t="shared" si="20"/>
        <v>2014</v>
      </c>
      <c r="S62" s="2">
        <f t="shared" si="96"/>
        <v>65830.684623700872</v>
      </c>
      <c r="T62" s="2"/>
      <c r="U62" s="2">
        <f t="shared" si="97"/>
        <v>64317.643505378401</v>
      </c>
      <c r="V62" s="2">
        <f t="shared" si="97"/>
        <v>27287.579428629051</v>
      </c>
      <c r="W62" s="2"/>
      <c r="X62" s="2">
        <f t="shared" si="98"/>
        <v>39773.96731356567</v>
      </c>
      <c r="Y62" s="2">
        <f t="shared" si="98"/>
        <v>66140.097494242917</v>
      </c>
      <c r="Z62" s="2">
        <f t="shared" si="23"/>
        <v>263349.97236551694</v>
      </c>
      <c r="AA62" s="2">
        <f t="shared" si="115"/>
        <v>11854.597206366656</v>
      </c>
      <c r="AB62" s="6">
        <f t="shared" si="116"/>
        <v>4.7136442166639758E-2</v>
      </c>
      <c r="AC62" s="7">
        <f t="shared" si="26"/>
        <v>1.0471364421666398</v>
      </c>
      <c r="AD62" s="2">
        <f t="shared" si="27"/>
        <v>0</v>
      </c>
      <c r="AE62" s="2"/>
      <c r="AG62">
        <f t="shared" si="28"/>
        <v>2014</v>
      </c>
      <c r="AH62" s="6">
        <f t="shared" si="111"/>
        <v>0.24997414669302143</v>
      </c>
      <c r="AI62" s="7"/>
      <c r="AJ62" s="6">
        <f t="shared" si="105"/>
        <v>0.24422878395486841</v>
      </c>
      <c r="AK62" s="6">
        <f t="shared" si="105"/>
        <v>0.10361717217404989</v>
      </c>
      <c r="AL62" s="7"/>
      <c r="AM62" s="6">
        <f t="shared" si="117"/>
        <v>0.15103083913888299</v>
      </c>
      <c r="AN62" s="38">
        <f t="shared" si="30"/>
        <v>0.25114905803917714</v>
      </c>
      <c r="AO62" s="6">
        <f t="shared" si="31"/>
        <v>0.99999999999999978</v>
      </c>
      <c r="AP62" s="7">
        <f t="shared" si="32"/>
        <v>0.74885094196082269</v>
      </c>
      <c r="AQ62" s="7">
        <f t="shared" si="33"/>
        <v>0</v>
      </c>
      <c r="AR62" s="24"/>
      <c r="AS62">
        <f t="shared" si="34"/>
        <v>2014</v>
      </c>
      <c r="AT62" s="1" t="b">
        <f t="shared" si="35"/>
        <v>1</v>
      </c>
      <c r="AV62" s="1" t="b">
        <f t="shared" si="99"/>
        <v>1</v>
      </c>
      <c r="AW62" s="1" t="b">
        <f t="shared" si="100"/>
        <v>1</v>
      </c>
      <c r="AY62" s="1" t="b">
        <f t="shared" si="50"/>
        <v>1</v>
      </c>
      <c r="AZ62" s="1" t="b">
        <f t="shared" si="37"/>
        <v>1</v>
      </c>
      <c r="BA62" s="1" t="b">
        <f t="shared" si="38"/>
        <v>1</v>
      </c>
      <c r="BC62">
        <f t="shared" si="39"/>
        <v>2014</v>
      </c>
      <c r="BD62" s="2">
        <f t="shared" ref="BD62" si="136">S62</f>
        <v>65830.684623700872</v>
      </c>
      <c r="BE62" s="2"/>
      <c r="BF62" s="2">
        <f t="shared" ref="BF62" si="137">U62</f>
        <v>64317.643505378401</v>
      </c>
      <c r="BG62" s="2">
        <f t="shared" ref="BG62" si="138">V62</f>
        <v>27287.579428629051</v>
      </c>
      <c r="BH62" s="2"/>
      <c r="BI62" s="2">
        <f>X62</f>
        <v>39773.96731356567</v>
      </c>
      <c r="BJ62" s="2">
        <f t="shared" ref="BJ62" si="139">Y62</f>
        <v>66140.097494242917</v>
      </c>
      <c r="BK62" s="2">
        <f t="shared" si="41"/>
        <v>263349.97236551694</v>
      </c>
      <c r="BL62" s="2">
        <f t="shared" si="42"/>
        <v>0</v>
      </c>
      <c r="BM62" s="2"/>
    </row>
    <row r="63" spans="1:65" x14ac:dyDescent="0.25">
      <c r="A63">
        <f t="shared" si="6"/>
        <v>2015</v>
      </c>
      <c r="B63" s="2">
        <f t="shared" si="91"/>
        <v>66653.568181497132</v>
      </c>
      <c r="C63" s="2"/>
      <c r="D63" s="2">
        <f t="shared" si="94"/>
        <v>63378.605910199876</v>
      </c>
      <c r="E63" s="2">
        <f t="shared" si="95"/>
        <v>26256.108926226872</v>
      </c>
      <c r="F63" s="2"/>
      <c r="G63" s="2">
        <f t="shared" si="53"/>
        <v>38035.844941962852</v>
      </c>
      <c r="H63" s="2">
        <f t="shared" si="14"/>
        <v>66338.517786725643</v>
      </c>
      <c r="I63" s="2">
        <f t="shared" si="43"/>
        <v>260662.6457466124</v>
      </c>
      <c r="J63" s="2">
        <f t="shared" si="15"/>
        <v>-10583.584075499966</v>
      </c>
      <c r="K63" s="6">
        <f t="shared" si="16"/>
        <v>-3.9018363803400513E-2</v>
      </c>
      <c r="L63" s="7">
        <f t="shared" si="17"/>
        <v>0.96098163619659949</v>
      </c>
      <c r="N63">
        <f t="shared" si="18"/>
        <v>2015</v>
      </c>
      <c r="O63" s="2">
        <f t="shared" si="19"/>
        <v>7931.0009894044624</v>
      </c>
      <c r="P63" s="2"/>
      <c r="Q63" s="2"/>
      <c r="R63">
        <f t="shared" si="20"/>
        <v>2015</v>
      </c>
      <c r="S63" s="2">
        <f t="shared" si="96"/>
        <v>65067.367983616241</v>
      </c>
      <c r="T63" s="2"/>
      <c r="U63" s="2">
        <f t="shared" si="97"/>
        <v>61792.405712318985</v>
      </c>
      <c r="V63" s="2">
        <f t="shared" si="97"/>
        <v>24669.908728345981</v>
      </c>
      <c r="W63" s="2"/>
      <c r="X63" s="2">
        <f t="shared" si="98"/>
        <v>36449.644744081961</v>
      </c>
      <c r="Y63" s="2">
        <f t="shared" si="98"/>
        <v>64752.317588844751</v>
      </c>
      <c r="Z63" s="2">
        <f t="shared" si="23"/>
        <v>252731.64475720789</v>
      </c>
      <c r="AA63" s="2">
        <f t="shared" si="115"/>
        <v>-10618.327608309046</v>
      </c>
      <c r="AB63" s="6">
        <f t="shared" si="116"/>
        <v>-4.0320215388408409E-2</v>
      </c>
      <c r="AC63" s="7">
        <f t="shared" si="26"/>
        <v>0.95967978461159165</v>
      </c>
      <c r="AD63" s="2">
        <f t="shared" si="27"/>
        <v>0</v>
      </c>
      <c r="AE63" s="2"/>
      <c r="AG63">
        <f t="shared" si="28"/>
        <v>2015</v>
      </c>
      <c r="AH63" s="6">
        <f t="shared" si="111"/>
        <v>0.257456354728054</v>
      </c>
      <c r="AI63" s="7"/>
      <c r="AJ63" s="6">
        <f t="shared" si="105"/>
        <v>0.24449809509086681</v>
      </c>
      <c r="AK63" s="6">
        <f t="shared" si="105"/>
        <v>9.7613058119594254E-2</v>
      </c>
      <c r="AL63" s="7"/>
      <c r="AM63" s="6">
        <f t="shared" si="117"/>
        <v>0.14422271804980377</v>
      </c>
      <c r="AN63" s="6">
        <f t="shared" si="30"/>
        <v>0.25620977401168127</v>
      </c>
      <c r="AO63" s="6">
        <f t="shared" si="31"/>
        <v>1</v>
      </c>
      <c r="AP63" s="7">
        <f t="shared" si="32"/>
        <v>0.74379022598831879</v>
      </c>
      <c r="AQ63" s="7">
        <f t="shared" si="33"/>
        <v>0</v>
      </c>
      <c r="AR63" s="24"/>
      <c r="AS63">
        <f t="shared" si="34"/>
        <v>2015</v>
      </c>
      <c r="AT63" s="39" t="b">
        <f t="shared" si="35"/>
        <v>0</v>
      </c>
      <c r="AV63" s="1" t="b">
        <f t="shared" si="99"/>
        <v>1</v>
      </c>
      <c r="AW63" s="1" t="b">
        <f t="shared" si="100"/>
        <v>1</v>
      </c>
      <c r="AY63" s="39" t="b">
        <f t="shared" si="50"/>
        <v>0</v>
      </c>
      <c r="AZ63" s="39" t="b">
        <f t="shared" si="37"/>
        <v>1</v>
      </c>
      <c r="BA63" s="1" t="b">
        <f t="shared" si="38"/>
        <v>1</v>
      </c>
      <c r="BC63">
        <f t="shared" si="39"/>
        <v>2015</v>
      </c>
      <c r="BD63" s="27">
        <f>$BK63*BD$39</f>
        <v>50546.328951441581</v>
      </c>
      <c r="BE63" s="2"/>
      <c r="BF63" s="27">
        <f t="shared" ref="BF63:BG63" si="140">$BK63*BF$39</f>
        <v>50546.328951441581</v>
      </c>
      <c r="BG63" s="27">
        <f t="shared" si="140"/>
        <v>25273.164475720791</v>
      </c>
      <c r="BH63" s="2"/>
      <c r="BI63" s="27">
        <f>$BK63*BI$39</f>
        <v>50546.328951441581</v>
      </c>
      <c r="BJ63" s="27">
        <f t="shared" ref="BJ63" si="141">$BK63*BJ$39</f>
        <v>75819.493427162364</v>
      </c>
      <c r="BK63" s="2">
        <f t="shared" si="41"/>
        <v>252731.64475720789</v>
      </c>
      <c r="BL63" s="2">
        <f t="shared" si="42"/>
        <v>0</v>
      </c>
      <c r="BM63" s="2"/>
    </row>
    <row r="64" spans="1:65" x14ac:dyDescent="0.25">
      <c r="A64">
        <f t="shared" si="6"/>
        <v>2016</v>
      </c>
      <c r="B64" s="2">
        <f t="shared" si="91"/>
        <v>56520.905033501978</v>
      </c>
      <c r="C64" s="2"/>
      <c r="D64" s="2">
        <f t="shared" si="94"/>
        <v>56141.807566366166</v>
      </c>
      <c r="E64" s="2">
        <f t="shared" si="95"/>
        <v>29865.298460959257</v>
      </c>
      <c r="F64" s="2"/>
      <c r="G64" s="2">
        <f t="shared" si="53"/>
        <v>52896.733247683616</v>
      </c>
      <c r="H64" s="2">
        <f t="shared" si="14"/>
        <v>77714.980762841413</v>
      </c>
      <c r="I64" s="2">
        <f t="shared" si="43"/>
        <v>273139.72507135244</v>
      </c>
      <c r="J64" s="2">
        <f t="shared" si="15"/>
        <v>12477.079324740043</v>
      </c>
      <c r="K64" s="6">
        <f t="shared" si="16"/>
        <v>4.7866771585173315E-2</v>
      </c>
      <c r="L64" s="7">
        <f t="shared" si="17"/>
        <v>1.0478667715851733</v>
      </c>
      <c r="N64">
        <f t="shared" si="18"/>
        <v>2016</v>
      </c>
      <c r="O64" s="2">
        <f t="shared" si="19"/>
        <v>8065.8280062243375</v>
      </c>
      <c r="P64" s="2"/>
      <c r="Q64" s="2"/>
      <c r="R64">
        <f t="shared" si="20"/>
        <v>2016</v>
      </c>
      <c r="S64" s="2">
        <f t="shared" si="96"/>
        <v>54907.739432257113</v>
      </c>
      <c r="T64" s="2"/>
      <c r="U64" s="2">
        <f t="shared" si="97"/>
        <v>54528.6419651213</v>
      </c>
      <c r="V64" s="2">
        <f t="shared" si="97"/>
        <v>28252.132859714387</v>
      </c>
      <c r="W64" s="2"/>
      <c r="X64" s="2">
        <f t="shared" si="98"/>
        <v>51283.567646438751</v>
      </c>
      <c r="Y64" s="2">
        <f t="shared" si="98"/>
        <v>76101.815161596547</v>
      </c>
      <c r="Z64" s="2">
        <f t="shared" si="23"/>
        <v>265073.89706512808</v>
      </c>
      <c r="AA64" s="2">
        <f t="shared" si="115"/>
        <v>12342.252307920193</v>
      </c>
      <c r="AB64" s="6">
        <f t="shared" si="116"/>
        <v>4.88354053160895E-2</v>
      </c>
      <c r="AC64" s="7">
        <f t="shared" si="26"/>
        <v>1.0488354053160895</v>
      </c>
      <c r="AD64" s="2">
        <f t="shared" si="27"/>
        <v>0</v>
      </c>
      <c r="AE64" s="2"/>
      <c r="AG64">
        <f t="shared" si="28"/>
        <v>2016</v>
      </c>
      <c r="AH64" s="6">
        <f t="shared" si="111"/>
        <v>0.20714125396800726</v>
      </c>
      <c r="AI64" s="7"/>
      <c r="AJ64" s="6">
        <f t="shared" si="105"/>
        <v>0.20571109629751183</v>
      </c>
      <c r="AK64" s="6">
        <f t="shared" si="105"/>
        <v>0.10658210096323781</v>
      </c>
      <c r="AL64" s="7"/>
      <c r="AM64" s="6">
        <f t="shared" si="117"/>
        <v>0.19346894663807085</v>
      </c>
      <c r="AN64" s="6">
        <f t="shared" si="30"/>
        <v>0.28709660213317229</v>
      </c>
      <c r="AO64" s="6">
        <f t="shared" si="31"/>
        <v>1</v>
      </c>
      <c r="AP64" s="7">
        <f t="shared" si="32"/>
        <v>0.71290339786682777</v>
      </c>
      <c r="AQ64" s="7">
        <f t="shared" si="33"/>
        <v>0</v>
      </c>
      <c r="AR64" s="24"/>
      <c r="AS64">
        <f t="shared" si="34"/>
        <v>2016</v>
      </c>
      <c r="AT64" s="1" t="b">
        <f t="shared" si="35"/>
        <v>1</v>
      </c>
      <c r="AV64" s="1" t="b">
        <f t="shared" si="99"/>
        <v>1</v>
      </c>
      <c r="AW64" s="1" t="b">
        <f t="shared" si="100"/>
        <v>1</v>
      </c>
      <c r="AY64" s="1" t="b">
        <f t="shared" si="50"/>
        <v>1</v>
      </c>
      <c r="AZ64" s="1" t="b">
        <f t="shared" si="37"/>
        <v>1</v>
      </c>
      <c r="BA64" s="1" t="b">
        <f t="shared" si="38"/>
        <v>1</v>
      </c>
      <c r="BC64">
        <f t="shared" si="39"/>
        <v>2016</v>
      </c>
      <c r="BD64" s="2">
        <f t="shared" si="51"/>
        <v>54907.739432257113</v>
      </c>
      <c r="BE64" s="2"/>
      <c r="BF64" s="2">
        <f t="shared" ref="BF64:BG64" si="142">U64</f>
        <v>54528.6419651213</v>
      </c>
      <c r="BG64" s="2">
        <f t="shared" si="142"/>
        <v>28252.132859714387</v>
      </c>
      <c r="BH64" s="2"/>
      <c r="BI64" s="2">
        <f>X64</f>
        <v>51283.567646438751</v>
      </c>
      <c r="BJ64" s="2">
        <f t="shared" ref="BJ64" si="143">Y64</f>
        <v>76101.815161596547</v>
      </c>
      <c r="BK64" s="2">
        <f t="shared" si="41"/>
        <v>265073.89706512808</v>
      </c>
      <c r="BL64" s="2">
        <f t="shared" si="42"/>
        <v>0</v>
      </c>
      <c r="BM64" s="2"/>
    </row>
    <row r="65" spans="1:62" x14ac:dyDescent="0.25">
      <c r="A65" s="9" t="s">
        <v>78</v>
      </c>
      <c r="B65" s="10">
        <f>BD64</f>
        <v>54907.739432257113</v>
      </c>
      <c r="C65" s="10"/>
      <c r="D65" s="10">
        <f>BF64</f>
        <v>54528.6419651213</v>
      </c>
      <c r="E65" s="10">
        <f>BG64</f>
        <v>28252.132859714387</v>
      </c>
      <c r="F65" s="10"/>
      <c r="G65" s="10">
        <f>BI64</f>
        <v>51283.567646438751</v>
      </c>
      <c r="H65" s="10">
        <f>BJ64</f>
        <v>76101.815161596547</v>
      </c>
      <c r="I65" s="10">
        <f>SUM(B65:H65)</f>
        <v>265073.89706512808</v>
      </c>
      <c r="J65" s="10"/>
      <c r="K65" s="10"/>
      <c r="L65" s="73"/>
      <c r="N65" t="s">
        <v>40</v>
      </c>
      <c r="O65" s="2">
        <f>O64</f>
        <v>8065.8280062243375</v>
      </c>
      <c r="P65" s="2"/>
      <c r="R65" s="9" t="s">
        <v>78</v>
      </c>
      <c r="S65" s="10">
        <f>S64</f>
        <v>54907.739432257113</v>
      </c>
      <c r="T65" s="10"/>
      <c r="U65" s="10">
        <f>U64</f>
        <v>54528.6419651213</v>
      </c>
      <c r="V65" s="10">
        <f>V64</f>
        <v>28252.132859714387</v>
      </c>
      <c r="W65" s="10"/>
      <c r="X65" s="10">
        <f>X64</f>
        <v>51283.567646438751</v>
      </c>
      <c r="Y65" s="10">
        <f>Y64</f>
        <v>76101.815161596547</v>
      </c>
      <c r="Z65" s="10">
        <f>SUM(S65:Y65)</f>
        <v>265073.89706512808</v>
      </c>
      <c r="AA65" s="10"/>
      <c r="AB65" s="10"/>
      <c r="AC65" s="73"/>
      <c r="AD65" s="10"/>
      <c r="AE65" s="43"/>
      <c r="AK65" s="7"/>
      <c r="BC65" s="21"/>
      <c r="BD65" s="22"/>
      <c r="BF65" s="22"/>
      <c r="BG65" s="22"/>
      <c r="BI65" s="22"/>
      <c r="BJ65" s="22"/>
    </row>
    <row r="66" spans="1:62" x14ac:dyDescent="0.25">
      <c r="A66" s="11" t="s">
        <v>11</v>
      </c>
      <c r="I66" s="6">
        <f>(Z65-Z39)/Z39</f>
        <v>1.6507389706512807</v>
      </c>
      <c r="K66" s="6"/>
      <c r="N66" t="s">
        <v>70</v>
      </c>
      <c r="O66" s="2">
        <f>SUM(O40:O64)</f>
        <v>161096.15649493449</v>
      </c>
      <c r="P66" s="2"/>
      <c r="AB66" s="6"/>
      <c r="AN66" s="79"/>
      <c r="BC66" s="21" t="s">
        <v>160</v>
      </c>
      <c r="BD66">
        <f>COUNTA(BD44,BD46,BD50:BD51,BD54,BD56,BD58,BD63)</f>
        <v>8</v>
      </c>
      <c r="BF66" s="22"/>
    </row>
    <row r="67" spans="1:62" x14ac:dyDescent="0.25">
      <c r="A67" s="1" t="s">
        <v>12</v>
      </c>
      <c r="I67" s="12">
        <f>STDEV(AC40:AC64)</f>
        <v>0.11404284343281662</v>
      </c>
    </row>
    <row r="68" spans="1:62" x14ac:dyDescent="0.25">
      <c r="A68" s="1" t="s">
        <v>13</v>
      </c>
      <c r="I68" s="13">
        <f>((1+I66)^(1/I75))-1</f>
        <v>3.9763765006658236E-2</v>
      </c>
    </row>
    <row r="69" spans="1:62" x14ac:dyDescent="0.25">
      <c r="A69" s="1" t="s">
        <v>82</v>
      </c>
      <c r="I69" s="31">
        <f>J60</f>
        <v>17443.864501448814</v>
      </c>
      <c r="O69" s="2"/>
      <c r="P69" s="2"/>
    </row>
    <row r="70" spans="1:62" x14ac:dyDescent="0.25">
      <c r="A70" s="1" t="s">
        <v>83</v>
      </c>
      <c r="I70" s="32">
        <f>K60</f>
        <v>8.4203055319791539E-2</v>
      </c>
    </row>
    <row r="71" spans="1:62" x14ac:dyDescent="0.25">
      <c r="A71" s="1" t="s">
        <v>42</v>
      </c>
      <c r="I71" s="2">
        <f>O66</f>
        <v>161096.15649493449</v>
      </c>
    </row>
    <row r="72" spans="1:62" x14ac:dyDescent="0.25">
      <c r="A72" s="3" t="s">
        <v>5</v>
      </c>
      <c r="B72" s="3"/>
      <c r="C72" s="3"/>
      <c r="D72" s="3"/>
      <c r="E72" s="3"/>
      <c r="F72" s="3"/>
      <c r="G72" s="3"/>
      <c r="H72" s="3"/>
      <c r="I72" s="33">
        <f>I65-Z65</f>
        <v>0</v>
      </c>
      <c r="Z72" s="2"/>
    </row>
    <row r="73" spans="1:62" x14ac:dyDescent="0.25">
      <c r="A73" s="3" t="s">
        <v>148</v>
      </c>
      <c r="B73" s="3"/>
      <c r="C73" s="3"/>
      <c r="D73" s="3"/>
      <c r="E73" s="3"/>
      <c r="F73" s="3"/>
      <c r="G73" s="3"/>
      <c r="H73" s="3"/>
      <c r="I73" s="33">
        <f>((SUM(AA40:AA64)))-(I65-I39)</f>
        <v>0</v>
      </c>
    </row>
    <row r="74" spans="1:62" x14ac:dyDescent="0.25">
      <c r="A74" s="3" t="s">
        <v>147</v>
      </c>
      <c r="B74" s="3"/>
      <c r="C74" s="3"/>
      <c r="D74" s="3"/>
      <c r="E74" s="3"/>
      <c r="F74" s="3"/>
      <c r="G74" s="3"/>
      <c r="H74" s="3"/>
      <c r="I74" s="33">
        <f>(SUM(O40:O64))-I71</f>
        <v>0</v>
      </c>
      <c r="Z74" s="72"/>
    </row>
    <row r="75" spans="1:62" x14ac:dyDescent="0.25">
      <c r="A75" s="3" t="s">
        <v>159</v>
      </c>
      <c r="B75" s="3"/>
      <c r="C75" s="3"/>
      <c r="D75" s="3"/>
      <c r="E75" s="3"/>
      <c r="F75" s="3"/>
      <c r="G75" s="3"/>
      <c r="H75" s="3"/>
      <c r="I75" s="74">
        <f>COUNTA(I40:I64)</f>
        <v>25</v>
      </c>
    </row>
    <row r="76" spans="1:62" x14ac:dyDescent="0.25">
      <c r="A76" s="1" t="s">
        <v>105</v>
      </c>
      <c r="B76" s="62"/>
      <c r="C76" s="62"/>
      <c r="D76" s="62"/>
      <c r="E76" s="62"/>
      <c r="G76" s="62"/>
      <c r="H76" s="62"/>
      <c r="I76" s="85">
        <f>(SUM(B65:G65)/I65)</f>
        <v>0.71290339786682766</v>
      </c>
    </row>
    <row r="77" spans="1:62" x14ac:dyDescent="0.25">
      <c r="A77" s="1" t="s">
        <v>106</v>
      </c>
      <c r="B77" s="62"/>
      <c r="C77" s="62"/>
      <c r="D77" s="62"/>
      <c r="E77" s="62"/>
      <c r="G77" s="62"/>
      <c r="H77" s="62"/>
      <c r="I77" s="85">
        <f>(H65/I65)</f>
        <v>0.28709660213317229</v>
      </c>
    </row>
    <row r="78" spans="1:62" x14ac:dyDescent="0.25">
      <c r="A78" s="3" t="s">
        <v>107</v>
      </c>
      <c r="I78" s="3">
        <f>100%-(I76+I77)</f>
        <v>0</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38D6-8225-4F04-97ED-DF255C76E813}">
  <dimension ref="A1:BM78"/>
  <sheetViews>
    <sheetView topLeftCell="A30" zoomScale="110" zoomScaleNormal="110" workbookViewId="0">
      <pane xSplit="32895" topLeftCell="AV1"/>
      <selection activeCell="A76" sqref="A76:I78"/>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49</v>
      </c>
      <c r="N1" s="20" t="s">
        <v>144</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1992</v>
      </c>
      <c r="B4" s="17">
        <f>'Non-Rebalanced Portfolio'!B4</f>
        <v>7.42</v>
      </c>
      <c r="C4" s="19">
        <f>'Non-Rebalanced Portfolio'!C4</f>
        <v>12.465999999999999</v>
      </c>
      <c r="D4" s="17"/>
      <c r="E4" s="17"/>
      <c r="F4" s="17">
        <f>'Non-Rebalanced Portfolio'!F4</f>
        <v>-8.7210000000000001</v>
      </c>
      <c r="G4" s="17"/>
      <c r="H4" s="17">
        <f>'Non-Rebalanced Portfolio'!H4</f>
        <v>7.14</v>
      </c>
      <c r="N4" s="49">
        <f>'4.5% Withdrawals-No Rebalancing'!N4</f>
        <v>1992</v>
      </c>
      <c r="O4" s="50">
        <f>'4.5% Withdrawals-No Rebalancing'!O4</f>
        <v>0.03</v>
      </c>
      <c r="P4" s="44"/>
    </row>
    <row r="5" spans="1:16" x14ac:dyDescent="0.25">
      <c r="A5" s="17">
        <f>'Non-Rebalanced Portfolio'!A5</f>
        <v>1993</v>
      </c>
      <c r="B5" s="17">
        <f>'Non-Rebalanced Portfolio'!B5</f>
        <v>9.89</v>
      </c>
      <c r="C5" s="19">
        <f>'Non-Rebalanced Portfolio'!C5</f>
        <v>14.49</v>
      </c>
      <c r="D5" s="17"/>
      <c r="E5" s="17"/>
      <c r="F5" s="17">
        <f>'Non-Rebalanced Portfolio'!F5</f>
        <v>30.494</v>
      </c>
      <c r="G5" s="17"/>
      <c r="H5" s="17">
        <f>'Non-Rebalanced Portfolio'!H5</f>
        <v>9.68</v>
      </c>
      <c r="N5" s="49">
        <f>'4.5% Withdrawals-No Rebalancing'!N5</f>
        <v>1993</v>
      </c>
      <c r="O5" s="50">
        <f>'4.5% Withdrawals-No Rebalancing'!O5</f>
        <v>2.8000000000000001E-2</v>
      </c>
      <c r="P5" s="44"/>
    </row>
    <row r="6" spans="1:16" x14ac:dyDescent="0.25">
      <c r="A6" s="17">
        <f>'Non-Rebalanced Portfolio'!A6</f>
        <v>1994</v>
      </c>
      <c r="B6" s="17">
        <f>'Non-Rebalanced Portfolio'!B6</f>
        <v>1.18</v>
      </c>
      <c r="C6" s="19">
        <f>'Non-Rebalanced Portfolio'!C6</f>
        <v>-1.764</v>
      </c>
      <c r="D6" s="17"/>
      <c r="E6" s="17"/>
      <c r="F6" s="17">
        <f>'Non-Rebalanced Portfolio'!F6</f>
        <v>5.2549999999999999</v>
      </c>
      <c r="G6" s="17"/>
      <c r="H6" s="17">
        <f>'Non-Rebalanced Portfolio'!H6</f>
        <v>-2.66</v>
      </c>
      <c r="N6" s="49">
        <f>'4.5% Withdrawals-No Rebalancing'!N6</f>
        <v>1994</v>
      </c>
      <c r="O6" s="50">
        <f>'4.5% Withdrawals-No Rebalancing'!O6</f>
        <v>2.5999999999999999E-2</v>
      </c>
      <c r="P6" s="44"/>
    </row>
    <row r="7" spans="1:16" x14ac:dyDescent="0.25">
      <c r="A7" s="17">
        <f>'Non-Rebalanced Portfolio'!A7</f>
        <v>1995</v>
      </c>
      <c r="B7" s="17">
        <f>'Non-Rebalanced Portfolio'!B7</f>
        <v>37.450000000000003</v>
      </c>
      <c r="C7" s="19">
        <f>'Non-Rebalanced Portfolio'!C7</f>
        <v>33.796999999999997</v>
      </c>
      <c r="D7" s="17"/>
      <c r="E7" s="17"/>
      <c r="F7" s="17">
        <f>'Non-Rebalanced Portfolio'!F7</f>
        <v>9.6460000000000008</v>
      </c>
      <c r="G7" s="17"/>
      <c r="H7" s="17">
        <f>'Non-Rebalanced Portfolio'!H7</f>
        <v>18.18</v>
      </c>
      <c r="N7" s="49">
        <f>'4.5% Withdrawals-No Rebalancing'!N7</f>
        <v>1995</v>
      </c>
      <c r="O7" s="50">
        <f>'4.5% Withdrawals-No Rebalancing'!O7</f>
        <v>2.5000000000000001E-2</v>
      </c>
      <c r="P7" s="44"/>
    </row>
    <row r="8" spans="1:16" x14ac:dyDescent="0.25">
      <c r="A8" s="17">
        <f>'Non-Rebalanced Portfolio'!A8</f>
        <v>1996</v>
      </c>
      <c r="B8" s="17">
        <f>'Non-Rebalanced Portfolio'!B8</f>
        <v>22.88</v>
      </c>
      <c r="C8" s="19">
        <f>'Non-Rebalanced Portfolio'!C8</f>
        <v>17.646999999999998</v>
      </c>
      <c r="D8" s="17"/>
      <c r="E8" s="17"/>
      <c r="F8" s="17">
        <f>'Non-Rebalanced Portfolio'!F8</f>
        <v>10.218999999999999</v>
      </c>
      <c r="G8" s="17"/>
      <c r="H8" s="17">
        <f>'Non-Rebalanced Portfolio'!H8</f>
        <v>3.58</v>
      </c>
      <c r="N8" s="49">
        <f>'4.5% Withdrawals-No Rebalancing'!N8</f>
        <v>1996</v>
      </c>
      <c r="O8" s="50">
        <f>'4.5% Withdrawals-No Rebalancing'!O8</f>
        <v>3.4000000000000002E-2</v>
      </c>
      <c r="P8" s="44"/>
    </row>
    <row r="9" spans="1:16" x14ac:dyDescent="0.25">
      <c r="A9" s="17">
        <f>'Non-Rebalanced Portfolio'!A9</f>
        <v>1997</v>
      </c>
      <c r="B9" s="17">
        <f>'Non-Rebalanced Portfolio'!B9</f>
        <v>33.19</v>
      </c>
      <c r="C9" s="19">
        <f>'Non-Rebalanced Portfolio'!C9</f>
        <v>26.687000000000001</v>
      </c>
      <c r="D9" s="17"/>
      <c r="E9" s="17"/>
      <c r="F9" s="17">
        <f>'Non-Rebalanced Portfolio'!F9</f>
        <v>0</v>
      </c>
      <c r="G9" s="17"/>
      <c r="H9" s="17">
        <f>'Non-Rebalanced Portfolio'!H9</f>
        <v>9.44</v>
      </c>
      <c r="N9" s="49">
        <f>'4.5% Withdrawals-No Rebalancing'!N9</f>
        <v>1997</v>
      </c>
      <c r="O9" s="50">
        <f>'4.5% Withdrawals-No Rebalancing'!O9</f>
        <v>1.7000000000000001E-2</v>
      </c>
      <c r="P9" s="44"/>
    </row>
    <row r="10" spans="1:16" x14ac:dyDescent="0.25">
      <c r="A10" s="17">
        <f>'Non-Rebalanced Portfolio'!A10</f>
        <v>1998</v>
      </c>
      <c r="B10" s="17">
        <f>'Non-Rebalanced Portfolio'!B10</f>
        <v>28.66</v>
      </c>
      <c r="C10" s="19">
        <f>'Non-Rebalanced Portfolio'!C10</f>
        <v>8.3529999999999998</v>
      </c>
      <c r="D10" s="17"/>
      <c r="E10" s="17"/>
      <c r="F10" s="17"/>
      <c r="G10" s="17">
        <f>'Non-Rebalanced Portfolio'!G10</f>
        <v>15.603</v>
      </c>
      <c r="H10" s="17">
        <f>'Non-Rebalanced Portfolio'!H10</f>
        <v>8.58</v>
      </c>
      <c r="N10" s="49">
        <f>'4.5% Withdrawals-No Rebalancing'!N10</f>
        <v>1998</v>
      </c>
      <c r="O10" s="50">
        <f>'4.5% Withdrawals-No Rebalancing'!O10</f>
        <v>1.6E-2</v>
      </c>
      <c r="P10" s="44"/>
    </row>
    <row r="11" spans="1:16" x14ac:dyDescent="0.25">
      <c r="A11" s="17">
        <f>'Non-Rebalanced Portfolio'!A11</f>
        <v>1999</v>
      </c>
      <c r="B11" s="17">
        <f>'Non-Rebalanced Portfolio'!B11</f>
        <v>21.07</v>
      </c>
      <c r="C11" s="19">
        <f>'Non-Rebalanced Portfolio'!C11</f>
        <v>0</v>
      </c>
      <c r="D11" s="17"/>
      <c r="E11" s="17"/>
      <c r="F11" s="17"/>
      <c r="G11" s="17">
        <f>'Non-Rebalanced Portfolio'!G11</f>
        <v>29.919</v>
      </c>
      <c r="H11" s="17">
        <f>'Non-Rebalanced Portfolio'!H11</f>
        <v>-0.76</v>
      </c>
      <c r="N11" s="49">
        <f>'4.5% Withdrawals-No Rebalancing'!N11</f>
        <v>1999</v>
      </c>
      <c r="O11" s="50">
        <f>'4.5% Withdrawals-No Rebalancing'!O11</f>
        <v>2.7E-2</v>
      </c>
      <c r="P11" s="44"/>
    </row>
    <row r="12" spans="1:16" x14ac:dyDescent="0.25">
      <c r="A12" s="17">
        <f>'Non-Rebalanced Portfolio'!A12</f>
        <v>2000</v>
      </c>
      <c r="B12" s="17">
        <f>'Non-Rebalanced Portfolio'!B12</f>
        <v>-9.06</v>
      </c>
      <c r="C12" s="19">
        <f>'Non-Rebalanced Portfolio'!C12</f>
        <v>0</v>
      </c>
      <c r="D12" s="17"/>
      <c r="E12" s="17"/>
      <c r="F12" s="17"/>
      <c r="G12" s="17">
        <f>'Non-Rebalanced Portfolio'!G12</f>
        <v>-15.614000000000001</v>
      </c>
      <c r="H12" s="17">
        <f>'Non-Rebalanced Portfolio'!H12</f>
        <v>11.39</v>
      </c>
      <c r="N12" s="49">
        <f>'4.5% Withdrawals-No Rebalancing'!N12</f>
        <v>2000</v>
      </c>
      <c r="O12" s="50">
        <f>'4.5% Withdrawals-No Rebalancing'!O12</f>
        <v>3.4000000000000002E-2</v>
      </c>
      <c r="P12" s="44"/>
    </row>
    <row r="13" spans="1:16" x14ac:dyDescent="0.25">
      <c r="A13" s="17">
        <f>'Non-Rebalanced Portfolio'!A13</f>
        <v>2001</v>
      </c>
      <c r="B13" s="17">
        <f>'Non-Rebalanced Portfolio'!B13</f>
        <v>-12.02</v>
      </c>
      <c r="C13" s="19">
        <f>'Non-Rebalanced Portfolio'!C13</f>
        <v>0</v>
      </c>
      <c r="D13" s="17"/>
      <c r="E13" s="17"/>
      <c r="F13" s="17"/>
      <c r="G13" s="17">
        <f>'Non-Rebalanced Portfolio'!G13</f>
        <v>-20.152999999999999</v>
      </c>
      <c r="H13" s="17">
        <f>'Non-Rebalanced Portfolio'!H13</f>
        <v>8.43</v>
      </c>
      <c r="N13" s="49">
        <f>'4.5% Withdrawals-No Rebalancing'!N13</f>
        <v>2001</v>
      </c>
      <c r="O13" s="50">
        <f>'4.5% Withdrawals-No Rebalancing'!O13</f>
        <v>1.6E-2</v>
      </c>
      <c r="P13" s="44"/>
    </row>
    <row r="14" spans="1:16" x14ac:dyDescent="0.25">
      <c r="A14" s="17">
        <f>'Non-Rebalanced Portfolio'!A14</f>
        <v>2002</v>
      </c>
      <c r="B14" s="17">
        <f>'Non-Rebalanced Portfolio'!B14</f>
        <v>-22.15</v>
      </c>
      <c r="C14" s="19">
        <f>'Non-Rebalanced Portfolio'!C14</f>
        <v>0</v>
      </c>
      <c r="D14" s="17">
        <f>'Non-Rebalanced Portfolio'!D14</f>
        <v>-14.608000000000001</v>
      </c>
      <c r="E14" s="17">
        <f>'Non-Rebalanced Portfolio'!E14</f>
        <v>-20.021999999999998</v>
      </c>
      <c r="F14" s="17"/>
      <c r="G14" s="17">
        <f>'Non-Rebalanced Portfolio'!G14</f>
        <v>-15.083</v>
      </c>
      <c r="H14" s="17">
        <f>'Non-Rebalanced Portfolio'!H14</f>
        <v>8.26</v>
      </c>
      <c r="N14" s="49">
        <f>'4.5% Withdrawals-No Rebalancing'!N14</f>
        <v>2002</v>
      </c>
      <c r="O14" s="50">
        <f>'4.5% Withdrawals-No Rebalancing'!O14</f>
        <v>2.5000000000000001E-2</v>
      </c>
      <c r="P14" s="44"/>
    </row>
    <row r="15" spans="1:16" x14ac:dyDescent="0.25">
      <c r="A15" s="17">
        <f>'Non-Rebalanced Portfolio'!A15</f>
        <v>2003</v>
      </c>
      <c r="B15" s="17">
        <f>'Non-Rebalanced Portfolio'!B15</f>
        <v>28.5</v>
      </c>
      <c r="C15" s="17"/>
      <c r="D15" s="17">
        <f>'Non-Rebalanced Portfolio'!D15</f>
        <v>34.142000000000003</v>
      </c>
      <c r="E15" s="17">
        <f>'Non-Rebalanced Portfolio'!E15</f>
        <v>45.628</v>
      </c>
      <c r="F15" s="17"/>
      <c r="G15" s="17">
        <f>'Non-Rebalanced Portfolio'!G15</f>
        <v>40.340000000000003</v>
      </c>
      <c r="H15" s="17">
        <f>'Non-Rebalanced Portfolio'!H15</f>
        <v>3.97</v>
      </c>
      <c r="N15" s="49">
        <f>'4.5% Withdrawals-No Rebalancing'!N15</f>
        <v>2003</v>
      </c>
      <c r="O15" s="50">
        <f>'4.5% Withdrawals-No Rebalancing'!O15</f>
        <v>0.02</v>
      </c>
      <c r="P15" s="44"/>
    </row>
    <row r="16" spans="1:16"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c r="N16" s="49">
        <f>'4.5% Withdrawals-No Rebalancing'!N16</f>
        <v>2004</v>
      </c>
      <c r="O16" s="50">
        <f>'4.5% Withdrawals-No Rebalancing'!O16</f>
        <v>3.3000000000000002E-2</v>
      </c>
      <c r="P16" s="44"/>
    </row>
    <row r="17" spans="1:16"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c r="N17" s="49">
        <f>'4.5% Withdrawals-No Rebalancing'!N17</f>
        <v>2005</v>
      </c>
      <c r="O17" s="50">
        <f>'4.5% Withdrawals-No Rebalancing'!O17</f>
        <v>3.3000000000000002E-2</v>
      </c>
      <c r="P17" s="44"/>
    </row>
    <row r="18" spans="1:16"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c r="N18" s="49">
        <f>'4.5% Withdrawals-No Rebalancing'!N18</f>
        <v>2006</v>
      </c>
      <c r="O18" s="50">
        <f>'4.5% Withdrawals-No Rebalancing'!O18</f>
        <v>2.5000000000000001E-2</v>
      </c>
      <c r="P18" s="44"/>
    </row>
    <row r="19" spans="1:16"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c r="N19" s="49">
        <f>'4.5% Withdrawals-No Rebalancing'!N19</f>
        <v>2007</v>
      </c>
      <c r="O19" s="50">
        <f>'4.5% Withdrawals-No Rebalancing'!O19</f>
        <v>4.1000000000000002E-2</v>
      </c>
      <c r="P19" s="44"/>
    </row>
    <row r="20" spans="1:16"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c r="N20" s="49">
        <f>'4.5% Withdrawals-No Rebalancing'!N20</f>
        <v>2008</v>
      </c>
      <c r="O20" s="50">
        <f>'4.5% Withdrawals-No Rebalancing'!O20</f>
        <v>0</v>
      </c>
      <c r="P20" s="44"/>
    </row>
    <row r="21" spans="1:16"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c r="N21" s="49">
        <f>'4.5% Withdrawals-No Rebalancing'!N21</f>
        <v>2009</v>
      </c>
      <c r="O21" s="50">
        <f>'4.5% Withdrawals-No Rebalancing'!O21</f>
        <v>2.8000000000000001E-2</v>
      </c>
      <c r="P21" s="44"/>
    </row>
    <row r="22" spans="1:16"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c r="N22" s="49">
        <f>'4.5% Withdrawals-No Rebalancing'!N22</f>
        <v>2010</v>
      </c>
      <c r="O22" s="50">
        <f>'4.5% Withdrawals-No Rebalancing'!O22</f>
        <v>1.4E-2</v>
      </c>
      <c r="P22" s="44"/>
    </row>
    <row r="23" spans="1:16"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c r="N23" s="49">
        <f>'4.5% Withdrawals-No Rebalancing'!N23</f>
        <v>2011</v>
      </c>
      <c r="O23" s="50">
        <f>'4.5% Withdrawals-No Rebalancing'!O23</f>
        <v>0.03</v>
      </c>
      <c r="P23" s="44"/>
    </row>
    <row r="24" spans="1:16"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c r="N24" s="49">
        <f>'4.5% Withdrawals-No Rebalancing'!N24</f>
        <v>2012</v>
      </c>
      <c r="O24" s="50">
        <f>'4.5% Withdrawals-No Rebalancing'!O24</f>
        <v>1.7999999999999999E-2</v>
      </c>
      <c r="P24" s="44"/>
    </row>
    <row r="25" spans="1:16"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c r="N25" s="49">
        <f>'4.5% Withdrawals-No Rebalancing'!N25</f>
        <v>2013</v>
      </c>
      <c r="O25" s="50">
        <f>'4.5% Withdrawals-No Rebalancing'!O25</f>
        <v>1.15559170535223E-2</v>
      </c>
      <c r="P25" s="44"/>
    </row>
    <row r="26" spans="1:16"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c r="N26" s="49">
        <f>'4.5% Withdrawals-No Rebalancing'!N26</f>
        <v>2014</v>
      </c>
      <c r="O26" s="50">
        <f>'4.5% Withdrawals-No Rebalancing'!O26</f>
        <v>1.29E-2</v>
      </c>
      <c r="P26" s="44"/>
    </row>
    <row r="27" spans="1:16"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c r="N27" s="49">
        <f>'4.5% Withdrawals-No Rebalancing'!N27</f>
        <v>2015</v>
      </c>
      <c r="O27" s="50">
        <f>'4.5% Withdrawals-No Rebalancing'!O27</f>
        <v>4.4000000000000003E-3</v>
      </c>
    </row>
    <row r="28" spans="1:16" x14ac:dyDescent="0.25">
      <c r="A28" s="17">
        <f>'Non-Rebalanced Portfolio'!A28</f>
        <v>2016</v>
      </c>
      <c r="B28" s="17">
        <f>'Non-Rebalanced Portfolio'!B28</f>
        <v>11.82</v>
      </c>
      <c r="C28" s="17"/>
      <c r="D28" s="17">
        <f>'Non-Rebalanced Portfolio'!D28</f>
        <v>11.07</v>
      </c>
      <c r="E28" s="17">
        <f>'Non-Rebalanced Portfolio'!E28</f>
        <v>18.170000000000002</v>
      </c>
      <c r="F28" s="17"/>
      <c r="G28" s="17">
        <f>'Non-Rebalanced Portfolio'!G28</f>
        <v>4.6500000000000004</v>
      </c>
      <c r="H28" s="17">
        <f>'Non-Rebalanced Portfolio'!H28</f>
        <v>2.5</v>
      </c>
      <c r="N28" s="49">
        <f>'4.5% Withdrawals-No Rebalancing'!N28</f>
        <v>2016</v>
      </c>
      <c r="O28" s="50">
        <f>'4.5% Withdrawals-No Rebalancing'!O28</f>
        <v>1.7000000000000001E-2</v>
      </c>
    </row>
    <row r="29" spans="1:16" x14ac:dyDescent="0.25">
      <c r="A29" s="17">
        <f>'Non-Rebalanced Portfolio'!A29</f>
        <v>2017</v>
      </c>
      <c r="B29" s="17">
        <f>'Non-Rebalanced Portfolio'!B29</f>
        <v>21.67</v>
      </c>
      <c r="C29" s="17"/>
      <c r="D29" s="17">
        <f>'Non-Rebalanced Portfolio'!D29</f>
        <v>19.600000000000001</v>
      </c>
      <c r="E29" s="17">
        <f>'Non-Rebalanced Portfolio'!E29</f>
        <v>16.100000000000001</v>
      </c>
      <c r="F29" s="17"/>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7"/>
      <c r="D30" s="17">
        <f>'Non-Rebalanced Portfolio'!D30</f>
        <v>19.600000000000001</v>
      </c>
      <c r="E30" s="17">
        <f>'Non-Rebalanced Portfolio'!E30</f>
        <v>16.100000000000001</v>
      </c>
      <c r="F30" s="17"/>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'4.5% Withdrawals-No Rebalancing'!N32</f>
        <v>2017</v>
      </c>
      <c r="O32" s="50">
        <f>'4.5% Withdrawals-No Rebalancing'!O32</f>
        <v>2.23E-2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5">
      <c r="A36" s="20" t="s">
        <v>156</v>
      </c>
      <c r="N36" s="20" t="s">
        <v>25</v>
      </c>
      <c r="R36" s="20" t="s">
        <v>157</v>
      </c>
      <c r="AG36" s="20" t="s">
        <v>158</v>
      </c>
      <c r="AS36" s="20" t="s">
        <v>7</v>
      </c>
      <c r="BC36" s="20" t="s">
        <v>155</v>
      </c>
    </row>
    <row r="37" spans="1:6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88</v>
      </c>
    </row>
    <row r="38" spans="1:65"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72</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87</v>
      </c>
    </row>
    <row r="39" spans="1:65" x14ac:dyDescent="0.25">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86</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65" x14ac:dyDescent="0.25">
      <c r="A40">
        <f t="shared" ref="A40:A64" si="6">A4</f>
        <v>1992</v>
      </c>
      <c r="B40" s="2">
        <f>B39*(1+(B4/100))</f>
        <v>21484</v>
      </c>
      <c r="C40" s="2">
        <f>C39*(1+(C4/100))</f>
        <v>33739.800000000003</v>
      </c>
      <c r="D40" s="2"/>
      <c r="E40" s="2"/>
      <c r="F40" s="2">
        <f>F39*(1+(F4/100))</f>
        <v>18255.8</v>
      </c>
      <c r="G40" s="2"/>
      <c r="H40" s="2">
        <f>H39*(1+(H4/100))</f>
        <v>32141.999999999996</v>
      </c>
      <c r="I40" s="2">
        <f>SUM(B40:H40)</f>
        <v>105621.6</v>
      </c>
      <c r="J40" s="2">
        <f>I40-I39</f>
        <v>5621.6000000000058</v>
      </c>
      <c r="K40" s="6">
        <f>(J40/I39)</f>
        <v>5.6216000000000058E-2</v>
      </c>
      <c r="L40" s="7">
        <f>K40+1</f>
        <v>1.056216</v>
      </c>
      <c r="N40">
        <f>A40</f>
        <v>1992</v>
      </c>
      <c r="O40" s="2">
        <f>I40*0.04</f>
        <v>4224.8640000000005</v>
      </c>
      <c r="P40" s="2"/>
      <c r="Q40" s="2"/>
      <c r="R40">
        <f>A40</f>
        <v>1992</v>
      </c>
      <c r="S40" s="2">
        <f>B40-($O40/4)</f>
        <v>20427.784</v>
      </c>
      <c r="T40" s="2">
        <f>C40-($O40/4)</f>
        <v>32683.584000000003</v>
      </c>
      <c r="U40" s="2"/>
      <c r="V40" s="2"/>
      <c r="W40" s="2">
        <f t="shared" ref="W40:W44" si="7">F40-($O40/4)</f>
        <v>17199.583999999999</v>
      </c>
      <c r="X40" s="2"/>
      <c r="Y40" s="2">
        <f>H40-($O40/4)</f>
        <v>31085.783999999996</v>
      </c>
      <c r="Z40" s="2">
        <f>SUM(S40:Y40)</f>
        <v>101396.736</v>
      </c>
      <c r="AA40" s="2">
        <f>Z40-Z39</f>
        <v>1396.7360000000044</v>
      </c>
      <c r="AB40" s="6">
        <f>(AA40/Z39)</f>
        <v>1.3967360000000045E-2</v>
      </c>
      <c r="AC40" s="7">
        <f>AB40+1</f>
        <v>1.0139673600000001</v>
      </c>
      <c r="AD40" s="2">
        <f>Z40-(I40-O40)</f>
        <v>0</v>
      </c>
      <c r="AE40" s="2"/>
      <c r="AG40">
        <f>A40</f>
        <v>1992</v>
      </c>
      <c r="AH40" s="6">
        <f t="shared" si="5"/>
        <v>0.20146392088991896</v>
      </c>
      <c r="AI40" s="6">
        <f t="shared" si="5"/>
        <v>0.32233368932112372</v>
      </c>
      <c r="AJ40" s="7"/>
      <c r="AK40" s="7"/>
      <c r="AL40" s="6">
        <f>W40/$Z40</f>
        <v>0.16962660415420078</v>
      </c>
      <c r="AM40" s="7"/>
      <c r="AN40" s="6">
        <f>Y40/$Z40</f>
        <v>0.30657578563475646</v>
      </c>
      <c r="AO40" s="6">
        <f>SUM(AH40:AN40)</f>
        <v>0.99999999999999978</v>
      </c>
      <c r="AP40" s="7">
        <f>SUM(AH40:AM40)</f>
        <v>0.69342421436524337</v>
      </c>
      <c r="AQ40" s="7">
        <f>AO40-(AP40+AN40)</f>
        <v>0</v>
      </c>
      <c r="AR40" s="24"/>
      <c r="AS40">
        <f>AG40</f>
        <v>1992</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1992</v>
      </c>
      <c r="BD40" s="2">
        <f t="shared" ref="BD40:BE50" si="9">$BK40*BD$39</f>
        <v>20279.347200000004</v>
      </c>
      <c r="BE40" s="2">
        <f t="shared" si="9"/>
        <v>30419.020799999998</v>
      </c>
      <c r="BF40" s="2"/>
      <c r="BG40" s="2"/>
      <c r="BH40" s="2">
        <f t="shared" ref="BH40:BH44" si="10">$BK40*BH$39</f>
        <v>20279.347200000004</v>
      </c>
      <c r="BI40" s="2"/>
      <c r="BJ40" s="2">
        <f t="shared" ref="BJ40:BJ64" si="11">$BK40*BJ$39</f>
        <v>30419.020799999998</v>
      </c>
      <c r="BK40" s="2">
        <f>Z40</f>
        <v>101396.736</v>
      </c>
      <c r="BL40" s="2">
        <f>SUM(BD40:BJ40)-Z40</f>
        <v>0</v>
      </c>
      <c r="BM40" s="2"/>
    </row>
    <row r="41" spans="1:65" x14ac:dyDescent="0.25">
      <c r="A41">
        <f t="shared" si="6"/>
        <v>1993</v>
      </c>
      <c r="B41" s="2">
        <f t="shared" ref="B41:B50" si="12">BD40*(1+(B5/100))</f>
        <v>22284.974638080002</v>
      </c>
      <c r="C41" s="2">
        <f t="shared" ref="C41:C46" si="13">BE40*(1+(C5/100))</f>
        <v>34826.736913920002</v>
      </c>
      <c r="D41" s="2"/>
      <c r="E41" s="2"/>
      <c r="F41" s="2">
        <f t="shared" ref="F41:F44" si="14">BH40*(1+(F5/100))</f>
        <v>26463.331335168004</v>
      </c>
      <c r="G41" s="2"/>
      <c r="H41" s="2">
        <f t="shared" ref="H41:H64" si="15">BJ40*(1+(H5/100))</f>
        <v>33363.582013439998</v>
      </c>
      <c r="I41" s="2">
        <f>SUM(B41:H41)</f>
        <v>116938.624900608</v>
      </c>
      <c r="J41" s="2">
        <f t="shared" ref="J41:J64" si="16">I41-I40</f>
        <v>11317.024900607998</v>
      </c>
      <c r="K41" s="6">
        <f t="shared" ref="K41:K64" si="17">(J41/I40)</f>
        <v>0.10714687999999997</v>
      </c>
      <c r="L41" s="7">
        <f t="shared" ref="L41:L64" si="18">K41+1</f>
        <v>1.1071468799999999</v>
      </c>
      <c r="N41">
        <f t="shared" ref="N41:N64" si="19">A41</f>
        <v>1993</v>
      </c>
      <c r="O41" s="2">
        <f t="shared" ref="O41:O64" si="20">O40*(1+O5)</f>
        <v>4343.1601920000003</v>
      </c>
      <c r="P41" s="2"/>
      <c r="Q41" s="2"/>
      <c r="R41">
        <f t="shared" ref="R41:R64" si="21">A41</f>
        <v>1993</v>
      </c>
      <c r="S41" s="2">
        <f t="shared" ref="S41:T46" si="22">B41-($O41/4)</f>
        <v>21199.184590080004</v>
      </c>
      <c r="T41" s="2">
        <f t="shared" si="22"/>
        <v>33740.946865919999</v>
      </c>
      <c r="U41" s="2"/>
      <c r="V41" s="2"/>
      <c r="W41" s="2">
        <f t="shared" si="7"/>
        <v>25377.541287168006</v>
      </c>
      <c r="X41" s="2"/>
      <c r="Y41" s="2">
        <f t="shared" ref="Y41:Y46" si="23">H41-($O41/4)</f>
        <v>32277.791965439999</v>
      </c>
      <c r="Z41" s="2">
        <f t="shared" ref="Z41:Z64" si="24">SUM(S41:Y41)</f>
        <v>112595.46470860801</v>
      </c>
      <c r="AA41" s="2">
        <f t="shared" ref="AA41:AA55" si="25">Z41-Z40</f>
        <v>11198.728708608003</v>
      </c>
      <c r="AB41" s="6">
        <f t="shared" ref="AB41:AB55" si="26">(AA41/Z40)</f>
        <v>0.11044466666666669</v>
      </c>
      <c r="AC41" s="7">
        <f t="shared" ref="AC41:AC64" si="27">AB41+1</f>
        <v>1.1104446666666667</v>
      </c>
      <c r="AD41" s="2">
        <f t="shared" ref="AD41:AD64" si="28">Z41-(I41-O41)</f>
        <v>0</v>
      </c>
      <c r="AE41" s="2"/>
      <c r="AG41">
        <f t="shared" ref="AG41:AG64" si="29">A41</f>
        <v>1993</v>
      </c>
      <c r="AH41" s="6">
        <f t="shared" si="5"/>
        <v>0.18827742880179535</v>
      </c>
      <c r="AI41" s="6">
        <f t="shared" si="5"/>
        <v>0.29966523921047844</v>
      </c>
      <c r="AJ41" s="7"/>
      <c r="AK41" s="7"/>
      <c r="AL41" s="6">
        <f t="shared" ref="AL41:AM56" si="30">W41/$Z41</f>
        <v>0.22538688705485554</v>
      </c>
      <c r="AM41" s="7"/>
      <c r="AN41" s="6">
        <f t="shared" ref="AN41:AN64" si="31">Y41/$Z41</f>
        <v>0.28667044493287069</v>
      </c>
      <c r="AO41" s="6">
        <f t="shared" ref="AO41:AO64" si="32">SUM(AH41:AN41)</f>
        <v>1</v>
      </c>
      <c r="AP41" s="7">
        <f t="shared" ref="AP41:AP64" si="33">SUM(AH41:AM41)</f>
        <v>0.71332955506712936</v>
      </c>
      <c r="AQ41" s="7">
        <f t="shared" ref="AQ41:AQ64" si="34">AO41-(AP41+AN41)</f>
        <v>0</v>
      </c>
      <c r="AR41" s="24"/>
      <c r="AS41">
        <f t="shared" ref="AS41:AS64" si="35">AG41</f>
        <v>1993</v>
      </c>
      <c r="AT41" s="1" t="b">
        <f t="shared" ref="AT41:AT64" si="36">AND((S41/$Z41)&gt;0.15,(S41/$Z41)&lt;0.25)</f>
        <v>1</v>
      </c>
      <c r="AU41" s="1" t="b">
        <f t="shared" ref="AU41:AU50" si="37">AND((T41/$Z41)&gt;0.25,(T41/$Z41)&lt;0.35)</f>
        <v>1</v>
      </c>
      <c r="AX41" s="1" t="b">
        <f t="shared" si="8"/>
        <v>1</v>
      </c>
      <c r="AZ41" s="1" t="b">
        <f t="shared" ref="AZ41:AZ64" si="38">AND((Y41/$Z41)&gt;0.25,(Y41/$Z41)&lt;0.35)</f>
        <v>1</v>
      </c>
      <c r="BA41" s="1" t="b">
        <f t="shared" ref="BA41:BA64" si="39">AND((Z41/$Z41)&gt;0.999,(Z41/$Z41)&lt;1.01)</f>
        <v>1</v>
      </c>
      <c r="BC41">
        <f t="shared" ref="BC41:BC64" si="40">AS41</f>
        <v>1993</v>
      </c>
      <c r="BD41" s="2">
        <f t="shared" si="9"/>
        <v>22519.092941721603</v>
      </c>
      <c r="BE41" s="2">
        <f t="shared" si="9"/>
        <v>33778.639412582401</v>
      </c>
      <c r="BF41" s="2"/>
      <c r="BG41" s="2"/>
      <c r="BH41" s="2">
        <f t="shared" si="10"/>
        <v>22519.092941721603</v>
      </c>
      <c r="BI41" s="2"/>
      <c r="BJ41" s="2">
        <f t="shared" si="11"/>
        <v>33778.639412582401</v>
      </c>
      <c r="BK41" s="2">
        <f t="shared" ref="BK41:BK64" si="41">Z41</f>
        <v>112595.46470860801</v>
      </c>
      <c r="BL41" s="2">
        <f t="shared" ref="BL41:BL64" si="42">SUM(BD41:BJ41)-Z41</f>
        <v>0</v>
      </c>
      <c r="BM41" s="2"/>
    </row>
    <row r="42" spans="1:65" x14ac:dyDescent="0.25">
      <c r="A42">
        <f t="shared" si="6"/>
        <v>1994</v>
      </c>
      <c r="B42" s="2">
        <f t="shared" si="12"/>
        <v>22784.81823843392</v>
      </c>
      <c r="C42" s="2">
        <f t="shared" si="13"/>
        <v>33182.78421334445</v>
      </c>
      <c r="D42" s="2"/>
      <c r="E42" s="2"/>
      <c r="F42" s="2">
        <f t="shared" si="14"/>
        <v>23702.471275809075</v>
      </c>
      <c r="G42" s="2"/>
      <c r="H42" s="2">
        <f t="shared" si="15"/>
        <v>32880.127604207708</v>
      </c>
      <c r="I42" s="2">
        <f t="shared" ref="I42:I64" si="43">SUM(B42:H42)</f>
        <v>112550.20133179515</v>
      </c>
      <c r="J42" s="2">
        <f t="shared" si="16"/>
        <v>-4388.4235688128538</v>
      </c>
      <c r="K42" s="6">
        <f t="shared" si="17"/>
        <v>-3.7527579724345096E-2</v>
      </c>
      <c r="L42" s="7">
        <f t="shared" si="18"/>
        <v>0.96247242027565494</v>
      </c>
      <c r="N42">
        <f t="shared" si="19"/>
        <v>1994</v>
      </c>
      <c r="O42" s="2">
        <f t="shared" si="20"/>
        <v>4456.0823569920003</v>
      </c>
      <c r="P42" s="2"/>
      <c r="Q42" s="2"/>
      <c r="R42">
        <f t="shared" si="21"/>
        <v>1994</v>
      </c>
      <c r="S42" s="2">
        <f t="shared" si="22"/>
        <v>21670.797649185919</v>
      </c>
      <c r="T42" s="2">
        <f t="shared" si="22"/>
        <v>32068.763624096449</v>
      </c>
      <c r="U42" s="2"/>
      <c r="V42" s="2"/>
      <c r="W42" s="2">
        <f t="shared" si="7"/>
        <v>22588.450686561075</v>
      </c>
      <c r="X42" s="2"/>
      <c r="Y42" s="2">
        <f t="shared" si="23"/>
        <v>31766.107014959707</v>
      </c>
      <c r="Z42" s="2">
        <f t="shared" si="24"/>
        <v>108094.11897480315</v>
      </c>
      <c r="AA42" s="2">
        <f t="shared" si="25"/>
        <v>-4501.3457338048611</v>
      </c>
      <c r="AB42" s="6">
        <f t="shared" si="26"/>
        <v>-3.9978037707416911E-2</v>
      </c>
      <c r="AC42" s="7">
        <f t="shared" si="27"/>
        <v>0.96002196229258308</v>
      </c>
      <c r="AD42" s="2">
        <f t="shared" si="28"/>
        <v>0</v>
      </c>
      <c r="AE42" s="2"/>
      <c r="AG42">
        <f t="shared" si="29"/>
        <v>1994</v>
      </c>
      <c r="AH42" s="6">
        <f t="shared" si="5"/>
        <v>0.20048082036949119</v>
      </c>
      <c r="AI42" s="6">
        <f t="shared" si="5"/>
        <v>0.29667445304375634</v>
      </c>
      <c r="AJ42" s="7"/>
      <c r="AK42" s="7"/>
      <c r="AL42" s="6">
        <f t="shared" si="30"/>
        <v>0.20897020948777487</v>
      </c>
      <c r="AM42" s="7"/>
      <c r="AN42" s="6">
        <f t="shared" si="31"/>
        <v>0.29387451709897761</v>
      </c>
      <c r="AO42" s="6">
        <f t="shared" si="32"/>
        <v>1</v>
      </c>
      <c r="AP42" s="7">
        <f t="shared" si="33"/>
        <v>0.70612548290102239</v>
      </c>
      <c r="AQ42" s="7">
        <f t="shared" si="34"/>
        <v>0</v>
      </c>
      <c r="AR42" s="24"/>
      <c r="AS42">
        <f t="shared" si="35"/>
        <v>1994</v>
      </c>
      <c r="AT42" s="1" t="b">
        <f t="shared" si="36"/>
        <v>1</v>
      </c>
      <c r="AU42" s="1" t="b">
        <f t="shared" si="37"/>
        <v>1</v>
      </c>
      <c r="AX42" s="1" t="b">
        <f t="shared" si="8"/>
        <v>1</v>
      </c>
      <c r="AZ42" s="1" t="b">
        <f t="shared" si="38"/>
        <v>1</v>
      </c>
      <c r="BA42" s="1" t="b">
        <f t="shared" si="39"/>
        <v>1</v>
      </c>
      <c r="BC42">
        <f t="shared" si="40"/>
        <v>1994</v>
      </c>
      <c r="BD42" s="2">
        <f t="shared" si="9"/>
        <v>21618.82379496063</v>
      </c>
      <c r="BE42" s="2">
        <f t="shared" si="9"/>
        <v>32428.235692440943</v>
      </c>
      <c r="BF42" s="2"/>
      <c r="BG42" s="2"/>
      <c r="BH42" s="2">
        <f t="shared" si="10"/>
        <v>21618.82379496063</v>
      </c>
      <c r="BI42" s="2"/>
      <c r="BJ42" s="2">
        <f t="shared" si="11"/>
        <v>32428.235692440943</v>
      </c>
      <c r="BK42" s="2">
        <f t="shared" si="41"/>
        <v>108094.11897480315</v>
      </c>
      <c r="BL42" s="2">
        <f t="shared" si="42"/>
        <v>0</v>
      </c>
      <c r="BM42" s="2"/>
    </row>
    <row r="43" spans="1:65" x14ac:dyDescent="0.25">
      <c r="A43">
        <f t="shared" si="6"/>
        <v>1995</v>
      </c>
      <c r="B43" s="2">
        <f t="shared" si="12"/>
        <v>29715.073306173388</v>
      </c>
      <c r="C43" s="2">
        <f t="shared" si="13"/>
        <v>43388.006509415201</v>
      </c>
      <c r="D43" s="2"/>
      <c r="E43" s="2"/>
      <c r="F43" s="2">
        <f t="shared" si="14"/>
        <v>23704.175538222531</v>
      </c>
      <c r="G43" s="2"/>
      <c r="H43" s="2">
        <f t="shared" si="15"/>
        <v>38323.688941326705</v>
      </c>
      <c r="I43" s="2">
        <f t="shared" si="43"/>
        <v>135130.94429513783</v>
      </c>
      <c r="J43" s="2">
        <f t="shared" si="16"/>
        <v>22580.74296334268</v>
      </c>
      <c r="K43" s="6">
        <f t="shared" si="17"/>
        <v>0.20062818809870647</v>
      </c>
      <c r="L43" s="7">
        <f t="shared" si="18"/>
        <v>1.2006281880987064</v>
      </c>
      <c r="N43">
        <f t="shared" si="19"/>
        <v>1995</v>
      </c>
      <c r="O43" s="2">
        <f t="shared" si="20"/>
        <v>4567.4844159167997</v>
      </c>
      <c r="P43" s="2"/>
      <c r="Q43" s="2"/>
      <c r="R43">
        <f t="shared" si="21"/>
        <v>1995</v>
      </c>
      <c r="S43" s="2">
        <f t="shared" si="22"/>
        <v>28573.202202194188</v>
      </c>
      <c r="T43" s="2">
        <f t="shared" si="22"/>
        <v>42246.135405435998</v>
      </c>
      <c r="U43" s="2"/>
      <c r="V43" s="2"/>
      <c r="W43" s="2">
        <f t="shared" si="7"/>
        <v>22562.304434243331</v>
      </c>
      <c r="X43" s="2"/>
      <c r="Y43" s="2">
        <f t="shared" si="23"/>
        <v>37181.817837347502</v>
      </c>
      <c r="Z43" s="2">
        <f t="shared" si="24"/>
        <v>130563.45987922102</v>
      </c>
      <c r="AA43" s="2">
        <f t="shared" si="25"/>
        <v>22469.34090441787</v>
      </c>
      <c r="AB43" s="6">
        <f t="shared" si="26"/>
        <v>0.20786830141661544</v>
      </c>
      <c r="AC43" s="7">
        <f t="shared" si="27"/>
        <v>1.2078683014166154</v>
      </c>
      <c r="AD43" s="2">
        <f t="shared" si="28"/>
        <v>0</v>
      </c>
      <c r="AE43" s="2"/>
      <c r="AG43">
        <f t="shared" si="29"/>
        <v>1995</v>
      </c>
      <c r="AH43" s="6">
        <f t="shared" si="5"/>
        <v>0.21884532034174112</v>
      </c>
      <c r="AI43" s="6">
        <f t="shared" si="5"/>
        <v>0.32356783011507351</v>
      </c>
      <c r="AJ43" s="7"/>
      <c r="AK43" s="7"/>
      <c r="AL43" s="6">
        <f t="shared" si="30"/>
        <v>0.1728071885894783</v>
      </c>
      <c r="AM43" s="7"/>
      <c r="AN43" s="6">
        <f t="shared" si="31"/>
        <v>0.2847796609537071</v>
      </c>
      <c r="AO43" s="6">
        <f t="shared" si="32"/>
        <v>1</v>
      </c>
      <c r="AP43" s="7">
        <f t="shared" si="33"/>
        <v>0.7152203390462929</v>
      </c>
      <c r="AQ43" s="7">
        <f t="shared" si="34"/>
        <v>0</v>
      </c>
      <c r="AR43" s="24"/>
      <c r="AS43">
        <f t="shared" si="35"/>
        <v>1995</v>
      </c>
      <c r="AT43" s="1" t="b">
        <f t="shared" si="36"/>
        <v>1</v>
      </c>
      <c r="AU43" s="1" t="b">
        <f t="shared" si="37"/>
        <v>1</v>
      </c>
      <c r="AX43" s="1" t="b">
        <f t="shared" si="8"/>
        <v>1</v>
      </c>
      <c r="AZ43" s="1" t="b">
        <f t="shared" si="38"/>
        <v>1</v>
      </c>
      <c r="BA43" s="1" t="b">
        <f t="shared" si="39"/>
        <v>1</v>
      </c>
      <c r="BC43">
        <f t="shared" si="40"/>
        <v>1995</v>
      </c>
      <c r="BD43" s="2">
        <f t="shared" si="9"/>
        <v>26112.691975844205</v>
      </c>
      <c r="BE43" s="2">
        <f t="shared" si="9"/>
        <v>39169.037963766306</v>
      </c>
      <c r="BF43" s="2"/>
      <c r="BG43" s="2"/>
      <c r="BH43" s="2">
        <f t="shared" si="10"/>
        <v>26112.691975844205</v>
      </c>
      <c r="BI43" s="2"/>
      <c r="BJ43" s="2">
        <f t="shared" si="11"/>
        <v>39169.037963766306</v>
      </c>
      <c r="BK43" s="2">
        <f t="shared" si="41"/>
        <v>130563.45987922102</v>
      </c>
      <c r="BL43" s="2">
        <f t="shared" si="42"/>
        <v>0</v>
      </c>
      <c r="BM43" s="2"/>
    </row>
    <row r="44" spans="1:65" x14ac:dyDescent="0.25">
      <c r="A44">
        <f t="shared" si="6"/>
        <v>1996</v>
      </c>
      <c r="B44" s="2">
        <f t="shared" si="12"/>
        <v>32087.275899917364</v>
      </c>
      <c r="C44" s="2">
        <f t="shared" si="13"/>
        <v>46081.198093232146</v>
      </c>
      <c r="D44" s="2"/>
      <c r="E44" s="2"/>
      <c r="F44" s="2">
        <f t="shared" si="14"/>
        <v>28781.147968855727</v>
      </c>
      <c r="G44" s="2"/>
      <c r="H44" s="2">
        <f t="shared" si="15"/>
        <v>40571.289522869141</v>
      </c>
      <c r="I44" s="2">
        <f t="shared" si="43"/>
        <v>147520.91148487438</v>
      </c>
      <c r="J44" s="2">
        <f t="shared" si="16"/>
        <v>12389.967189736548</v>
      </c>
      <c r="K44" s="6">
        <f t="shared" si="17"/>
        <v>9.1688600670737364E-2</v>
      </c>
      <c r="L44" s="7">
        <f t="shared" si="18"/>
        <v>1.0916886006707374</v>
      </c>
      <c r="N44">
        <f t="shared" si="19"/>
        <v>1996</v>
      </c>
      <c r="O44" s="2">
        <f t="shared" si="20"/>
        <v>4722.7788860579712</v>
      </c>
      <c r="P44" s="2"/>
      <c r="Q44" s="2"/>
      <c r="R44">
        <f t="shared" si="21"/>
        <v>1996</v>
      </c>
      <c r="S44" s="2">
        <f t="shared" si="22"/>
        <v>30906.58117840287</v>
      </c>
      <c r="T44" s="2">
        <f t="shared" si="22"/>
        <v>44900.503371717656</v>
      </c>
      <c r="U44" s="2"/>
      <c r="V44" s="2"/>
      <c r="W44" s="2">
        <f t="shared" si="7"/>
        <v>27600.453247341233</v>
      </c>
      <c r="X44" s="2"/>
      <c r="Y44" s="2">
        <f t="shared" si="23"/>
        <v>39390.594801354651</v>
      </c>
      <c r="Z44" s="2">
        <f t="shared" si="24"/>
        <v>142798.13259881642</v>
      </c>
      <c r="AA44" s="2">
        <f t="shared" si="25"/>
        <v>12234.672719595401</v>
      </c>
      <c r="AB44" s="6">
        <f t="shared" si="26"/>
        <v>9.3706713432021499E-2</v>
      </c>
      <c r="AC44" s="7">
        <f t="shared" si="27"/>
        <v>1.0937067134320215</v>
      </c>
      <c r="AD44" s="2">
        <f t="shared" si="28"/>
        <v>0</v>
      </c>
      <c r="AE44" s="2"/>
      <c r="AG44">
        <f t="shared" si="29"/>
        <v>1996</v>
      </c>
      <c r="AH44" s="6">
        <f t="shared" si="5"/>
        <v>0.21643547164046764</v>
      </c>
      <c r="AI44" s="38">
        <f t="shared" si="5"/>
        <v>0.31443340717811191</v>
      </c>
      <c r="AJ44" s="7"/>
      <c r="AK44" s="7"/>
      <c r="AL44" s="38">
        <f t="shared" si="30"/>
        <v>0.19328301249487068</v>
      </c>
      <c r="AM44" s="6"/>
      <c r="AN44" s="6">
        <f t="shared" si="31"/>
        <v>0.27584810868654974</v>
      </c>
      <c r="AO44" s="6">
        <f t="shared" si="32"/>
        <v>1</v>
      </c>
      <c r="AP44" s="7">
        <f t="shared" si="33"/>
        <v>0.72415189131345026</v>
      </c>
      <c r="AQ44" s="7">
        <f t="shared" si="34"/>
        <v>0</v>
      </c>
      <c r="AR44" s="24"/>
      <c r="AS44">
        <f t="shared" si="35"/>
        <v>1996</v>
      </c>
      <c r="AT44" s="1" t="b">
        <f t="shared" si="36"/>
        <v>1</v>
      </c>
      <c r="AU44" s="1" t="b">
        <f t="shared" si="37"/>
        <v>1</v>
      </c>
      <c r="AV44" s="1"/>
      <c r="AW44" s="1"/>
      <c r="AX44" s="1" t="b">
        <f t="shared" si="8"/>
        <v>1</v>
      </c>
      <c r="AY44" s="1"/>
      <c r="AZ44" s="1" t="b">
        <f t="shared" si="38"/>
        <v>1</v>
      </c>
      <c r="BA44" s="1" t="b">
        <f t="shared" si="39"/>
        <v>1</v>
      </c>
      <c r="BC44">
        <f t="shared" si="40"/>
        <v>1996</v>
      </c>
      <c r="BD44" s="2">
        <f t="shared" si="9"/>
        <v>28559.626519763286</v>
      </c>
      <c r="BE44" s="2">
        <f t="shared" si="9"/>
        <v>42839.439779644927</v>
      </c>
      <c r="BF44" s="2"/>
      <c r="BG44" s="2"/>
      <c r="BH44" s="2">
        <f t="shared" si="10"/>
        <v>28559.626519763286</v>
      </c>
      <c r="BI44" s="2"/>
      <c r="BJ44" s="2">
        <f t="shared" si="11"/>
        <v>42839.439779644927</v>
      </c>
      <c r="BK44" s="2">
        <f t="shared" si="41"/>
        <v>142798.13259881642</v>
      </c>
      <c r="BL44" s="2">
        <f t="shared" si="42"/>
        <v>0</v>
      </c>
      <c r="BM44" s="2"/>
    </row>
    <row r="45" spans="1:65" x14ac:dyDescent="0.25">
      <c r="A45">
        <f t="shared" si="6"/>
        <v>1997</v>
      </c>
      <c r="B45" s="2">
        <f t="shared" si="12"/>
        <v>38038.56656167272</v>
      </c>
      <c r="C45" s="2">
        <f t="shared" si="13"/>
        <v>54272.001073638763</v>
      </c>
      <c r="D45" s="2"/>
      <c r="E45" s="2"/>
      <c r="F45" s="2"/>
      <c r="G45" s="2">
        <f>BH44*(1+(G9/100))</f>
        <v>28559.626519763286</v>
      </c>
      <c r="H45" s="2">
        <f t="shared" si="15"/>
        <v>46883.482894843408</v>
      </c>
      <c r="I45" s="2">
        <f t="shared" si="43"/>
        <v>167753.67704991819</v>
      </c>
      <c r="J45" s="2">
        <f t="shared" si="16"/>
        <v>20232.76556504381</v>
      </c>
      <c r="K45" s="6">
        <f t="shared" si="17"/>
        <v>0.13715184756785018</v>
      </c>
      <c r="L45" s="7">
        <f t="shared" si="18"/>
        <v>1.1371518475678501</v>
      </c>
      <c r="N45">
        <f t="shared" si="19"/>
        <v>1997</v>
      </c>
      <c r="O45" s="2">
        <f t="shared" si="20"/>
        <v>4803.0661271209565</v>
      </c>
      <c r="P45" s="2"/>
      <c r="Q45" s="2"/>
      <c r="R45">
        <f t="shared" si="21"/>
        <v>1997</v>
      </c>
      <c r="S45" s="2">
        <f t="shared" si="22"/>
        <v>36837.800029892482</v>
      </c>
      <c r="T45" s="2">
        <f t="shared" si="22"/>
        <v>53071.234541858525</v>
      </c>
      <c r="U45" s="2"/>
      <c r="V45" s="2"/>
      <c r="W45" s="2"/>
      <c r="X45" s="2">
        <f>G45-($O45/4)</f>
        <v>27358.859987983047</v>
      </c>
      <c r="Y45" s="2">
        <f t="shared" si="23"/>
        <v>45682.716363063169</v>
      </c>
      <c r="Z45" s="2">
        <f t="shared" si="24"/>
        <v>162950.61092279723</v>
      </c>
      <c r="AA45" s="2">
        <f t="shared" si="25"/>
        <v>20152.478323980817</v>
      </c>
      <c r="AB45" s="6">
        <f t="shared" si="26"/>
        <v>0.14112564329253596</v>
      </c>
      <c r="AC45" s="7">
        <f t="shared" si="27"/>
        <v>1.1411256432925359</v>
      </c>
      <c r="AD45" s="2">
        <f t="shared" si="28"/>
        <v>0</v>
      </c>
      <c r="AE45" s="2"/>
      <c r="AG45">
        <f t="shared" si="29"/>
        <v>1997</v>
      </c>
      <c r="AH45" s="6">
        <f t="shared" si="5"/>
        <v>0.22606727167991716</v>
      </c>
      <c r="AI45" s="6">
        <f t="shared" si="5"/>
        <v>0.32568907990779256</v>
      </c>
      <c r="AJ45" s="7"/>
      <c r="AK45" s="7"/>
      <c r="AL45" s="6"/>
      <c r="AM45" s="6">
        <f t="shared" si="30"/>
        <v>0.16789663955875031</v>
      </c>
      <c r="AN45" s="6">
        <f t="shared" si="31"/>
        <v>0.28034700885353991</v>
      </c>
      <c r="AO45" s="6">
        <f t="shared" si="32"/>
        <v>1</v>
      </c>
      <c r="AP45" s="7">
        <f t="shared" si="33"/>
        <v>0.71965299114646009</v>
      </c>
      <c r="AQ45" s="7">
        <f t="shared" si="34"/>
        <v>0</v>
      </c>
      <c r="AR45" s="24"/>
      <c r="AS45">
        <f t="shared" si="35"/>
        <v>1997</v>
      </c>
      <c r="AT45" s="1" t="b">
        <f t="shared" si="36"/>
        <v>1</v>
      </c>
      <c r="AU45" s="1" t="b">
        <f t="shared" si="37"/>
        <v>1</v>
      </c>
      <c r="AV45" s="1"/>
      <c r="AW45" s="1"/>
      <c r="AX45" s="1" t="b">
        <f t="shared" si="8"/>
        <v>0</v>
      </c>
      <c r="AY45" s="1"/>
      <c r="AZ45" s="1" t="b">
        <f t="shared" si="38"/>
        <v>1</v>
      </c>
      <c r="BA45" s="1" t="b">
        <f t="shared" si="39"/>
        <v>1</v>
      </c>
      <c r="BC45">
        <f t="shared" si="40"/>
        <v>1997</v>
      </c>
      <c r="BD45" s="2">
        <f t="shared" si="9"/>
        <v>32590.122184559448</v>
      </c>
      <c r="BE45" s="2">
        <f t="shared" si="9"/>
        <v>48885.183276839169</v>
      </c>
      <c r="BF45" s="2"/>
      <c r="BG45" s="2"/>
      <c r="BH45" s="2"/>
      <c r="BI45" s="2">
        <f t="shared" ref="BI45:BI52" si="44">$BK45*BI$39</f>
        <v>32590.122184559448</v>
      </c>
      <c r="BJ45" s="2">
        <f t="shared" si="11"/>
        <v>48885.183276839169</v>
      </c>
      <c r="BK45" s="2">
        <f t="shared" si="41"/>
        <v>162950.61092279723</v>
      </c>
      <c r="BL45" s="2">
        <f t="shared" si="42"/>
        <v>0</v>
      </c>
      <c r="BM45" s="2"/>
    </row>
    <row r="46" spans="1:65" x14ac:dyDescent="0.25">
      <c r="A46">
        <f t="shared" si="6"/>
        <v>1998</v>
      </c>
      <c r="B46" s="2">
        <f t="shared" si="12"/>
        <v>41930.451202654185</v>
      </c>
      <c r="C46" s="2">
        <f t="shared" si="13"/>
        <v>52968.562635953553</v>
      </c>
      <c r="D46" s="2"/>
      <c r="E46" s="2"/>
      <c r="F46" s="2"/>
      <c r="G46" s="2">
        <f t="shared" ref="G46:G64" si="45">BI45*(1+(G10/100))</f>
        <v>37675.158949016259</v>
      </c>
      <c r="H46" s="2">
        <f t="shared" si="15"/>
        <v>53079.532001991975</v>
      </c>
      <c r="I46" s="2">
        <f t="shared" si="43"/>
        <v>185653.70478961599</v>
      </c>
      <c r="J46" s="2">
        <f t="shared" si="16"/>
        <v>17900.027739697805</v>
      </c>
      <c r="K46" s="6">
        <f t="shared" si="17"/>
        <v>0.10670423477138641</v>
      </c>
      <c r="L46" s="7">
        <f t="shared" si="18"/>
        <v>1.1067042347713865</v>
      </c>
      <c r="N46">
        <f t="shared" si="19"/>
        <v>1998</v>
      </c>
      <c r="O46" s="2">
        <f t="shared" si="20"/>
        <v>4879.9151851548922</v>
      </c>
      <c r="P46" s="2"/>
      <c r="Q46" s="2"/>
      <c r="R46">
        <f t="shared" si="21"/>
        <v>1998</v>
      </c>
      <c r="S46" s="2">
        <f t="shared" si="22"/>
        <v>40710.472406365465</v>
      </c>
      <c r="T46" s="2">
        <f t="shared" si="22"/>
        <v>51748.583839664832</v>
      </c>
      <c r="U46" s="2"/>
      <c r="V46" s="2"/>
      <c r="W46" s="2"/>
      <c r="X46" s="2">
        <f>G46-($O46/4)</f>
        <v>36455.180152727538</v>
      </c>
      <c r="Y46" s="2">
        <f t="shared" si="23"/>
        <v>51859.553205703254</v>
      </c>
      <c r="Z46" s="2">
        <f t="shared" si="24"/>
        <v>180773.78960446108</v>
      </c>
      <c r="AA46" s="2">
        <f t="shared" si="25"/>
        <v>17823.178681663849</v>
      </c>
      <c r="AB46" s="6">
        <f t="shared" si="26"/>
        <v>0.10937779601273245</v>
      </c>
      <c r="AC46" s="7">
        <f t="shared" si="27"/>
        <v>1.1093777960127325</v>
      </c>
      <c r="AD46" s="2">
        <f t="shared" si="28"/>
        <v>0</v>
      </c>
      <c r="AE46" s="2"/>
      <c r="AG46">
        <f t="shared" si="29"/>
        <v>1998</v>
      </c>
      <c r="AH46" s="6">
        <f t="shared" si="5"/>
        <v>0.22520118926223376</v>
      </c>
      <c r="AI46" s="6">
        <f t="shared" si="5"/>
        <v>0.28626154241105645</v>
      </c>
      <c r="AJ46" s="7"/>
      <c r="AK46" s="7"/>
      <c r="AL46" s="6"/>
      <c r="AM46" s="6">
        <f t="shared" si="30"/>
        <v>0.20166186830785954</v>
      </c>
      <c r="AN46" s="6">
        <f t="shared" si="31"/>
        <v>0.28687540001885031</v>
      </c>
      <c r="AO46" s="6">
        <f t="shared" si="32"/>
        <v>1</v>
      </c>
      <c r="AP46" s="7">
        <f t="shared" si="33"/>
        <v>0.71312459998114974</v>
      </c>
      <c r="AQ46" s="7">
        <f t="shared" si="34"/>
        <v>0</v>
      </c>
      <c r="AR46" s="24"/>
      <c r="AS46">
        <f t="shared" si="35"/>
        <v>1998</v>
      </c>
      <c r="AT46" s="1" t="b">
        <f t="shared" si="36"/>
        <v>1</v>
      </c>
      <c r="AU46" s="1" t="b">
        <f t="shared" si="37"/>
        <v>1</v>
      </c>
      <c r="AV46" s="1"/>
      <c r="AW46" s="1"/>
      <c r="AX46" s="1" t="b">
        <f t="shared" si="8"/>
        <v>0</v>
      </c>
      <c r="AY46" s="1"/>
      <c r="AZ46" s="1" t="b">
        <f t="shared" si="38"/>
        <v>1</v>
      </c>
      <c r="BA46" s="1" t="b">
        <f t="shared" si="39"/>
        <v>1</v>
      </c>
      <c r="BC46">
        <f t="shared" si="40"/>
        <v>1998</v>
      </c>
      <c r="BD46" s="2">
        <f t="shared" si="9"/>
        <v>36154.757920892218</v>
      </c>
      <c r="BE46" s="2">
        <f t="shared" si="9"/>
        <v>54232.136881338323</v>
      </c>
      <c r="BF46" s="2"/>
      <c r="BG46" s="2"/>
      <c r="BH46" s="2"/>
      <c r="BI46" s="2">
        <f t="shared" si="44"/>
        <v>36154.757920892218</v>
      </c>
      <c r="BJ46" s="2">
        <f t="shared" si="11"/>
        <v>54232.136881338323</v>
      </c>
      <c r="BK46" s="2">
        <f t="shared" si="41"/>
        <v>180773.78960446108</v>
      </c>
      <c r="BL46" s="2">
        <f t="shared" si="42"/>
        <v>0</v>
      </c>
      <c r="BM46" s="2"/>
    </row>
    <row r="47" spans="1:65" x14ac:dyDescent="0.25">
      <c r="A47">
        <f t="shared" si="6"/>
        <v>1999</v>
      </c>
      <c r="B47" s="2">
        <f t="shared" si="12"/>
        <v>43772.56541482421</v>
      </c>
      <c r="C47" s="2"/>
      <c r="D47" s="2">
        <f>($BE46*0.67)*(1+(D11/100))</f>
        <v>36335.531710496682</v>
      </c>
      <c r="E47" s="2">
        <f>($BE46*0.33)*(1+(E11/100))</f>
        <v>17896.605170841649</v>
      </c>
      <c r="F47" s="2"/>
      <c r="G47" s="2">
        <f t="shared" si="45"/>
        <v>46971.89994324396</v>
      </c>
      <c r="H47" s="2">
        <f t="shared" si="15"/>
        <v>53819.972641040149</v>
      </c>
      <c r="I47" s="2">
        <f t="shared" si="43"/>
        <v>198796.57488044666</v>
      </c>
      <c r="J47" s="2">
        <f t="shared" si="16"/>
        <v>13142.870090830664</v>
      </c>
      <c r="K47" s="6">
        <f t="shared" si="17"/>
        <v>7.0792393320263935E-2</v>
      </c>
      <c r="L47" s="7">
        <f t="shared" si="18"/>
        <v>1.0707923933202639</v>
      </c>
      <c r="N47">
        <f t="shared" si="19"/>
        <v>1999</v>
      </c>
      <c r="O47" s="2">
        <f t="shared" si="20"/>
        <v>5011.6728951540736</v>
      </c>
      <c r="P47" s="2"/>
      <c r="Q47" s="2"/>
      <c r="R47">
        <f t="shared" si="21"/>
        <v>1999</v>
      </c>
      <c r="S47" s="2">
        <f t="shared" ref="S47:S50" si="46">B47-($O47/5)</f>
        <v>42770.230835793394</v>
      </c>
      <c r="T47" s="2"/>
      <c r="U47" s="2">
        <f>D47-($O47/5)</f>
        <v>35333.197131465866</v>
      </c>
      <c r="V47" s="2">
        <f>E47-($O47/5)</f>
        <v>16894.270591810833</v>
      </c>
      <c r="W47" s="2"/>
      <c r="X47" s="2">
        <f>G47-($O47/5)</f>
        <v>45969.565364213144</v>
      </c>
      <c r="Y47" s="2">
        <f t="shared" ref="Y47:Y50" si="47">H47-($O47/5)</f>
        <v>52817.638062009333</v>
      </c>
      <c r="Z47" s="2">
        <f t="shared" si="24"/>
        <v>193784.90198529256</v>
      </c>
      <c r="AA47" s="2">
        <f t="shared" si="25"/>
        <v>13011.112380831473</v>
      </c>
      <c r="AB47" s="6">
        <f t="shared" si="26"/>
        <v>7.1974551229468664E-2</v>
      </c>
      <c r="AC47" s="7">
        <f t="shared" si="27"/>
        <v>1.0719745512294687</v>
      </c>
      <c r="AD47" s="2">
        <f t="shared" si="28"/>
        <v>0</v>
      </c>
      <c r="AE47" s="2"/>
      <c r="AG47">
        <f t="shared" si="29"/>
        <v>1999</v>
      </c>
      <c r="AH47" s="6">
        <f t="shared" si="5"/>
        <v>0.22070981999949341</v>
      </c>
      <c r="AI47" s="6"/>
      <c r="AJ47" s="6">
        <f t="shared" ref="AJ47:AJ53" si="48">U47/$Z47</f>
        <v>0.18233204325767083</v>
      </c>
      <c r="AK47" s="6">
        <f t="shared" ref="AK47:AK53" si="49">V47/$Z47</f>
        <v>8.7180530674639642E-2</v>
      </c>
      <c r="AL47" s="6"/>
      <c r="AM47" s="6">
        <f t="shared" si="30"/>
        <v>0.23721954029061582</v>
      </c>
      <c r="AN47" s="6">
        <f t="shared" si="31"/>
        <v>0.27255806577758035</v>
      </c>
      <c r="AO47" s="6">
        <f t="shared" si="32"/>
        <v>1</v>
      </c>
      <c r="AP47" s="7">
        <f t="shared" si="33"/>
        <v>0.72744193422241965</v>
      </c>
      <c r="AQ47" s="7">
        <f t="shared" si="34"/>
        <v>0</v>
      </c>
      <c r="AR47" s="24"/>
      <c r="AS47">
        <f t="shared" si="35"/>
        <v>1999</v>
      </c>
      <c r="AT47" s="1" t="b">
        <f t="shared" si="36"/>
        <v>1</v>
      </c>
      <c r="AU47" s="1" t="b">
        <f t="shared" si="37"/>
        <v>0</v>
      </c>
      <c r="AV47" s="1"/>
      <c r="AW47" s="1"/>
      <c r="AX47" s="1" t="b">
        <f t="shared" si="8"/>
        <v>0</v>
      </c>
      <c r="AY47" s="1"/>
      <c r="AZ47" s="1" t="b">
        <f t="shared" si="38"/>
        <v>1</v>
      </c>
      <c r="BA47" s="1" t="b">
        <f t="shared" si="39"/>
        <v>1</v>
      </c>
      <c r="BC47">
        <f t="shared" si="40"/>
        <v>1999</v>
      </c>
      <c r="BD47" s="2">
        <f t="shared" si="9"/>
        <v>38756.980397058513</v>
      </c>
      <c r="BE47" s="2"/>
      <c r="BF47" s="2">
        <f t="shared" ref="BF47:BG64" si="50">$BK47*BF$39</f>
        <v>38756.980397058513</v>
      </c>
      <c r="BG47" s="2">
        <f t="shared" si="50"/>
        <v>19378.490198529256</v>
      </c>
      <c r="BH47" s="2"/>
      <c r="BI47" s="2">
        <f t="shared" si="44"/>
        <v>38756.980397058513</v>
      </c>
      <c r="BJ47" s="2">
        <f t="shared" si="11"/>
        <v>58135.470595587765</v>
      </c>
      <c r="BK47" s="2">
        <f t="shared" si="41"/>
        <v>193784.90198529256</v>
      </c>
      <c r="BL47" s="2">
        <f t="shared" si="42"/>
        <v>0</v>
      </c>
      <c r="BM47" s="2"/>
    </row>
    <row r="48" spans="1:65" x14ac:dyDescent="0.25">
      <c r="A48">
        <f t="shared" si="6"/>
        <v>2000</v>
      </c>
      <c r="B48" s="2">
        <f t="shared" si="12"/>
        <v>35245.597973085009</v>
      </c>
      <c r="C48" s="2"/>
      <c r="D48" s="2">
        <f t="shared" ref="D48:D49" si="51">BF47*(1+(D12/100))</f>
        <v>38756.980397058513</v>
      </c>
      <c r="E48" s="2">
        <f t="shared" ref="E48:E49" si="52">BG47*(1+(E12/100))</f>
        <v>19378.490198529256</v>
      </c>
      <c r="F48" s="2"/>
      <c r="G48" s="2">
        <f t="shared" si="45"/>
        <v>32705.465477861799</v>
      </c>
      <c r="H48" s="2">
        <f t="shared" si="15"/>
        <v>64757.100696425216</v>
      </c>
      <c r="I48" s="2">
        <f t="shared" si="43"/>
        <v>190843.63474295978</v>
      </c>
      <c r="J48" s="2">
        <f t="shared" si="16"/>
        <v>-7952.9401374868758</v>
      </c>
      <c r="K48" s="6">
        <f t="shared" si="17"/>
        <v>-4.0005418314021039E-2</v>
      </c>
      <c r="L48" s="7">
        <f t="shared" si="18"/>
        <v>0.95999458168597895</v>
      </c>
      <c r="N48">
        <f t="shared" si="19"/>
        <v>2000</v>
      </c>
      <c r="O48" s="2">
        <f t="shared" si="20"/>
        <v>5182.0697735893118</v>
      </c>
      <c r="P48" s="2"/>
      <c r="Q48" s="2"/>
      <c r="R48">
        <f t="shared" si="21"/>
        <v>2000</v>
      </c>
      <c r="S48" s="2">
        <f t="shared" si="46"/>
        <v>34209.184018367145</v>
      </c>
      <c r="T48" s="2"/>
      <c r="U48" s="2">
        <f t="shared" ref="U48:U49" si="53">D48-($O48/5)</f>
        <v>37720.566442340649</v>
      </c>
      <c r="V48" s="2">
        <f t="shared" ref="V48:V49" si="54">E48-($O48/5)</f>
        <v>18342.076243811392</v>
      </c>
      <c r="W48" s="2"/>
      <c r="X48" s="2">
        <f>G48-($O48/5)</f>
        <v>31669.051523143935</v>
      </c>
      <c r="Y48" s="2">
        <f t="shared" si="47"/>
        <v>63720.686741707352</v>
      </c>
      <c r="Z48" s="2">
        <f t="shared" si="24"/>
        <v>185661.56496937046</v>
      </c>
      <c r="AA48" s="2">
        <f t="shared" si="25"/>
        <v>-8123.337015922094</v>
      </c>
      <c r="AB48" s="6">
        <f t="shared" si="26"/>
        <v>-4.1919349405964666E-2</v>
      </c>
      <c r="AC48" s="7">
        <f t="shared" si="27"/>
        <v>0.95808065059403535</v>
      </c>
      <c r="AD48" s="2">
        <f t="shared" si="28"/>
        <v>0</v>
      </c>
      <c r="AE48" s="2"/>
      <c r="AG48">
        <f t="shared" si="29"/>
        <v>2000</v>
      </c>
      <c r="AH48" s="6">
        <f t="shared" si="5"/>
        <v>0.1842556052137706</v>
      </c>
      <c r="AI48" s="6"/>
      <c r="AJ48" s="6">
        <f t="shared" si="48"/>
        <v>0.20316841802213401</v>
      </c>
      <c r="AK48" s="6">
        <f t="shared" si="49"/>
        <v>9.8793071397611981E-2</v>
      </c>
      <c r="AL48" s="6"/>
      <c r="AM48" s="6">
        <f t="shared" si="30"/>
        <v>0.17057408477822827</v>
      </c>
      <c r="AN48" s="38">
        <f t="shared" si="31"/>
        <v>0.34320882058825519</v>
      </c>
      <c r="AO48" s="6">
        <f t="shared" si="32"/>
        <v>1</v>
      </c>
      <c r="AP48" s="7">
        <f t="shared" si="33"/>
        <v>0.65679117941174492</v>
      </c>
      <c r="AQ48" s="7">
        <f t="shared" si="34"/>
        <v>0</v>
      </c>
      <c r="AR48" s="24"/>
      <c r="AS48">
        <f t="shared" si="35"/>
        <v>2000</v>
      </c>
      <c r="AT48" s="1" t="b">
        <f t="shared" si="36"/>
        <v>1</v>
      </c>
      <c r="AU48" s="1" t="b">
        <f t="shared" si="37"/>
        <v>0</v>
      </c>
      <c r="AV48" s="1"/>
      <c r="AW48" s="1"/>
      <c r="AX48" s="1" t="b">
        <f t="shared" si="8"/>
        <v>0</v>
      </c>
      <c r="AY48" s="1"/>
      <c r="AZ48" s="1" t="b">
        <f t="shared" si="38"/>
        <v>1</v>
      </c>
      <c r="BA48" s="1" t="b">
        <f t="shared" si="39"/>
        <v>1</v>
      </c>
      <c r="BC48">
        <f t="shared" si="40"/>
        <v>2000</v>
      </c>
      <c r="BD48" s="2">
        <f t="shared" si="9"/>
        <v>37132.312993874097</v>
      </c>
      <c r="BE48" s="2"/>
      <c r="BF48" s="2">
        <f t="shared" si="50"/>
        <v>37132.312993874097</v>
      </c>
      <c r="BG48" s="2">
        <f t="shared" si="50"/>
        <v>18566.156496937048</v>
      </c>
      <c r="BH48" s="2"/>
      <c r="BI48" s="2">
        <f t="shared" si="44"/>
        <v>37132.312993874097</v>
      </c>
      <c r="BJ48" s="2">
        <f t="shared" si="11"/>
        <v>55698.469490811134</v>
      </c>
      <c r="BK48" s="2">
        <f t="shared" si="41"/>
        <v>185661.56496937046</v>
      </c>
      <c r="BL48" s="2">
        <f t="shared" si="42"/>
        <v>0</v>
      </c>
      <c r="BM48" s="2"/>
    </row>
    <row r="49" spans="1:65" x14ac:dyDescent="0.25">
      <c r="A49">
        <f t="shared" si="6"/>
        <v>2001</v>
      </c>
      <c r="B49" s="2">
        <f t="shared" si="12"/>
        <v>32669.00897201043</v>
      </c>
      <c r="C49" s="2"/>
      <c r="D49" s="2">
        <f t="shared" si="51"/>
        <v>37132.312993874097</v>
      </c>
      <c r="E49" s="2">
        <f t="shared" si="52"/>
        <v>18566.156496937048</v>
      </c>
      <c r="F49" s="2"/>
      <c r="G49" s="2">
        <f t="shared" si="45"/>
        <v>29649.03795621865</v>
      </c>
      <c r="H49" s="2">
        <f t="shared" si="15"/>
        <v>60393.850468886514</v>
      </c>
      <c r="I49" s="2">
        <f t="shared" si="43"/>
        <v>178410.36688792676</v>
      </c>
      <c r="J49" s="2">
        <f t="shared" si="16"/>
        <v>-12433.267855033017</v>
      </c>
      <c r="K49" s="6">
        <f t="shared" si="17"/>
        <v>-6.5148978491103071E-2</v>
      </c>
      <c r="L49" s="7">
        <f t="shared" si="18"/>
        <v>0.93485102150889698</v>
      </c>
      <c r="N49">
        <f t="shared" si="19"/>
        <v>2001</v>
      </c>
      <c r="O49" s="2">
        <f t="shared" si="20"/>
        <v>5264.9828899667409</v>
      </c>
      <c r="P49" s="2"/>
      <c r="Q49" s="2"/>
      <c r="R49">
        <f t="shared" si="21"/>
        <v>2001</v>
      </c>
      <c r="S49" s="2">
        <f t="shared" si="46"/>
        <v>31616.012394017082</v>
      </c>
      <c r="T49" s="2"/>
      <c r="U49" s="2">
        <f t="shared" si="53"/>
        <v>36079.316415880749</v>
      </c>
      <c r="V49" s="2">
        <f t="shared" si="54"/>
        <v>17513.1599189437</v>
      </c>
      <c r="W49" s="2"/>
      <c r="X49" s="2">
        <f>G49-($O49/5)</f>
        <v>28596.041378225302</v>
      </c>
      <c r="Y49" s="2">
        <f t="shared" si="47"/>
        <v>59340.853890893166</v>
      </c>
      <c r="Z49" s="2">
        <f t="shared" si="24"/>
        <v>173145.38399795999</v>
      </c>
      <c r="AA49" s="2">
        <f t="shared" si="25"/>
        <v>-12516.180971410475</v>
      </c>
      <c r="AB49" s="6">
        <f t="shared" si="26"/>
        <v>-6.7413958152702916E-2</v>
      </c>
      <c r="AC49" s="7">
        <f t="shared" si="27"/>
        <v>0.9325860418472971</v>
      </c>
      <c r="AD49" s="2">
        <f t="shared" si="28"/>
        <v>0</v>
      </c>
      <c r="AE49" s="2"/>
      <c r="AG49">
        <f t="shared" si="29"/>
        <v>2001</v>
      </c>
      <c r="AH49" s="6">
        <f t="shared" si="5"/>
        <v>0.18259806680373059</v>
      </c>
      <c r="AI49" s="6"/>
      <c r="AJ49" s="6">
        <f t="shared" si="48"/>
        <v>0.20837584914366436</v>
      </c>
      <c r="AK49" s="6">
        <f t="shared" si="49"/>
        <v>0.10114713724710121</v>
      </c>
      <c r="AL49" s="6"/>
      <c r="AM49" s="6">
        <f t="shared" si="30"/>
        <v>0.16515624452663563</v>
      </c>
      <c r="AN49" s="6">
        <f t="shared" si="31"/>
        <v>0.34272270227886831</v>
      </c>
      <c r="AO49" s="6">
        <f t="shared" si="32"/>
        <v>1.0000000000000002</v>
      </c>
      <c r="AP49" s="7">
        <f t="shared" si="33"/>
        <v>0.65727729772113186</v>
      </c>
      <c r="AQ49" s="7">
        <f t="shared" si="34"/>
        <v>0</v>
      </c>
      <c r="AR49" s="24"/>
      <c r="AS49">
        <f t="shared" si="35"/>
        <v>2001</v>
      </c>
      <c r="AT49" s="1" t="b">
        <f t="shared" si="36"/>
        <v>1</v>
      </c>
      <c r="AU49" s="1" t="b">
        <f t="shared" si="37"/>
        <v>0</v>
      </c>
      <c r="AV49" s="1"/>
      <c r="AW49" s="1"/>
      <c r="AX49" s="1"/>
      <c r="AY49" s="1" t="b">
        <f t="shared" ref="AY49:AY64" si="55">AND((X49/$Z49)&gt;0.15,(X49/$Z49)&lt;0.25)</f>
        <v>1</v>
      </c>
      <c r="AZ49" s="1" t="b">
        <f t="shared" si="38"/>
        <v>1</v>
      </c>
      <c r="BA49" s="1" t="b">
        <f t="shared" si="39"/>
        <v>1</v>
      </c>
      <c r="BC49">
        <f t="shared" si="40"/>
        <v>2001</v>
      </c>
      <c r="BD49" s="2">
        <f t="shared" si="9"/>
        <v>34629.076799591996</v>
      </c>
      <c r="BE49" s="2"/>
      <c r="BF49" s="2">
        <f t="shared" si="50"/>
        <v>34629.076799591996</v>
      </c>
      <c r="BG49" s="2">
        <f t="shared" si="50"/>
        <v>17314.538399795998</v>
      </c>
      <c r="BH49" s="2"/>
      <c r="BI49" s="2">
        <f t="shared" si="44"/>
        <v>34629.076799591996</v>
      </c>
      <c r="BJ49" s="2">
        <f t="shared" si="11"/>
        <v>51943.615199387998</v>
      </c>
      <c r="BK49" s="2">
        <f t="shared" si="41"/>
        <v>173145.38399795999</v>
      </c>
      <c r="BL49" s="2">
        <f t="shared" si="42"/>
        <v>0</v>
      </c>
      <c r="BM49" s="2"/>
    </row>
    <row r="50" spans="1:65" x14ac:dyDescent="0.25">
      <c r="A50">
        <f t="shared" si="6"/>
        <v>2002</v>
      </c>
      <c r="B50" s="2">
        <f t="shared" si="12"/>
        <v>26958.736288482367</v>
      </c>
      <c r="C50" s="2"/>
      <c r="D50" s="2">
        <f t="shared" ref="D50:D51" si="56">BF49*(1+(D14/100))</f>
        <v>29570.461260707598</v>
      </c>
      <c r="E50" s="2">
        <f t="shared" ref="E50:E51" si="57">BG49*(1+(E14/100))</f>
        <v>13847.821521388843</v>
      </c>
      <c r="F50" s="2"/>
      <c r="G50" s="2">
        <f t="shared" si="45"/>
        <v>29405.973145909535</v>
      </c>
      <c r="H50" s="2">
        <f t="shared" si="15"/>
        <v>56234.157814857448</v>
      </c>
      <c r="I50" s="2">
        <f t="shared" si="43"/>
        <v>156017.15003134578</v>
      </c>
      <c r="J50" s="2">
        <f t="shared" si="16"/>
        <v>-22393.216856580984</v>
      </c>
      <c r="K50" s="6">
        <f t="shared" si="17"/>
        <v>-0.12551522227768233</v>
      </c>
      <c r="L50" s="7">
        <f t="shared" si="18"/>
        <v>0.8744847777223177</v>
      </c>
      <c r="N50">
        <f t="shared" si="19"/>
        <v>2002</v>
      </c>
      <c r="O50" s="2">
        <f t="shared" si="20"/>
        <v>5396.6074622159085</v>
      </c>
      <c r="P50" s="2"/>
      <c r="Q50" s="2"/>
      <c r="R50">
        <f t="shared" si="21"/>
        <v>2002</v>
      </c>
      <c r="S50" s="2">
        <f t="shared" si="46"/>
        <v>25879.414796039186</v>
      </c>
      <c r="T50" s="2"/>
      <c r="U50" s="2">
        <f t="shared" ref="U50:U51" si="58">D50-($O50/5)</f>
        <v>28491.139768264416</v>
      </c>
      <c r="V50" s="2">
        <f t="shared" ref="V50:V51" si="59">E50-($O50/5)</f>
        <v>12768.500028945662</v>
      </c>
      <c r="W50" s="2"/>
      <c r="X50" s="2">
        <f>G50-($O50/5)</f>
        <v>28326.651653466353</v>
      </c>
      <c r="Y50" s="2">
        <f t="shared" si="47"/>
        <v>55154.836322414267</v>
      </c>
      <c r="Z50" s="2">
        <f t="shared" si="24"/>
        <v>150620.5425691299</v>
      </c>
      <c r="AA50" s="2">
        <f t="shared" si="25"/>
        <v>-22524.841428830085</v>
      </c>
      <c r="AB50" s="6">
        <f t="shared" si="26"/>
        <v>-0.13009207007849238</v>
      </c>
      <c r="AC50" s="7">
        <f t="shared" si="27"/>
        <v>0.86990792992150756</v>
      </c>
      <c r="AD50" s="2">
        <f t="shared" si="28"/>
        <v>0</v>
      </c>
      <c r="AE50" s="2"/>
      <c r="AG50">
        <f t="shared" si="29"/>
        <v>2002</v>
      </c>
      <c r="AH50" s="38">
        <f t="shared" si="5"/>
        <v>0.17181862682616073</v>
      </c>
      <c r="AI50" s="6"/>
      <c r="AJ50" s="6">
        <f t="shared" si="48"/>
        <v>0.1891583928877956</v>
      </c>
      <c r="AK50" s="6">
        <f t="shared" si="49"/>
        <v>8.4772633341732503E-2</v>
      </c>
      <c r="AL50" s="7"/>
      <c r="AM50" s="6">
        <f t="shared" si="30"/>
        <v>0.18806632329361944</v>
      </c>
      <c r="AN50" s="6">
        <f t="shared" si="31"/>
        <v>0.36618402365069164</v>
      </c>
      <c r="AO50" s="6">
        <f t="shared" si="32"/>
        <v>1</v>
      </c>
      <c r="AP50" s="7">
        <f t="shared" si="33"/>
        <v>0.63381597634930831</v>
      </c>
      <c r="AQ50" s="7">
        <f t="shared" si="34"/>
        <v>0</v>
      </c>
      <c r="AR50" s="24"/>
      <c r="AS50">
        <f t="shared" si="35"/>
        <v>2002</v>
      </c>
      <c r="AT50" s="1" t="b">
        <f t="shared" si="36"/>
        <v>1</v>
      </c>
      <c r="AU50" s="1" t="b">
        <f t="shared" si="37"/>
        <v>0</v>
      </c>
      <c r="AV50" s="1"/>
      <c r="AW50" s="1"/>
      <c r="AX50" s="1"/>
      <c r="AY50" s="1" t="b">
        <f t="shared" si="55"/>
        <v>1</v>
      </c>
      <c r="AZ50" s="1" t="b">
        <f t="shared" si="38"/>
        <v>0</v>
      </c>
      <c r="BA50" s="1" t="b">
        <f t="shared" si="39"/>
        <v>1</v>
      </c>
      <c r="BC50">
        <f t="shared" si="40"/>
        <v>2002</v>
      </c>
      <c r="BD50" s="2">
        <f t="shared" si="9"/>
        <v>30124.10851382598</v>
      </c>
      <c r="BE50" s="2"/>
      <c r="BF50" s="2">
        <f t="shared" si="50"/>
        <v>30124.10851382598</v>
      </c>
      <c r="BG50" s="2">
        <f t="shared" si="50"/>
        <v>15062.05425691299</v>
      </c>
      <c r="BH50" s="2"/>
      <c r="BI50" s="2">
        <f t="shared" si="44"/>
        <v>30124.10851382598</v>
      </c>
      <c r="BJ50" s="2">
        <f t="shared" si="11"/>
        <v>45186.162770738971</v>
      </c>
      <c r="BK50" s="2">
        <f t="shared" si="41"/>
        <v>150620.5425691299</v>
      </c>
      <c r="BL50" s="2">
        <f t="shared" si="42"/>
        <v>0</v>
      </c>
      <c r="BM50" s="2"/>
    </row>
    <row r="51" spans="1:65" x14ac:dyDescent="0.25">
      <c r="A51">
        <f t="shared" si="6"/>
        <v>2003</v>
      </c>
      <c r="B51" s="2">
        <f t="shared" ref="B51:B64" si="60">BD50*(1+(B15/100))</f>
        <v>38709.479440266383</v>
      </c>
      <c r="C51" s="2"/>
      <c r="D51" s="2">
        <f t="shared" si="56"/>
        <v>40409.081642616446</v>
      </c>
      <c r="E51" s="2">
        <f t="shared" si="57"/>
        <v>21934.568373257251</v>
      </c>
      <c r="F51" s="2"/>
      <c r="G51" s="2">
        <f t="shared" si="45"/>
        <v>42276.173888303383</v>
      </c>
      <c r="H51" s="2">
        <f t="shared" si="15"/>
        <v>46980.05343273731</v>
      </c>
      <c r="I51" s="2">
        <f t="shared" si="43"/>
        <v>190309.35677718077</v>
      </c>
      <c r="J51" s="2">
        <f t="shared" si="16"/>
        <v>34292.206745834992</v>
      </c>
      <c r="K51" s="6">
        <f t="shared" si="17"/>
        <v>0.21979767441557074</v>
      </c>
      <c r="L51" s="7">
        <f t="shared" si="18"/>
        <v>1.2197976744155707</v>
      </c>
      <c r="N51">
        <f t="shared" si="19"/>
        <v>2003</v>
      </c>
      <c r="O51" s="2">
        <f t="shared" si="20"/>
        <v>5504.5396114602272</v>
      </c>
      <c r="P51" s="2"/>
      <c r="Q51" s="2"/>
      <c r="R51">
        <f t="shared" si="21"/>
        <v>2003</v>
      </c>
      <c r="S51" s="2">
        <f>B51-($O51/5)</f>
        <v>37608.571517974335</v>
      </c>
      <c r="T51" s="2"/>
      <c r="U51" s="2">
        <f t="shared" si="58"/>
        <v>39308.173720324397</v>
      </c>
      <c r="V51" s="2">
        <f t="shared" si="59"/>
        <v>20833.660450965206</v>
      </c>
      <c r="W51" s="2"/>
      <c r="X51" s="2">
        <f>G51-($O51/5)</f>
        <v>41175.265966011335</v>
      </c>
      <c r="Y51" s="2">
        <f>H51-($O51/5)</f>
        <v>45879.145510445262</v>
      </c>
      <c r="Z51" s="2">
        <f t="shared" si="24"/>
        <v>184804.81716572054</v>
      </c>
      <c r="AA51" s="2">
        <f t="shared" si="25"/>
        <v>34184.274596590636</v>
      </c>
      <c r="AB51" s="6">
        <f t="shared" si="26"/>
        <v>0.22695625718451501</v>
      </c>
      <c r="AC51" s="7">
        <f t="shared" si="27"/>
        <v>1.226956257184515</v>
      </c>
      <c r="AD51" s="2">
        <f t="shared" si="28"/>
        <v>0</v>
      </c>
      <c r="AE51" s="2"/>
      <c r="AG51">
        <f t="shared" si="29"/>
        <v>2003</v>
      </c>
      <c r="AH51" s="6">
        <f t="shared" si="5"/>
        <v>0.20350428140760798</v>
      </c>
      <c r="AI51" s="7"/>
      <c r="AJ51" s="6">
        <f t="shared" si="48"/>
        <v>0.21270102329137594</v>
      </c>
      <c r="AK51" s="6">
        <f t="shared" si="49"/>
        <v>0.11273331924179758</v>
      </c>
      <c r="AL51" s="7"/>
      <c r="AM51" s="6">
        <f t="shared" si="30"/>
        <v>0.22280407295383498</v>
      </c>
      <c r="AN51" s="6">
        <f t="shared" si="31"/>
        <v>0.24825730310538349</v>
      </c>
      <c r="AO51" s="6">
        <f t="shared" si="32"/>
        <v>1</v>
      </c>
      <c r="AP51" s="7">
        <f t="shared" si="33"/>
        <v>0.75174269689461648</v>
      </c>
      <c r="AQ51" s="7">
        <f t="shared" si="34"/>
        <v>0</v>
      </c>
      <c r="AR51" s="24"/>
      <c r="AS51">
        <f t="shared" si="35"/>
        <v>2003</v>
      </c>
      <c r="AT51" s="1" t="b">
        <f t="shared" si="36"/>
        <v>1</v>
      </c>
      <c r="AU51" s="1"/>
      <c r="AV51" s="1" t="b">
        <f>AND((U51/$Z51)&gt;0.15,(U51/$Z51)&lt;0.25)</f>
        <v>1</v>
      </c>
      <c r="AW51" s="1" t="b">
        <f>AND((V51/$Z51)&gt;0.05,(V51/$Z51)&lt;0.15)</f>
        <v>1</v>
      </c>
      <c r="AX51" s="1"/>
      <c r="AY51" s="1" t="b">
        <f t="shared" si="55"/>
        <v>1</v>
      </c>
      <c r="AZ51" s="1" t="b">
        <f t="shared" si="38"/>
        <v>0</v>
      </c>
      <c r="BA51" s="1" t="b">
        <f t="shared" si="39"/>
        <v>1</v>
      </c>
      <c r="BC51">
        <f t="shared" si="40"/>
        <v>2003</v>
      </c>
      <c r="BD51" s="2">
        <f>$BK51*BD$39</f>
        <v>36960.963433144112</v>
      </c>
      <c r="BE51" s="2"/>
      <c r="BF51" s="2">
        <f t="shared" si="50"/>
        <v>36960.963433144112</v>
      </c>
      <c r="BG51" s="2">
        <f t="shared" si="50"/>
        <v>18480.481716572056</v>
      </c>
      <c r="BH51" s="2"/>
      <c r="BI51" s="2">
        <f t="shared" si="44"/>
        <v>36960.963433144112</v>
      </c>
      <c r="BJ51" s="2">
        <f t="shared" si="11"/>
        <v>55441.445149716157</v>
      </c>
      <c r="BK51" s="2">
        <f t="shared" si="41"/>
        <v>184804.81716572054</v>
      </c>
      <c r="BL51" s="2">
        <f t="shared" si="42"/>
        <v>0</v>
      </c>
      <c r="BM51" s="2"/>
    </row>
    <row r="52" spans="1:65" x14ac:dyDescent="0.25">
      <c r="A52">
        <f t="shared" si="6"/>
        <v>2004</v>
      </c>
      <c r="B52" s="2">
        <f t="shared" si="60"/>
        <v>40930.570905863788</v>
      </c>
      <c r="C52" s="2"/>
      <c r="D52" s="2">
        <f t="shared" ref="D52:D64" si="61">BF51*(1+(D16/100))</f>
        <v>44483.628320691932</v>
      </c>
      <c r="E52" s="2">
        <f t="shared" ref="E52:E64" si="62">BG51*(1+(E16/100))</f>
        <v>22157.543163718401</v>
      </c>
      <c r="F52" s="2"/>
      <c r="G52" s="2">
        <f t="shared" si="45"/>
        <v>44662.51938370835</v>
      </c>
      <c r="H52" s="2">
        <f t="shared" si="15"/>
        <v>57792.162424064125</v>
      </c>
      <c r="I52" s="2">
        <f t="shared" si="43"/>
        <v>210026.42419804662</v>
      </c>
      <c r="J52" s="2">
        <f t="shared" si="16"/>
        <v>19717.067420865846</v>
      </c>
      <c r="K52" s="6">
        <f t="shared" si="17"/>
        <v>0.10360534949393534</v>
      </c>
      <c r="L52" s="7">
        <f t="shared" si="18"/>
        <v>1.1036053494939353</v>
      </c>
      <c r="N52">
        <f t="shared" si="19"/>
        <v>2004</v>
      </c>
      <c r="O52" s="2">
        <f t="shared" si="20"/>
        <v>5686.1894186384143</v>
      </c>
      <c r="P52" s="2"/>
      <c r="Q52" s="2"/>
      <c r="R52">
        <f t="shared" si="21"/>
        <v>2004</v>
      </c>
      <c r="S52" s="2">
        <f t="shared" ref="S52:S64" si="63">B52-($O52/5)</f>
        <v>39793.333022136103</v>
      </c>
      <c r="T52" s="2"/>
      <c r="U52" s="2">
        <f t="shared" ref="U52:V64" si="64">D52-($O52/5)</f>
        <v>43346.390436964248</v>
      </c>
      <c r="V52" s="2">
        <f t="shared" si="64"/>
        <v>21020.305279990716</v>
      </c>
      <c r="W52" s="2"/>
      <c r="X52" s="2">
        <f t="shared" ref="X52:Y64" si="65">G52-($O52/5)</f>
        <v>43525.281499980665</v>
      </c>
      <c r="Y52" s="2">
        <f t="shared" si="65"/>
        <v>56654.92454033644</v>
      </c>
      <c r="Z52" s="2">
        <f t="shared" si="24"/>
        <v>204340.23477940817</v>
      </c>
      <c r="AA52" s="2">
        <f t="shared" si="25"/>
        <v>19535.417613687634</v>
      </c>
      <c r="AB52" s="6">
        <f t="shared" si="26"/>
        <v>0.10570837878197506</v>
      </c>
      <c r="AC52" s="7">
        <f t="shared" si="27"/>
        <v>1.105708378781975</v>
      </c>
      <c r="AD52" s="2">
        <f t="shared" si="28"/>
        <v>0</v>
      </c>
      <c r="AE52" s="2"/>
      <c r="AG52">
        <f t="shared" si="29"/>
        <v>2004</v>
      </c>
      <c r="AH52" s="6">
        <f t="shared" si="5"/>
        <v>0.19474056621836752</v>
      </c>
      <c r="AI52" s="7"/>
      <c r="AJ52" s="6">
        <f t="shared" si="48"/>
        <v>0.2121285144051932</v>
      </c>
      <c r="AK52" s="6">
        <f t="shared" si="49"/>
        <v>0.10286914519151262</v>
      </c>
      <c r="AL52" s="7"/>
      <c r="AM52" s="6">
        <f t="shared" si="30"/>
        <v>0.21300397127842982</v>
      </c>
      <c r="AN52" s="6">
        <f t="shared" si="31"/>
        <v>0.27725780290649682</v>
      </c>
      <c r="AO52" s="6">
        <f t="shared" si="32"/>
        <v>1</v>
      </c>
      <c r="AP52" s="7">
        <f t="shared" si="33"/>
        <v>0.72274219709350318</v>
      </c>
      <c r="AQ52" s="7">
        <f t="shared" si="34"/>
        <v>0</v>
      </c>
      <c r="AR52" s="24"/>
      <c r="AS52">
        <f t="shared" si="35"/>
        <v>2004</v>
      </c>
      <c r="AT52" s="1" t="b">
        <f t="shared" si="36"/>
        <v>1</v>
      </c>
      <c r="AU52" s="1"/>
      <c r="AV52" s="1" t="b">
        <f t="shared" ref="AV52:AV64" si="66">AND((U52/$Z52)&gt;0.15,(U52/$Z52)&lt;0.25)</f>
        <v>1</v>
      </c>
      <c r="AW52" s="1" t="b">
        <f t="shared" ref="AW52:AW64" si="67">AND((V52/$Z52)&gt;0.05,(V52/$Z52)&lt;0.15)</f>
        <v>1</v>
      </c>
      <c r="AX52" s="1"/>
      <c r="AY52" s="1" t="b">
        <f t="shared" si="55"/>
        <v>1</v>
      </c>
      <c r="AZ52" s="1" t="b">
        <f t="shared" si="38"/>
        <v>1</v>
      </c>
      <c r="BA52" s="1" t="b">
        <f t="shared" si="39"/>
        <v>1</v>
      </c>
      <c r="BC52">
        <f t="shared" si="40"/>
        <v>2004</v>
      </c>
      <c r="BD52" s="2">
        <f>$BK52*BD$39</f>
        <v>40868.04695588164</v>
      </c>
      <c r="BE52" s="2"/>
      <c r="BF52" s="2">
        <f t="shared" si="50"/>
        <v>40868.04695588164</v>
      </c>
      <c r="BG52" s="2">
        <f t="shared" si="50"/>
        <v>20434.02347794082</v>
      </c>
      <c r="BH52" s="2"/>
      <c r="BI52" s="2">
        <f t="shared" si="44"/>
        <v>40868.04695588164</v>
      </c>
      <c r="BJ52" s="2">
        <f t="shared" si="11"/>
        <v>61302.070433822446</v>
      </c>
      <c r="BK52" s="2">
        <f t="shared" si="41"/>
        <v>204340.23477940817</v>
      </c>
      <c r="BL52" s="2">
        <f t="shared" si="42"/>
        <v>0</v>
      </c>
      <c r="BM52" s="2"/>
    </row>
    <row r="53" spans="1:65" x14ac:dyDescent="0.25">
      <c r="A53">
        <f t="shared" si="6"/>
        <v>2005</v>
      </c>
      <c r="B53" s="2">
        <f t="shared" si="60"/>
        <v>42817.4527956772</v>
      </c>
      <c r="C53" s="2"/>
      <c r="D53" s="2">
        <f t="shared" si="61"/>
        <v>46561.374577305513</v>
      </c>
      <c r="E53" s="2">
        <f t="shared" si="62"/>
        <v>21938.580626621606</v>
      </c>
      <c r="F53" s="2"/>
      <c r="G53" s="2">
        <f t="shared" si="45"/>
        <v>47231.61054738197</v>
      </c>
      <c r="H53" s="2">
        <f t="shared" si="15"/>
        <v>62773.320124234189</v>
      </c>
      <c r="I53" s="2">
        <f t="shared" si="43"/>
        <v>221322.3386712205</v>
      </c>
      <c r="J53" s="2">
        <f t="shared" si="16"/>
        <v>11295.914473173878</v>
      </c>
      <c r="K53" s="6">
        <f t="shared" si="17"/>
        <v>5.3783301393172687E-2</v>
      </c>
      <c r="L53" s="7">
        <f t="shared" si="18"/>
        <v>1.0537833013931728</v>
      </c>
      <c r="N53">
        <f t="shared" si="19"/>
        <v>2005</v>
      </c>
      <c r="O53" s="2">
        <f t="shared" si="20"/>
        <v>5873.8336694534819</v>
      </c>
      <c r="P53" s="2"/>
      <c r="Q53" s="2"/>
      <c r="R53">
        <f t="shared" si="21"/>
        <v>2005</v>
      </c>
      <c r="S53" s="2">
        <f t="shared" si="63"/>
        <v>41642.686061786502</v>
      </c>
      <c r="T53" s="2"/>
      <c r="U53" s="2">
        <f t="shared" si="64"/>
        <v>45386.607843414815</v>
      </c>
      <c r="V53" s="2">
        <f t="shared" si="64"/>
        <v>20763.813892730908</v>
      </c>
      <c r="W53" s="2"/>
      <c r="X53" s="2">
        <f t="shared" si="65"/>
        <v>46056.843813491272</v>
      </c>
      <c r="Y53" s="2">
        <f t="shared" si="65"/>
        <v>61598.553390343492</v>
      </c>
      <c r="Z53" s="2">
        <f t="shared" si="24"/>
        <v>215448.50500176699</v>
      </c>
      <c r="AA53" s="2">
        <f t="shared" si="25"/>
        <v>11108.270222358813</v>
      </c>
      <c r="AB53" s="6">
        <f t="shared" si="26"/>
        <v>5.4361639715010346E-2</v>
      </c>
      <c r="AC53" s="7">
        <f t="shared" si="27"/>
        <v>1.0543616397150104</v>
      </c>
      <c r="AD53" s="2">
        <f t="shared" si="28"/>
        <v>0</v>
      </c>
      <c r="AE53" s="2"/>
      <c r="AG53">
        <f t="shared" si="29"/>
        <v>2005</v>
      </c>
      <c r="AH53" s="6">
        <f t="shared" si="5"/>
        <v>0.1932837086126217</v>
      </c>
      <c r="AI53" s="7"/>
      <c r="AJ53" s="6">
        <f t="shared" si="48"/>
        <v>0.21066104795223611</v>
      </c>
      <c r="AK53" s="6">
        <f t="shared" si="49"/>
        <v>9.6374833942619448E-2</v>
      </c>
      <c r="AL53" s="7"/>
      <c r="AM53" s="6">
        <f t="shared" si="30"/>
        <v>0.21377193502973502</v>
      </c>
      <c r="AN53" s="59">
        <f t="shared" si="31"/>
        <v>0.28590847446278772</v>
      </c>
      <c r="AO53" s="6">
        <f t="shared" si="32"/>
        <v>1</v>
      </c>
      <c r="AP53" s="7">
        <f t="shared" si="33"/>
        <v>0.71409152553721233</v>
      </c>
      <c r="AQ53" s="7">
        <f t="shared" si="34"/>
        <v>0</v>
      </c>
      <c r="AR53" s="24"/>
      <c r="AS53">
        <f t="shared" si="35"/>
        <v>2005</v>
      </c>
      <c r="AT53" s="1" t="b">
        <f t="shared" si="36"/>
        <v>1</v>
      </c>
      <c r="AU53" s="1"/>
      <c r="AV53" s="1" t="b">
        <f t="shared" si="66"/>
        <v>1</v>
      </c>
      <c r="AW53" s="1" t="b">
        <f t="shared" si="67"/>
        <v>1</v>
      </c>
      <c r="AX53" s="1"/>
      <c r="AY53" s="1" t="b">
        <f t="shared" si="55"/>
        <v>1</v>
      </c>
      <c r="AZ53" s="1" t="b">
        <f t="shared" si="38"/>
        <v>1</v>
      </c>
      <c r="BA53" s="1" t="b">
        <f t="shared" si="39"/>
        <v>1</v>
      </c>
      <c r="BC53">
        <f t="shared" si="40"/>
        <v>2005</v>
      </c>
      <c r="BD53" s="2">
        <f t="shared" ref="BD53:BD64" si="68">$BK53*BD$39</f>
        <v>43089.701000353401</v>
      </c>
      <c r="BE53" s="2"/>
      <c r="BF53" s="2">
        <f t="shared" si="50"/>
        <v>43089.701000353401</v>
      </c>
      <c r="BG53" s="2">
        <f t="shared" si="50"/>
        <v>21544.850500176701</v>
      </c>
      <c r="BH53" s="2"/>
      <c r="BI53" s="2">
        <f t="shared" ref="BI53:BI64" si="69">$BK53*BI$39</f>
        <v>43089.701000353401</v>
      </c>
      <c r="BJ53" s="2">
        <f t="shared" si="11"/>
        <v>64634.551500530091</v>
      </c>
      <c r="BK53" s="2">
        <f t="shared" si="41"/>
        <v>215448.50500176699</v>
      </c>
      <c r="BL53" s="2">
        <f t="shared" si="42"/>
        <v>0</v>
      </c>
      <c r="BM53" s="2"/>
    </row>
    <row r="54" spans="1:65" x14ac:dyDescent="0.25">
      <c r="A54">
        <f t="shared" si="6"/>
        <v>2006</v>
      </c>
      <c r="B54" s="2">
        <f t="shared" si="60"/>
        <v>49828.930236808679</v>
      </c>
      <c r="C54" s="2"/>
      <c r="D54" s="2">
        <f t="shared" si="61"/>
        <v>48948.607645371449</v>
      </c>
      <c r="E54" s="2">
        <f t="shared" si="62"/>
        <v>24917.912294484366</v>
      </c>
      <c r="F54" s="2"/>
      <c r="G54" s="2">
        <f t="shared" si="45"/>
        <v>54567.504655817538</v>
      </c>
      <c r="H54" s="2">
        <f t="shared" si="15"/>
        <v>67394.446849602726</v>
      </c>
      <c r="I54" s="2">
        <f t="shared" si="43"/>
        <v>245657.40168208478</v>
      </c>
      <c r="J54" s="2">
        <f t="shared" si="16"/>
        <v>24335.06301086428</v>
      </c>
      <c r="K54" s="6">
        <f t="shared" si="17"/>
        <v>0.1099530357259354</v>
      </c>
      <c r="L54" s="7">
        <f t="shared" si="18"/>
        <v>1.1099530357259355</v>
      </c>
      <c r="N54">
        <f t="shared" si="19"/>
        <v>2006</v>
      </c>
      <c r="O54" s="2">
        <f t="shared" si="20"/>
        <v>6020.6795111898182</v>
      </c>
      <c r="P54" s="2"/>
      <c r="Q54" s="2"/>
      <c r="R54">
        <f t="shared" si="21"/>
        <v>2006</v>
      </c>
      <c r="S54" s="2">
        <f t="shared" si="63"/>
        <v>48624.794334570717</v>
      </c>
      <c r="T54" s="2"/>
      <c r="U54" s="2">
        <f t="shared" si="64"/>
        <v>47744.471743133487</v>
      </c>
      <c r="V54" s="2">
        <f t="shared" si="64"/>
        <v>23713.776392246404</v>
      </c>
      <c r="W54" s="2"/>
      <c r="X54" s="2">
        <f t="shared" si="65"/>
        <v>53363.368753579576</v>
      </c>
      <c r="Y54" s="2">
        <f t="shared" si="65"/>
        <v>66190.310947364764</v>
      </c>
      <c r="Z54" s="2">
        <f t="shared" si="24"/>
        <v>239636.72217089497</v>
      </c>
      <c r="AA54" s="2">
        <f t="shared" si="25"/>
        <v>24188.21716912798</v>
      </c>
      <c r="AB54" s="6">
        <f t="shared" si="26"/>
        <v>0.11226913442230477</v>
      </c>
      <c r="AC54" s="7">
        <f t="shared" si="27"/>
        <v>1.1122691344223048</v>
      </c>
      <c r="AD54" s="2">
        <f t="shared" si="28"/>
        <v>0</v>
      </c>
      <c r="AE54" s="2"/>
      <c r="AG54">
        <f t="shared" si="29"/>
        <v>2006</v>
      </c>
      <c r="AH54" s="6">
        <f t="shared" si="5"/>
        <v>0.20291044667141767</v>
      </c>
      <c r="AI54" s="7"/>
      <c r="AJ54" s="6">
        <f t="shared" ref="AJ54:AK64" si="70">U54/$Z54</f>
        <v>0.19923687534452633</v>
      </c>
      <c r="AK54" s="6">
        <f t="shared" si="70"/>
        <v>9.8957188937574922E-2</v>
      </c>
      <c r="AL54" s="7"/>
      <c r="AM54" s="38">
        <f t="shared" si="30"/>
        <v>0.22268443780300051</v>
      </c>
      <c r="AN54" s="38">
        <f t="shared" si="31"/>
        <v>0.2762110512434805</v>
      </c>
      <c r="AO54" s="6">
        <f t="shared" si="32"/>
        <v>1</v>
      </c>
      <c r="AP54" s="7">
        <f t="shared" si="33"/>
        <v>0.72378894875651945</v>
      </c>
      <c r="AQ54" s="7">
        <f t="shared" si="34"/>
        <v>0</v>
      </c>
      <c r="AR54" s="24"/>
      <c r="AS54">
        <f t="shared" si="35"/>
        <v>2006</v>
      </c>
      <c r="AT54" s="1" t="b">
        <f t="shared" si="36"/>
        <v>1</v>
      </c>
      <c r="AU54" s="1"/>
      <c r="AV54" s="1" t="b">
        <f t="shared" si="66"/>
        <v>1</v>
      </c>
      <c r="AW54" s="1" t="b">
        <f t="shared" si="67"/>
        <v>1</v>
      </c>
      <c r="AX54" s="1"/>
      <c r="AY54" s="1" t="b">
        <f t="shared" si="55"/>
        <v>1</v>
      </c>
      <c r="AZ54" s="39" t="b">
        <f t="shared" si="38"/>
        <v>1</v>
      </c>
      <c r="BA54" s="1" t="b">
        <f t="shared" si="39"/>
        <v>1</v>
      </c>
      <c r="BC54">
        <f t="shared" si="40"/>
        <v>2006</v>
      </c>
      <c r="BD54" s="2">
        <f t="shared" si="68"/>
        <v>47927.344434178995</v>
      </c>
      <c r="BE54" s="2"/>
      <c r="BF54" s="2">
        <f t="shared" si="50"/>
        <v>47927.344434178995</v>
      </c>
      <c r="BG54" s="2">
        <f t="shared" si="50"/>
        <v>23963.672217089497</v>
      </c>
      <c r="BH54" s="2"/>
      <c r="BI54" s="2">
        <f t="shared" si="69"/>
        <v>47927.344434178995</v>
      </c>
      <c r="BJ54" s="2">
        <f t="shared" si="11"/>
        <v>71891.016651268481</v>
      </c>
      <c r="BK54" s="2">
        <f t="shared" si="41"/>
        <v>239636.72217089497</v>
      </c>
      <c r="BL54" s="2">
        <f t="shared" si="42"/>
        <v>0</v>
      </c>
      <c r="BM54" s="2"/>
    </row>
    <row r="55" spans="1:65" x14ac:dyDescent="0.25">
      <c r="A55">
        <f t="shared" si="6"/>
        <v>2007</v>
      </c>
      <c r="B55" s="2">
        <f t="shared" si="60"/>
        <v>50510.628299181248</v>
      </c>
      <c r="C55" s="2"/>
      <c r="D55" s="2">
        <f t="shared" si="61"/>
        <v>50813.049842560918</v>
      </c>
      <c r="E55" s="2">
        <f t="shared" si="62"/>
        <v>24240.692267919054</v>
      </c>
      <c r="F55" s="2"/>
      <c r="G55" s="2">
        <f t="shared" si="45"/>
        <v>55366.626837252254</v>
      </c>
      <c r="H55" s="2">
        <f t="shared" si="15"/>
        <v>76865.875003536261</v>
      </c>
      <c r="I55" s="2">
        <f t="shared" si="43"/>
        <v>257796.87225044973</v>
      </c>
      <c r="J55" s="2">
        <f t="shared" si="16"/>
        <v>12139.470568364952</v>
      </c>
      <c r="K55" s="6">
        <f t="shared" si="17"/>
        <v>4.9416262181569165E-2</v>
      </c>
      <c r="L55" s="7">
        <f t="shared" si="18"/>
        <v>1.0494162621815692</v>
      </c>
      <c r="N55">
        <f t="shared" si="19"/>
        <v>2007</v>
      </c>
      <c r="O55" s="2">
        <f t="shared" si="20"/>
        <v>6267.5273711486007</v>
      </c>
      <c r="P55" s="2"/>
      <c r="Q55" s="2"/>
      <c r="R55">
        <f t="shared" si="21"/>
        <v>2007</v>
      </c>
      <c r="S55" s="2">
        <f t="shared" si="63"/>
        <v>49257.122824951526</v>
      </c>
      <c r="T55" s="2"/>
      <c r="U55" s="2">
        <f t="shared" si="64"/>
        <v>49559.544368331197</v>
      </c>
      <c r="V55" s="2">
        <f t="shared" si="64"/>
        <v>22987.186793689332</v>
      </c>
      <c r="W55" s="2"/>
      <c r="X55" s="2">
        <f t="shared" si="65"/>
        <v>54113.121363022532</v>
      </c>
      <c r="Y55" s="2">
        <f t="shared" si="65"/>
        <v>75612.369529306539</v>
      </c>
      <c r="Z55" s="2">
        <f t="shared" si="24"/>
        <v>251529.34487930112</v>
      </c>
      <c r="AA55" s="2">
        <f t="shared" si="25"/>
        <v>11892.622708406154</v>
      </c>
      <c r="AB55" s="6">
        <f t="shared" si="26"/>
        <v>4.9627713985859925E-2</v>
      </c>
      <c r="AC55" s="7">
        <f t="shared" si="27"/>
        <v>1.0496277139858599</v>
      </c>
      <c r="AD55" s="2">
        <f t="shared" si="28"/>
        <v>0</v>
      </c>
      <c r="AE55" s="2"/>
      <c r="AG55">
        <f t="shared" si="29"/>
        <v>2007</v>
      </c>
      <c r="AH55" s="6">
        <f t="shared" ref="AH55:AH64" si="71">S55/$Z55</f>
        <v>0.19583052167765178</v>
      </c>
      <c r="AI55" s="7"/>
      <c r="AJ55" s="6">
        <f t="shared" si="70"/>
        <v>0.19703285273578255</v>
      </c>
      <c r="AK55" s="6">
        <f t="shared" si="70"/>
        <v>9.1389681807186207E-2</v>
      </c>
      <c r="AL55" s="7"/>
      <c r="AM55" s="6">
        <f t="shared" si="30"/>
        <v>0.21513641435749478</v>
      </c>
      <c r="AN55" s="38">
        <f t="shared" si="31"/>
        <v>0.30061052942188471</v>
      </c>
      <c r="AO55" s="6">
        <f t="shared" si="32"/>
        <v>1</v>
      </c>
      <c r="AP55" s="7">
        <f t="shared" si="33"/>
        <v>0.69938947057811529</v>
      </c>
      <c r="AQ55" s="7">
        <f t="shared" si="34"/>
        <v>0</v>
      </c>
      <c r="AR55" s="24"/>
      <c r="AS55">
        <f t="shared" si="35"/>
        <v>2007</v>
      </c>
      <c r="AT55" s="1" t="b">
        <f t="shared" si="36"/>
        <v>1</v>
      </c>
      <c r="AV55" s="1" t="b">
        <f t="shared" si="66"/>
        <v>1</v>
      </c>
      <c r="AW55" s="1" t="b">
        <f t="shared" si="67"/>
        <v>1</v>
      </c>
      <c r="AY55" s="1" t="b">
        <f t="shared" si="55"/>
        <v>1</v>
      </c>
      <c r="AZ55" s="39" t="b">
        <f t="shared" si="38"/>
        <v>1</v>
      </c>
      <c r="BA55" s="1" t="b">
        <f t="shared" si="39"/>
        <v>1</v>
      </c>
      <c r="BC55">
        <f t="shared" si="40"/>
        <v>2007</v>
      </c>
      <c r="BD55" s="2">
        <f t="shared" si="68"/>
        <v>50305.868975860227</v>
      </c>
      <c r="BE55" s="2"/>
      <c r="BF55" s="2">
        <f t="shared" si="50"/>
        <v>50305.868975860227</v>
      </c>
      <c r="BG55" s="2">
        <f t="shared" si="50"/>
        <v>25152.934487930113</v>
      </c>
      <c r="BH55" s="2"/>
      <c r="BI55" s="2">
        <f t="shared" si="69"/>
        <v>50305.868975860227</v>
      </c>
      <c r="BJ55" s="2">
        <f t="shared" si="11"/>
        <v>75458.803463790333</v>
      </c>
      <c r="BK55" s="2">
        <f t="shared" si="41"/>
        <v>251529.34487930112</v>
      </c>
      <c r="BL55" s="2">
        <f t="shared" si="42"/>
        <v>0</v>
      </c>
      <c r="BM55" s="2"/>
    </row>
    <row r="56" spans="1:65" x14ac:dyDescent="0.25">
      <c r="A56">
        <f t="shared" si="6"/>
        <v>2008</v>
      </c>
      <c r="B56" s="2">
        <f t="shared" si="60"/>
        <v>31682.636280996765</v>
      </c>
      <c r="C56" s="2"/>
      <c r="D56" s="2">
        <f t="shared" si="61"/>
        <v>29265.942335396448</v>
      </c>
      <c r="E56" s="2">
        <f t="shared" si="62"/>
        <v>16080.271018133721</v>
      </c>
      <c r="F56" s="2"/>
      <c r="G56" s="2">
        <f t="shared" si="45"/>
        <v>28120.477698816107</v>
      </c>
      <c r="H56" s="2">
        <f t="shared" si="15"/>
        <v>79269.473038711745</v>
      </c>
      <c r="I56" s="2">
        <f t="shared" si="43"/>
        <v>184418.8003720548</v>
      </c>
      <c r="J56" s="2">
        <f>I56-I55</f>
        <v>-73378.071878394927</v>
      </c>
      <c r="K56" s="6">
        <f>(J56/I55)</f>
        <v>-0.2846352294263218</v>
      </c>
      <c r="L56" s="7">
        <f t="shared" si="18"/>
        <v>0.7153647705736782</v>
      </c>
      <c r="N56">
        <f t="shared" si="19"/>
        <v>2008</v>
      </c>
      <c r="O56" s="2">
        <f t="shared" si="20"/>
        <v>6267.5273711486007</v>
      </c>
      <c r="P56" s="2"/>
      <c r="Q56" s="2"/>
      <c r="R56">
        <f t="shared" si="21"/>
        <v>2008</v>
      </c>
      <c r="S56" s="2">
        <f t="shared" si="63"/>
        <v>30429.130806767043</v>
      </c>
      <c r="T56" s="2"/>
      <c r="U56" s="2">
        <f t="shared" si="64"/>
        <v>28012.436861166727</v>
      </c>
      <c r="V56" s="2">
        <f t="shared" si="64"/>
        <v>14826.765543904001</v>
      </c>
      <c r="W56" s="2"/>
      <c r="X56" s="2">
        <f t="shared" si="65"/>
        <v>26866.972224586385</v>
      </c>
      <c r="Y56" s="2">
        <f t="shared" si="65"/>
        <v>78015.967564482024</v>
      </c>
      <c r="Z56" s="2">
        <f t="shared" si="24"/>
        <v>178151.27300090616</v>
      </c>
      <c r="AA56" s="2">
        <f>Z56-Z55</f>
        <v>-73378.071878394956</v>
      </c>
      <c r="AB56" s="6">
        <f>(AA56/Z55)</f>
        <v>-0.2917276785879841</v>
      </c>
      <c r="AC56" s="7">
        <f t="shared" si="27"/>
        <v>0.7082723214120159</v>
      </c>
      <c r="AD56" s="2">
        <f t="shared" si="28"/>
        <v>0</v>
      </c>
      <c r="AE56" s="2"/>
      <c r="AG56">
        <f t="shared" si="29"/>
        <v>2008</v>
      </c>
      <c r="AH56" s="6">
        <f t="shared" si="71"/>
        <v>0.17080501471697182</v>
      </c>
      <c r="AI56" s="7"/>
      <c r="AJ56" s="6">
        <f t="shared" si="70"/>
        <v>0.15723961097389544</v>
      </c>
      <c r="AK56" s="6">
        <f t="shared" si="70"/>
        <v>8.3225706413159253E-2</v>
      </c>
      <c r="AL56" s="7"/>
      <c r="AM56" s="6">
        <f t="shared" si="30"/>
        <v>0.15080988068185022</v>
      </c>
      <c r="AN56" s="6">
        <f t="shared" si="31"/>
        <v>0.43791978721412333</v>
      </c>
      <c r="AO56" s="6">
        <f t="shared" si="32"/>
        <v>1</v>
      </c>
      <c r="AP56" s="7">
        <f t="shared" si="33"/>
        <v>0.56208021278587672</v>
      </c>
      <c r="AQ56" s="7">
        <f t="shared" si="34"/>
        <v>0</v>
      </c>
      <c r="AR56" s="24"/>
      <c r="AS56">
        <f t="shared" si="35"/>
        <v>2008</v>
      </c>
      <c r="AT56" s="1" t="b">
        <f t="shared" si="36"/>
        <v>1</v>
      </c>
      <c r="AV56" s="1" t="b">
        <f t="shared" si="66"/>
        <v>1</v>
      </c>
      <c r="AW56" s="1" t="b">
        <f t="shared" si="67"/>
        <v>1</v>
      </c>
      <c r="AY56" s="1" t="b">
        <f t="shared" si="55"/>
        <v>1</v>
      </c>
      <c r="AZ56" s="1" t="b">
        <f t="shared" si="38"/>
        <v>0</v>
      </c>
      <c r="BA56" s="1" t="b">
        <f t="shared" si="39"/>
        <v>1</v>
      </c>
      <c r="BC56">
        <f t="shared" si="40"/>
        <v>2008</v>
      </c>
      <c r="BD56" s="2">
        <f t="shared" si="68"/>
        <v>35630.254600181237</v>
      </c>
      <c r="BE56" s="2"/>
      <c r="BF56" s="2">
        <f t="shared" si="50"/>
        <v>35630.254600181237</v>
      </c>
      <c r="BG56" s="2">
        <f t="shared" si="50"/>
        <v>17815.127300090619</v>
      </c>
      <c r="BH56" s="2"/>
      <c r="BI56" s="2">
        <f t="shared" si="69"/>
        <v>35630.254600181237</v>
      </c>
      <c r="BJ56" s="2">
        <f t="shared" si="11"/>
        <v>53445.381900271845</v>
      </c>
      <c r="BK56" s="2">
        <f t="shared" si="41"/>
        <v>178151.27300090616</v>
      </c>
      <c r="BL56" s="2">
        <f t="shared" si="42"/>
        <v>0</v>
      </c>
      <c r="BM56" s="2"/>
    </row>
    <row r="57" spans="1:65" x14ac:dyDescent="0.25">
      <c r="A57">
        <f t="shared" si="6"/>
        <v>2009</v>
      </c>
      <c r="B57" s="2">
        <f t="shared" si="60"/>
        <v>45068.709043769246</v>
      </c>
      <c r="C57" s="2"/>
      <c r="D57" s="2">
        <f t="shared" si="61"/>
        <v>49960.030395282127</v>
      </c>
      <c r="E57" s="2">
        <f t="shared" si="62"/>
        <v>24249.594978337351</v>
      </c>
      <c r="F57" s="2"/>
      <c r="G57" s="2">
        <f t="shared" si="45"/>
        <v>48716.178207189798</v>
      </c>
      <c r="H57" s="2">
        <f t="shared" si="15"/>
        <v>56614.69304695796</v>
      </c>
      <c r="I57" s="2">
        <f t="shared" si="43"/>
        <v>224609.20567153647</v>
      </c>
      <c r="J57" s="2">
        <f t="shared" si="16"/>
        <v>40190.405299481674</v>
      </c>
      <c r="K57" s="6">
        <f t="shared" si="17"/>
        <v>0.21793008748782519</v>
      </c>
      <c r="L57" s="7">
        <f t="shared" si="18"/>
        <v>1.2179300874878252</v>
      </c>
      <c r="N57">
        <f t="shared" si="19"/>
        <v>2009</v>
      </c>
      <c r="O57" s="2">
        <f t="shared" si="20"/>
        <v>6443.0181375407619</v>
      </c>
      <c r="P57" s="2"/>
      <c r="Q57" s="2"/>
      <c r="R57">
        <f t="shared" si="21"/>
        <v>2009</v>
      </c>
      <c r="S57" s="2">
        <f t="shared" si="63"/>
        <v>43780.105416261096</v>
      </c>
      <c r="T57" s="2"/>
      <c r="U57" s="2">
        <f t="shared" si="64"/>
        <v>48671.426767773977</v>
      </c>
      <c r="V57" s="2">
        <f t="shared" si="64"/>
        <v>22960.991350829197</v>
      </c>
      <c r="W57" s="2"/>
      <c r="X57" s="2">
        <f t="shared" si="65"/>
        <v>47427.574579681648</v>
      </c>
      <c r="Y57" s="2">
        <f t="shared" si="65"/>
        <v>55326.089419449811</v>
      </c>
      <c r="Z57" s="2">
        <f t="shared" si="24"/>
        <v>218166.18753399572</v>
      </c>
      <c r="AA57" s="2">
        <f t="shared" ref="AA57:AA64" si="72">Z57-Z56</f>
        <v>40014.914533089555</v>
      </c>
      <c r="AB57" s="6">
        <f t="shared" ref="AB57:AB64" si="73">(AA57/Z56)</f>
        <v>0.22461200450072574</v>
      </c>
      <c r="AC57" s="7">
        <f t="shared" si="27"/>
        <v>1.2246120045007258</v>
      </c>
      <c r="AD57" s="2">
        <f t="shared" si="28"/>
        <v>0</v>
      </c>
      <c r="AE57" s="2"/>
      <c r="AG57">
        <f t="shared" si="29"/>
        <v>2009</v>
      </c>
      <c r="AH57" s="6">
        <f t="shared" si="71"/>
        <v>0.20067319281288293</v>
      </c>
      <c r="AI57" s="7"/>
      <c r="AJ57" s="6">
        <f t="shared" si="70"/>
        <v>0.22309335519826948</v>
      </c>
      <c r="AK57" s="6">
        <f t="shared" si="70"/>
        <v>0.10524541685567707</v>
      </c>
      <c r="AL57" s="7"/>
      <c r="AM57" s="6">
        <f t="shared" ref="AM57:AM64" si="74">X57/$Z57</f>
        <v>0.21739195755204391</v>
      </c>
      <c r="AN57" s="6">
        <f t="shared" si="31"/>
        <v>0.25359607758112668</v>
      </c>
      <c r="AO57" s="6">
        <f t="shared" si="32"/>
        <v>1</v>
      </c>
      <c r="AP57" s="7">
        <f t="shared" si="33"/>
        <v>0.74640392241887332</v>
      </c>
      <c r="AQ57" s="7">
        <f t="shared" si="34"/>
        <v>0</v>
      </c>
      <c r="AR57" s="24"/>
      <c r="AS57">
        <f t="shared" si="35"/>
        <v>2009</v>
      </c>
      <c r="AT57" s="1" t="b">
        <f t="shared" si="36"/>
        <v>1</v>
      </c>
      <c r="AV57" s="1" t="b">
        <f t="shared" si="66"/>
        <v>1</v>
      </c>
      <c r="AW57" s="1" t="b">
        <f t="shared" si="67"/>
        <v>1</v>
      </c>
      <c r="AY57" s="1" t="b">
        <f t="shared" si="55"/>
        <v>1</v>
      </c>
      <c r="AZ57" s="1" t="b">
        <f t="shared" si="38"/>
        <v>1</v>
      </c>
      <c r="BA57" s="1" t="b">
        <f t="shared" si="39"/>
        <v>1</v>
      </c>
      <c r="BC57">
        <f t="shared" si="40"/>
        <v>2009</v>
      </c>
      <c r="BD57" s="2">
        <f t="shared" si="68"/>
        <v>43633.237506799145</v>
      </c>
      <c r="BE57" s="2"/>
      <c r="BF57" s="2">
        <f t="shared" si="50"/>
        <v>43633.237506799145</v>
      </c>
      <c r="BG57" s="2">
        <f t="shared" si="50"/>
        <v>21816.618753399573</v>
      </c>
      <c r="BH57" s="2"/>
      <c r="BI57" s="2">
        <f t="shared" si="69"/>
        <v>43633.237506799145</v>
      </c>
      <c r="BJ57" s="2">
        <f t="shared" si="11"/>
        <v>65449.856260198714</v>
      </c>
      <c r="BK57" s="2">
        <f t="shared" si="41"/>
        <v>218166.18753399572</v>
      </c>
      <c r="BL57" s="2">
        <f t="shared" si="42"/>
        <v>0</v>
      </c>
      <c r="BM57" s="2"/>
    </row>
    <row r="58" spans="1:65" x14ac:dyDescent="0.25">
      <c r="A58">
        <f t="shared" si="6"/>
        <v>2010</v>
      </c>
      <c r="B58" s="2">
        <f t="shared" si="60"/>
        <v>50138.953219062896</v>
      </c>
      <c r="C58" s="2"/>
      <c r="D58" s="2">
        <f t="shared" si="61"/>
        <v>54742.259776030201</v>
      </c>
      <c r="E58" s="2">
        <f t="shared" si="62"/>
        <v>27864.185471841938</v>
      </c>
      <c r="F58" s="2"/>
      <c r="G58" s="2">
        <f t="shared" si="45"/>
        <v>48485.253517555211</v>
      </c>
      <c r="H58" s="2">
        <f t="shared" si="15"/>
        <v>69651.737032103469</v>
      </c>
      <c r="I58" s="2">
        <f t="shared" si="43"/>
        <v>250882.38901659372</v>
      </c>
      <c r="J58" s="2">
        <f t="shared" si="16"/>
        <v>26273.183345057245</v>
      </c>
      <c r="K58" s="6">
        <f t="shared" si="17"/>
        <v>0.11697286968495212</v>
      </c>
      <c r="L58" s="7">
        <f t="shared" si="18"/>
        <v>1.1169728696849521</v>
      </c>
      <c r="N58">
        <f t="shared" si="19"/>
        <v>2010</v>
      </c>
      <c r="O58" s="2">
        <f t="shared" si="20"/>
        <v>6533.2203914663323</v>
      </c>
      <c r="P58" s="2"/>
      <c r="Q58" s="2"/>
      <c r="R58">
        <f t="shared" si="21"/>
        <v>2010</v>
      </c>
      <c r="S58" s="2">
        <f t="shared" si="63"/>
        <v>48832.309140769627</v>
      </c>
      <c r="T58" s="2"/>
      <c r="U58" s="2">
        <f t="shared" si="64"/>
        <v>53435.615697736932</v>
      </c>
      <c r="V58" s="2">
        <f t="shared" si="64"/>
        <v>26557.541393548672</v>
      </c>
      <c r="W58" s="2"/>
      <c r="X58" s="2">
        <f t="shared" si="65"/>
        <v>47178.609439261942</v>
      </c>
      <c r="Y58" s="2">
        <f t="shared" si="65"/>
        <v>68345.092953810206</v>
      </c>
      <c r="Z58" s="2">
        <f t="shared" si="24"/>
        <v>244349.16862512738</v>
      </c>
      <c r="AA58" s="2">
        <f t="shared" si="72"/>
        <v>26182.98109113166</v>
      </c>
      <c r="AB58" s="6">
        <f t="shared" si="73"/>
        <v>0.12001392785512054</v>
      </c>
      <c r="AC58" s="7">
        <f t="shared" si="27"/>
        <v>1.1200139278551204</v>
      </c>
      <c r="AD58" s="2">
        <f t="shared" si="28"/>
        <v>0</v>
      </c>
      <c r="AE58" s="2"/>
      <c r="AG58">
        <f t="shared" si="29"/>
        <v>2010</v>
      </c>
      <c r="AH58" s="6">
        <f t="shared" si="71"/>
        <v>0.19984643048115536</v>
      </c>
      <c r="AI58" s="7"/>
      <c r="AJ58" s="6">
        <f t="shared" si="70"/>
        <v>0.21868548192081688</v>
      </c>
      <c r="AK58" s="6">
        <f t="shared" si="70"/>
        <v>0.10868684981814854</v>
      </c>
      <c r="AL58" s="7"/>
      <c r="AM58" s="38">
        <f t="shared" si="74"/>
        <v>0.19307865749951392</v>
      </c>
      <c r="AN58" s="38">
        <f t="shared" si="31"/>
        <v>0.27970258028036526</v>
      </c>
      <c r="AO58" s="6">
        <f t="shared" si="32"/>
        <v>1</v>
      </c>
      <c r="AP58" s="7">
        <f t="shared" si="33"/>
        <v>0.72029741971963468</v>
      </c>
      <c r="AQ58" s="7">
        <f t="shared" si="34"/>
        <v>0</v>
      </c>
      <c r="AR58" s="24"/>
      <c r="AS58">
        <f t="shared" si="35"/>
        <v>2010</v>
      </c>
      <c r="AT58" s="1" t="b">
        <f t="shared" si="36"/>
        <v>1</v>
      </c>
      <c r="AV58" s="1" t="b">
        <f t="shared" si="66"/>
        <v>1</v>
      </c>
      <c r="AW58" s="1" t="b">
        <f t="shared" si="67"/>
        <v>1</v>
      </c>
      <c r="AY58" s="1" t="b">
        <f t="shared" si="55"/>
        <v>1</v>
      </c>
      <c r="AZ58" s="1" t="b">
        <f t="shared" si="38"/>
        <v>1</v>
      </c>
      <c r="BA58" s="1" t="b">
        <f t="shared" si="39"/>
        <v>1</v>
      </c>
      <c r="BC58">
        <f t="shared" si="40"/>
        <v>2010</v>
      </c>
      <c r="BD58" s="2">
        <f t="shared" si="68"/>
        <v>48869.833725025477</v>
      </c>
      <c r="BE58" s="2"/>
      <c r="BF58" s="2">
        <f t="shared" si="50"/>
        <v>48869.833725025477</v>
      </c>
      <c r="BG58" s="2">
        <f t="shared" si="50"/>
        <v>24434.916862512739</v>
      </c>
      <c r="BH58" s="2"/>
      <c r="BI58" s="2">
        <f t="shared" si="69"/>
        <v>48869.833725025477</v>
      </c>
      <c r="BJ58" s="2">
        <f t="shared" si="11"/>
        <v>73304.750587538205</v>
      </c>
      <c r="BK58" s="2">
        <f t="shared" si="41"/>
        <v>244349.16862512738</v>
      </c>
      <c r="BL58" s="2">
        <f t="shared" si="42"/>
        <v>0</v>
      </c>
      <c r="BM58" s="2"/>
    </row>
    <row r="59" spans="1:65" x14ac:dyDescent="0.25">
      <c r="A59">
        <f t="shared" si="6"/>
        <v>2011</v>
      </c>
      <c r="B59" s="2">
        <f t="shared" si="60"/>
        <v>49832.569449408482</v>
      </c>
      <c r="C59" s="2"/>
      <c r="D59" s="2">
        <f t="shared" si="61"/>
        <v>47838.68023342744</v>
      </c>
      <c r="E59" s="2">
        <f t="shared" si="62"/>
        <v>23750.739190362383</v>
      </c>
      <c r="F59" s="2"/>
      <c r="G59" s="2">
        <f t="shared" si="45"/>
        <v>41754.385934661768</v>
      </c>
      <c r="H59" s="2">
        <f t="shared" si="15"/>
        <v>78846.589731956105</v>
      </c>
      <c r="I59" s="2">
        <f t="shared" si="43"/>
        <v>242022.96453981617</v>
      </c>
      <c r="J59" s="2">
        <f t="shared" si="16"/>
        <v>-8859.4244767775526</v>
      </c>
      <c r="K59" s="6">
        <f t="shared" si="17"/>
        <v>-3.5313058487304094E-2</v>
      </c>
      <c r="L59" s="7">
        <f t="shared" si="18"/>
        <v>0.96468694151269596</v>
      </c>
      <c r="N59">
        <f t="shared" si="19"/>
        <v>2011</v>
      </c>
      <c r="O59" s="2">
        <f t="shared" si="20"/>
        <v>6729.2170032103222</v>
      </c>
      <c r="P59" s="2"/>
      <c r="Q59" s="2"/>
      <c r="R59">
        <f t="shared" si="21"/>
        <v>2011</v>
      </c>
      <c r="S59" s="2">
        <f t="shared" si="63"/>
        <v>48486.726048766417</v>
      </c>
      <c r="T59" s="2"/>
      <c r="U59" s="2">
        <f t="shared" si="64"/>
        <v>46492.836832785375</v>
      </c>
      <c r="V59" s="2">
        <f t="shared" si="64"/>
        <v>22404.895789720318</v>
      </c>
      <c r="W59" s="2"/>
      <c r="X59" s="2">
        <f t="shared" si="65"/>
        <v>40408.542534019703</v>
      </c>
      <c r="Y59" s="2">
        <f t="shared" si="65"/>
        <v>77500.746331314047</v>
      </c>
      <c r="Z59" s="2">
        <f t="shared" si="24"/>
        <v>235293.74753660586</v>
      </c>
      <c r="AA59" s="2">
        <f t="shared" si="72"/>
        <v>-9055.4210885215143</v>
      </c>
      <c r="AB59" s="6">
        <f t="shared" si="73"/>
        <v>-3.7059348879611084E-2</v>
      </c>
      <c r="AC59" s="7">
        <f t="shared" si="27"/>
        <v>0.96294065112038896</v>
      </c>
      <c r="AD59" s="2">
        <f t="shared" si="28"/>
        <v>0</v>
      </c>
      <c r="AE59" s="2"/>
      <c r="AG59">
        <f t="shared" si="29"/>
        <v>2011</v>
      </c>
      <c r="AH59" s="6">
        <f t="shared" si="71"/>
        <v>0.20606890984735193</v>
      </c>
      <c r="AI59" s="7"/>
      <c r="AJ59" s="6">
        <f t="shared" si="70"/>
        <v>0.19759486735002274</v>
      </c>
      <c r="AK59" s="6">
        <f t="shared" si="70"/>
        <v>9.5220956885965158E-2</v>
      </c>
      <c r="AL59" s="7"/>
      <c r="AM59" s="6">
        <f t="shared" si="74"/>
        <v>0.1717365759059668</v>
      </c>
      <c r="AN59" s="6">
        <f t="shared" si="31"/>
        <v>0.32937869001069336</v>
      </c>
      <c r="AO59" s="6">
        <f t="shared" si="32"/>
        <v>1</v>
      </c>
      <c r="AP59" s="7">
        <f t="shared" si="33"/>
        <v>0.67062130998930658</v>
      </c>
      <c r="AQ59" s="7">
        <f t="shared" si="34"/>
        <v>0</v>
      </c>
      <c r="AR59" s="24"/>
      <c r="AS59">
        <f t="shared" si="35"/>
        <v>2011</v>
      </c>
      <c r="AT59" s="1" t="b">
        <f t="shared" si="36"/>
        <v>1</v>
      </c>
      <c r="AV59" s="1" t="b">
        <f t="shared" si="66"/>
        <v>1</v>
      </c>
      <c r="AW59" s="1" t="b">
        <f t="shared" si="67"/>
        <v>1</v>
      </c>
      <c r="AY59" s="1" t="b">
        <f t="shared" si="55"/>
        <v>1</v>
      </c>
      <c r="AZ59" s="1" t="b">
        <f t="shared" si="38"/>
        <v>1</v>
      </c>
      <c r="BA59" s="1" t="b">
        <f t="shared" si="39"/>
        <v>1</v>
      </c>
      <c r="BC59">
        <f t="shared" si="40"/>
        <v>2011</v>
      </c>
      <c r="BD59" s="2">
        <f t="shared" si="68"/>
        <v>47058.749507321176</v>
      </c>
      <c r="BE59" s="2"/>
      <c r="BF59" s="2">
        <f t="shared" si="50"/>
        <v>47058.749507321176</v>
      </c>
      <c r="BG59" s="2">
        <f t="shared" si="50"/>
        <v>23529.374753660588</v>
      </c>
      <c r="BH59" s="2"/>
      <c r="BI59" s="2">
        <f t="shared" si="69"/>
        <v>47058.749507321176</v>
      </c>
      <c r="BJ59" s="2">
        <f t="shared" si="11"/>
        <v>70588.124260981756</v>
      </c>
      <c r="BK59" s="2">
        <f t="shared" si="41"/>
        <v>235293.74753660586</v>
      </c>
      <c r="BL59" s="2">
        <f t="shared" si="42"/>
        <v>0</v>
      </c>
      <c r="BM59" s="2"/>
    </row>
    <row r="60" spans="1:65" x14ac:dyDescent="0.25">
      <c r="A60">
        <f t="shared" si="6"/>
        <v>2012</v>
      </c>
      <c r="B60" s="2">
        <f t="shared" si="60"/>
        <v>54503.443679379379</v>
      </c>
      <c r="C60" s="2"/>
      <c r="D60" s="2">
        <f t="shared" si="61"/>
        <v>54494.031929477918</v>
      </c>
      <c r="E60" s="2">
        <f t="shared" si="62"/>
        <v>27774.073959220961</v>
      </c>
      <c r="F60" s="2"/>
      <c r="G60" s="2">
        <f t="shared" si="45"/>
        <v>55595.206667949235</v>
      </c>
      <c r="H60" s="2">
        <f t="shared" si="15"/>
        <v>73446.943293551521</v>
      </c>
      <c r="I60" s="2">
        <f t="shared" si="43"/>
        <v>265813.69952957903</v>
      </c>
      <c r="J60" s="2">
        <f t="shared" si="16"/>
        <v>23790.734989762859</v>
      </c>
      <c r="K60" s="6">
        <f t="shared" si="17"/>
        <v>9.8299494161633375E-2</v>
      </c>
      <c r="L60" s="7">
        <f t="shared" si="18"/>
        <v>1.0982994941616333</v>
      </c>
      <c r="N60">
        <f t="shared" si="19"/>
        <v>2012</v>
      </c>
      <c r="O60" s="2">
        <f t="shared" si="20"/>
        <v>6850.3429092681081</v>
      </c>
      <c r="P60" s="2"/>
      <c r="Q60" s="2"/>
      <c r="R60">
        <f t="shared" si="21"/>
        <v>2012</v>
      </c>
      <c r="S60" s="2">
        <f t="shared" si="63"/>
        <v>53133.375097525757</v>
      </c>
      <c r="T60" s="2"/>
      <c r="U60" s="2">
        <f t="shared" si="64"/>
        <v>53123.963347624296</v>
      </c>
      <c r="V60" s="2">
        <f t="shared" si="64"/>
        <v>26404.005377367339</v>
      </c>
      <c r="W60" s="2"/>
      <c r="X60" s="2">
        <f t="shared" si="65"/>
        <v>54225.138086095612</v>
      </c>
      <c r="Y60" s="2">
        <f t="shared" si="65"/>
        <v>72076.874711697907</v>
      </c>
      <c r="Z60" s="2">
        <f t="shared" si="24"/>
        <v>258963.35662031092</v>
      </c>
      <c r="AA60" s="2">
        <f t="shared" si="72"/>
        <v>23669.609083705058</v>
      </c>
      <c r="AB60" s="6">
        <f t="shared" si="73"/>
        <v>0.10059599684017381</v>
      </c>
      <c r="AC60" s="7">
        <f t="shared" si="27"/>
        <v>1.1005959968401737</v>
      </c>
      <c r="AD60" s="2">
        <f t="shared" si="28"/>
        <v>0</v>
      </c>
      <c r="AE60" s="2"/>
      <c r="AG60">
        <f t="shared" si="29"/>
        <v>2012</v>
      </c>
      <c r="AH60" s="6">
        <f t="shared" si="71"/>
        <v>0.20517719491653522</v>
      </c>
      <c r="AI60" s="7"/>
      <c r="AJ60" s="6">
        <f t="shared" si="70"/>
        <v>0.2051408509718772</v>
      </c>
      <c r="AK60" s="6">
        <f t="shared" si="70"/>
        <v>0.10196039208775234</v>
      </c>
      <c r="AL60" s="7"/>
      <c r="AM60" s="6">
        <f t="shared" si="74"/>
        <v>0.2093930924968658</v>
      </c>
      <c r="AN60" s="38">
        <f t="shared" si="31"/>
        <v>0.27832846952696938</v>
      </c>
      <c r="AO60" s="6">
        <f t="shared" si="32"/>
        <v>1</v>
      </c>
      <c r="AP60" s="7">
        <f t="shared" si="33"/>
        <v>0.72167153047303056</v>
      </c>
      <c r="AQ60" s="7">
        <f t="shared" si="34"/>
        <v>0</v>
      </c>
      <c r="AR60" s="24"/>
      <c r="AS60">
        <f t="shared" si="35"/>
        <v>2012</v>
      </c>
      <c r="AT60" s="1" t="b">
        <f t="shared" si="36"/>
        <v>1</v>
      </c>
      <c r="AV60" s="1" t="b">
        <f t="shared" si="66"/>
        <v>1</v>
      </c>
      <c r="AW60" s="1" t="b">
        <f t="shared" si="67"/>
        <v>1</v>
      </c>
      <c r="AY60" s="1" t="b">
        <f t="shared" si="55"/>
        <v>1</v>
      </c>
      <c r="AZ60" s="39" t="b">
        <f t="shared" si="38"/>
        <v>1</v>
      </c>
      <c r="BA60" s="1" t="b">
        <f t="shared" si="39"/>
        <v>1</v>
      </c>
      <c r="BC60">
        <f t="shared" si="40"/>
        <v>2012</v>
      </c>
      <c r="BD60" s="2">
        <f t="shared" si="68"/>
        <v>51792.67132406219</v>
      </c>
      <c r="BE60" s="2"/>
      <c r="BF60" s="2">
        <f t="shared" si="50"/>
        <v>51792.67132406219</v>
      </c>
      <c r="BG60" s="2">
        <f t="shared" si="50"/>
        <v>25896.335662031095</v>
      </c>
      <c r="BH60" s="2"/>
      <c r="BI60" s="2">
        <f t="shared" si="69"/>
        <v>51792.67132406219</v>
      </c>
      <c r="BJ60" s="2">
        <f t="shared" si="11"/>
        <v>77689.006986093271</v>
      </c>
      <c r="BK60" s="2">
        <f t="shared" si="41"/>
        <v>258963.35662031092</v>
      </c>
      <c r="BL60" s="2">
        <f t="shared" si="42"/>
        <v>0</v>
      </c>
      <c r="BM60" s="2"/>
    </row>
    <row r="61" spans="1:65" x14ac:dyDescent="0.25">
      <c r="A61">
        <f t="shared" si="6"/>
        <v>2013</v>
      </c>
      <c r="B61" s="2">
        <f t="shared" si="60"/>
        <v>68459.552956145402</v>
      </c>
      <c r="C61" s="2"/>
      <c r="D61" s="2">
        <f t="shared" si="61"/>
        <v>69920.106287483955</v>
      </c>
      <c r="E61" s="2">
        <f t="shared" si="62"/>
        <v>35638.537138087187</v>
      </c>
      <c r="F61" s="2"/>
      <c r="G61" s="2">
        <f t="shared" si="45"/>
        <v>59582.289091201135</v>
      </c>
      <c r="H61" s="2">
        <f t="shared" si="15"/>
        <v>75933.235428207568</v>
      </c>
      <c r="I61" s="2">
        <f t="shared" si="43"/>
        <v>309533.72090112523</v>
      </c>
      <c r="J61" s="2">
        <f t="shared" si="16"/>
        <v>43720.021371546201</v>
      </c>
      <c r="K61" s="6">
        <f t="shared" si="17"/>
        <v>0.16447617804845741</v>
      </c>
      <c r="L61" s="7">
        <f t="shared" si="18"/>
        <v>1.1644761780484574</v>
      </c>
      <c r="N61">
        <f t="shared" si="19"/>
        <v>2013</v>
      </c>
      <c r="O61" s="2">
        <f t="shared" si="20"/>
        <v>6929.5049037157942</v>
      </c>
      <c r="P61" s="2"/>
      <c r="Q61" s="2"/>
      <c r="R61">
        <f t="shared" si="21"/>
        <v>2013</v>
      </c>
      <c r="S61" s="2">
        <f t="shared" si="63"/>
        <v>67073.651975402245</v>
      </c>
      <c r="T61" s="2"/>
      <c r="U61" s="2">
        <f t="shared" si="64"/>
        <v>68534.205306740798</v>
      </c>
      <c r="V61" s="2">
        <f t="shared" si="64"/>
        <v>34252.63615734403</v>
      </c>
      <c r="W61" s="2"/>
      <c r="X61" s="2">
        <f t="shared" si="65"/>
        <v>58196.388110457978</v>
      </c>
      <c r="Y61" s="2">
        <f t="shared" si="65"/>
        <v>74547.334447464411</v>
      </c>
      <c r="Z61" s="2">
        <f t="shared" si="24"/>
        <v>302604.21599740942</v>
      </c>
      <c r="AA61" s="2">
        <f t="shared" si="72"/>
        <v>43640.859377098503</v>
      </c>
      <c r="AB61" s="6">
        <f t="shared" si="73"/>
        <v>0.16852136899462664</v>
      </c>
      <c r="AC61" s="7">
        <f t="shared" si="27"/>
        <v>1.1685213689946266</v>
      </c>
      <c r="AD61" s="2">
        <f t="shared" si="28"/>
        <v>0</v>
      </c>
      <c r="AE61" s="2"/>
      <c r="AG61">
        <f t="shared" si="29"/>
        <v>2013</v>
      </c>
      <c r="AH61" s="6">
        <f t="shared" si="71"/>
        <v>0.22165471738165227</v>
      </c>
      <c r="AI61" s="7"/>
      <c r="AJ61" s="6">
        <f t="shared" si="70"/>
        <v>0.22648133001335155</v>
      </c>
      <c r="AK61" s="6">
        <f t="shared" si="70"/>
        <v>0.11319285834945957</v>
      </c>
      <c r="AL61" s="7"/>
      <c r="AM61" s="6">
        <f t="shared" si="74"/>
        <v>0.19231849734359349</v>
      </c>
      <c r="AN61" s="6">
        <f t="shared" si="31"/>
        <v>0.24635259691194325</v>
      </c>
      <c r="AO61" s="6">
        <f t="shared" si="32"/>
        <v>1.0000000000000002</v>
      </c>
      <c r="AP61" s="7">
        <f t="shared" si="33"/>
        <v>0.75364740308805689</v>
      </c>
      <c r="AQ61" s="7">
        <f t="shared" si="34"/>
        <v>0</v>
      </c>
      <c r="AR61" s="24"/>
      <c r="AS61">
        <f t="shared" si="35"/>
        <v>2013</v>
      </c>
      <c r="AT61" s="1" t="b">
        <f t="shared" si="36"/>
        <v>1</v>
      </c>
      <c r="AV61" s="1" t="b">
        <f t="shared" si="66"/>
        <v>1</v>
      </c>
      <c r="AW61" s="1" t="b">
        <f t="shared" si="67"/>
        <v>1</v>
      </c>
      <c r="AY61" s="1" t="b">
        <f t="shared" si="55"/>
        <v>1</v>
      </c>
      <c r="AZ61" s="1" t="b">
        <f t="shared" si="38"/>
        <v>0</v>
      </c>
      <c r="BA61" s="1" t="b">
        <f t="shared" si="39"/>
        <v>1</v>
      </c>
      <c r="BC61">
        <f t="shared" si="40"/>
        <v>2013</v>
      </c>
      <c r="BD61" s="2">
        <f t="shared" si="68"/>
        <v>60520.843199481889</v>
      </c>
      <c r="BE61" s="2"/>
      <c r="BF61" s="2">
        <f t="shared" si="50"/>
        <v>60520.843199481889</v>
      </c>
      <c r="BG61" s="2">
        <f t="shared" si="50"/>
        <v>30260.421599740945</v>
      </c>
      <c r="BH61" s="2"/>
      <c r="BI61" s="2">
        <f t="shared" si="69"/>
        <v>60520.843199481889</v>
      </c>
      <c r="BJ61" s="2">
        <f t="shared" si="11"/>
        <v>90781.26479922283</v>
      </c>
      <c r="BK61" s="2">
        <f t="shared" si="41"/>
        <v>302604.21599740942</v>
      </c>
      <c r="BL61" s="2">
        <f t="shared" si="42"/>
        <v>0</v>
      </c>
      <c r="BM61" s="2"/>
    </row>
    <row r="62" spans="1:65" x14ac:dyDescent="0.25">
      <c r="A62">
        <f t="shared" si="6"/>
        <v>2014</v>
      </c>
      <c r="B62" s="2">
        <f t="shared" si="60"/>
        <v>68697.209115731894</v>
      </c>
      <c r="C62" s="2"/>
      <c r="D62" s="2">
        <f t="shared" si="61"/>
        <v>68751.677874611429</v>
      </c>
      <c r="E62" s="2">
        <f t="shared" si="62"/>
        <v>32490.614671641855</v>
      </c>
      <c r="F62" s="2"/>
      <c r="G62" s="2">
        <f t="shared" si="45"/>
        <v>57954.759447823861</v>
      </c>
      <c r="H62" s="2">
        <f t="shared" si="15"/>
        <v>96010.265651658076</v>
      </c>
      <c r="I62" s="2">
        <f t="shared" si="43"/>
        <v>323904.5267614671</v>
      </c>
      <c r="J62" s="2">
        <f t="shared" si="16"/>
        <v>14370.805860341876</v>
      </c>
      <c r="K62" s="6">
        <f t="shared" si="17"/>
        <v>4.6427270730003474E-2</v>
      </c>
      <c r="L62" s="7">
        <f t="shared" si="18"/>
        <v>1.0464272707300035</v>
      </c>
      <c r="N62">
        <f t="shared" si="19"/>
        <v>2014</v>
      </c>
      <c r="O62" s="2">
        <f t="shared" si="20"/>
        <v>7018.8955169737274</v>
      </c>
      <c r="P62" s="2"/>
      <c r="Q62" s="2"/>
      <c r="R62">
        <f t="shared" si="21"/>
        <v>2014</v>
      </c>
      <c r="S62" s="2">
        <f t="shared" si="63"/>
        <v>67293.43001233715</v>
      </c>
      <c r="T62" s="2"/>
      <c r="U62" s="2">
        <f t="shared" si="64"/>
        <v>67347.898771216685</v>
      </c>
      <c r="V62" s="2">
        <f t="shared" si="64"/>
        <v>31086.835568247108</v>
      </c>
      <c r="W62" s="2"/>
      <c r="X62" s="2">
        <f t="shared" si="65"/>
        <v>56550.980344429117</v>
      </c>
      <c r="Y62" s="2">
        <f t="shared" si="65"/>
        <v>94606.486548263332</v>
      </c>
      <c r="Z62" s="2">
        <f t="shared" si="24"/>
        <v>316885.63124449342</v>
      </c>
      <c r="AA62" s="2">
        <f t="shared" si="72"/>
        <v>14281.415247083991</v>
      </c>
      <c r="AB62" s="6">
        <f t="shared" si="73"/>
        <v>4.7195030644273155E-2</v>
      </c>
      <c r="AC62" s="7">
        <f t="shared" si="27"/>
        <v>1.0471950306442732</v>
      </c>
      <c r="AD62" s="2">
        <f t="shared" si="28"/>
        <v>0</v>
      </c>
      <c r="AE62" s="2"/>
      <c r="AG62">
        <f t="shared" si="29"/>
        <v>2014</v>
      </c>
      <c r="AH62" s="6">
        <f t="shared" si="71"/>
        <v>0.21235872938781764</v>
      </c>
      <c r="AI62" s="7"/>
      <c r="AJ62" s="6">
        <f t="shared" si="70"/>
        <v>0.21253061714008215</v>
      </c>
      <c r="AK62" s="6">
        <f t="shared" si="70"/>
        <v>9.810112072977531E-2</v>
      </c>
      <c r="AL62" s="7"/>
      <c r="AM62" s="6">
        <f t="shared" si="74"/>
        <v>0.17845864491342983</v>
      </c>
      <c r="AN62" s="38">
        <f t="shared" si="31"/>
        <v>0.298550887828895</v>
      </c>
      <c r="AO62" s="6">
        <f t="shared" si="32"/>
        <v>0.99999999999999978</v>
      </c>
      <c r="AP62" s="7">
        <f t="shared" si="33"/>
        <v>0.70144911217110484</v>
      </c>
      <c r="AQ62" s="7">
        <f t="shared" si="34"/>
        <v>0</v>
      </c>
      <c r="AR62" s="24"/>
      <c r="AS62">
        <f t="shared" si="35"/>
        <v>2014</v>
      </c>
      <c r="AT62" s="1" t="b">
        <f t="shared" si="36"/>
        <v>1</v>
      </c>
      <c r="AV62" s="1" t="b">
        <f t="shared" si="66"/>
        <v>1</v>
      </c>
      <c r="AW62" s="1" t="b">
        <f t="shared" si="67"/>
        <v>1</v>
      </c>
      <c r="AY62" s="1" t="b">
        <f t="shared" si="55"/>
        <v>1</v>
      </c>
      <c r="AZ62" s="1" t="b">
        <f t="shared" si="38"/>
        <v>1</v>
      </c>
      <c r="BA62" s="1" t="b">
        <f t="shared" si="39"/>
        <v>1</v>
      </c>
      <c r="BC62">
        <f t="shared" si="40"/>
        <v>2014</v>
      </c>
      <c r="BD62" s="2">
        <f t="shared" si="68"/>
        <v>63377.126248898683</v>
      </c>
      <c r="BE62" s="2"/>
      <c r="BF62" s="2">
        <f t="shared" si="50"/>
        <v>63377.126248898683</v>
      </c>
      <c r="BG62" s="2">
        <f t="shared" si="50"/>
        <v>31688.563124449342</v>
      </c>
      <c r="BH62" s="2"/>
      <c r="BI62" s="2">
        <f t="shared" si="69"/>
        <v>63377.126248898683</v>
      </c>
      <c r="BJ62" s="2">
        <f t="shared" si="11"/>
        <v>95065.689373348025</v>
      </c>
      <c r="BK62" s="2">
        <f t="shared" si="41"/>
        <v>316885.63124449342</v>
      </c>
      <c r="BL62" s="2">
        <f t="shared" si="42"/>
        <v>0</v>
      </c>
      <c r="BM62" s="2"/>
    </row>
    <row r="63" spans="1:65" x14ac:dyDescent="0.25">
      <c r="A63">
        <f t="shared" si="6"/>
        <v>2015</v>
      </c>
      <c r="B63" s="2">
        <f t="shared" si="60"/>
        <v>64169.340327009915</v>
      </c>
      <c r="C63" s="2"/>
      <c r="D63" s="2">
        <f t="shared" si="61"/>
        <v>62451.820205664764</v>
      </c>
      <c r="E63" s="2">
        <f t="shared" si="62"/>
        <v>30490.735438345153</v>
      </c>
      <c r="F63" s="2"/>
      <c r="G63" s="2">
        <f t="shared" si="45"/>
        <v>60607.545831821815</v>
      </c>
      <c r="H63" s="2">
        <f t="shared" si="15"/>
        <v>95350.886441468057</v>
      </c>
      <c r="I63" s="2">
        <f t="shared" si="43"/>
        <v>313070.32824430976</v>
      </c>
      <c r="J63" s="2">
        <f t="shared" si="16"/>
        <v>-10834.198517157347</v>
      </c>
      <c r="K63" s="6">
        <f t="shared" si="17"/>
        <v>-3.3448740668993407E-2</v>
      </c>
      <c r="L63" s="7">
        <f t="shared" si="18"/>
        <v>0.96655125933100661</v>
      </c>
      <c r="N63">
        <f t="shared" si="19"/>
        <v>2015</v>
      </c>
      <c r="O63" s="2">
        <f t="shared" si="20"/>
        <v>7049.778657248411</v>
      </c>
      <c r="P63" s="2"/>
      <c r="Q63" s="2"/>
      <c r="R63">
        <f t="shared" si="21"/>
        <v>2015</v>
      </c>
      <c r="S63" s="2">
        <f t="shared" si="63"/>
        <v>62759.38459556023</v>
      </c>
      <c r="T63" s="2"/>
      <c r="U63" s="2">
        <f t="shared" si="64"/>
        <v>61041.864474215079</v>
      </c>
      <c r="V63" s="2">
        <f t="shared" si="64"/>
        <v>29080.779706895471</v>
      </c>
      <c r="W63" s="2"/>
      <c r="X63" s="2">
        <f t="shared" si="65"/>
        <v>59197.59010037213</v>
      </c>
      <c r="Y63" s="2">
        <f t="shared" si="65"/>
        <v>93940.93071001838</v>
      </c>
      <c r="Z63" s="2">
        <f t="shared" si="24"/>
        <v>306020.54958706128</v>
      </c>
      <c r="AA63" s="2">
        <f t="shared" si="72"/>
        <v>-10865.081657432136</v>
      </c>
      <c r="AB63" s="6">
        <f t="shared" si="73"/>
        <v>-3.4287075796911634E-2</v>
      </c>
      <c r="AC63" s="7">
        <f t="shared" si="27"/>
        <v>0.96571292420308841</v>
      </c>
      <c r="AD63" s="2">
        <f t="shared" si="28"/>
        <v>0</v>
      </c>
      <c r="AE63" s="2"/>
      <c r="AG63">
        <f t="shared" si="29"/>
        <v>2015</v>
      </c>
      <c r="AH63" s="6">
        <f t="shared" si="71"/>
        <v>0.2050822556859225</v>
      </c>
      <c r="AI63" s="7"/>
      <c r="AJ63" s="6">
        <f t="shared" si="70"/>
        <v>0.19946982173773589</v>
      </c>
      <c r="AK63" s="6">
        <f t="shared" si="70"/>
        <v>9.50288460893772E-2</v>
      </c>
      <c r="AL63" s="7"/>
      <c r="AM63" s="6">
        <f t="shared" si="74"/>
        <v>0.19344318602215541</v>
      </c>
      <c r="AN63" s="6">
        <f t="shared" si="31"/>
        <v>0.306975890464809</v>
      </c>
      <c r="AO63" s="6">
        <f t="shared" si="32"/>
        <v>1</v>
      </c>
      <c r="AP63" s="7">
        <f t="shared" si="33"/>
        <v>0.693024109535191</v>
      </c>
      <c r="AQ63" s="7">
        <f t="shared" si="34"/>
        <v>0</v>
      </c>
      <c r="AR63" s="24"/>
      <c r="AS63">
        <f t="shared" si="35"/>
        <v>2015</v>
      </c>
      <c r="AT63" s="1" t="b">
        <f t="shared" si="36"/>
        <v>1</v>
      </c>
      <c r="AV63" s="1" t="b">
        <f t="shared" si="66"/>
        <v>1</v>
      </c>
      <c r="AW63" s="1" t="b">
        <f t="shared" si="67"/>
        <v>1</v>
      </c>
      <c r="AY63" s="1" t="b">
        <f t="shared" si="55"/>
        <v>1</v>
      </c>
      <c r="AZ63" s="1" t="b">
        <f t="shared" si="38"/>
        <v>1</v>
      </c>
      <c r="BA63" s="1" t="b">
        <f t="shared" si="39"/>
        <v>1</v>
      </c>
      <c r="BC63">
        <f t="shared" si="40"/>
        <v>2015</v>
      </c>
      <c r="BD63" s="2">
        <f t="shared" si="68"/>
        <v>61204.109917412257</v>
      </c>
      <c r="BE63" s="2"/>
      <c r="BF63" s="2">
        <f t="shared" si="50"/>
        <v>61204.109917412257</v>
      </c>
      <c r="BG63" s="2">
        <f t="shared" si="50"/>
        <v>30602.054958706129</v>
      </c>
      <c r="BH63" s="2"/>
      <c r="BI63" s="2">
        <f t="shared" si="69"/>
        <v>61204.109917412257</v>
      </c>
      <c r="BJ63" s="2">
        <f t="shared" si="11"/>
        <v>91806.164876118375</v>
      </c>
      <c r="BK63" s="2">
        <f t="shared" si="41"/>
        <v>306020.54958706128</v>
      </c>
      <c r="BL63" s="2">
        <f t="shared" si="42"/>
        <v>0</v>
      </c>
      <c r="BM63" s="2"/>
    </row>
    <row r="64" spans="1:65" x14ac:dyDescent="0.25">
      <c r="A64">
        <f t="shared" si="6"/>
        <v>2016</v>
      </c>
      <c r="B64" s="2">
        <f t="shared" si="60"/>
        <v>68438.435709650395</v>
      </c>
      <c r="C64" s="2"/>
      <c r="D64" s="2">
        <f t="shared" si="61"/>
        <v>67979.404885269789</v>
      </c>
      <c r="E64" s="2">
        <f t="shared" si="62"/>
        <v>36162.448344703029</v>
      </c>
      <c r="F64" s="2"/>
      <c r="G64" s="2">
        <f t="shared" si="45"/>
        <v>64050.101028571924</v>
      </c>
      <c r="H64" s="2">
        <f t="shared" si="15"/>
        <v>94101.318998021321</v>
      </c>
      <c r="I64" s="2">
        <f t="shared" si="43"/>
        <v>330731.70896621648</v>
      </c>
      <c r="J64" s="2">
        <f t="shared" si="16"/>
        <v>17661.380721906724</v>
      </c>
      <c r="K64" s="6">
        <f t="shared" si="17"/>
        <v>5.6413460901744622E-2</v>
      </c>
      <c r="L64" s="7">
        <f t="shared" si="18"/>
        <v>1.0564134609017446</v>
      </c>
      <c r="N64">
        <f t="shared" si="19"/>
        <v>2016</v>
      </c>
      <c r="O64" s="2">
        <f t="shared" si="20"/>
        <v>7169.6248944216331</v>
      </c>
      <c r="P64" s="2"/>
      <c r="Q64" s="2"/>
      <c r="R64">
        <f t="shared" si="21"/>
        <v>2016</v>
      </c>
      <c r="S64" s="2">
        <f t="shared" si="63"/>
        <v>67004.510730766066</v>
      </c>
      <c r="T64" s="2"/>
      <c r="U64" s="2">
        <f t="shared" si="64"/>
        <v>66545.479906385459</v>
      </c>
      <c r="V64" s="2">
        <f t="shared" si="64"/>
        <v>34728.523365818699</v>
      </c>
      <c r="W64" s="2"/>
      <c r="X64" s="2">
        <f t="shared" si="65"/>
        <v>62616.176049687594</v>
      </c>
      <c r="Y64" s="2">
        <f t="shared" si="65"/>
        <v>92667.394019136991</v>
      </c>
      <c r="Z64" s="2">
        <f t="shared" si="24"/>
        <v>323562.08407179476</v>
      </c>
      <c r="AA64" s="2">
        <f t="shared" si="72"/>
        <v>17541.534484733478</v>
      </c>
      <c r="AB64" s="6">
        <f t="shared" si="73"/>
        <v>5.7321426644072478E-2</v>
      </c>
      <c r="AC64" s="7">
        <f t="shared" si="27"/>
        <v>1.0573214266440725</v>
      </c>
      <c r="AD64" s="2">
        <f t="shared" si="28"/>
        <v>0</v>
      </c>
      <c r="AE64" s="2"/>
      <c r="AG64">
        <f t="shared" si="29"/>
        <v>2016</v>
      </c>
      <c r="AH64" s="6">
        <f t="shared" si="71"/>
        <v>0.20708393853681115</v>
      </c>
      <c r="AI64" s="7"/>
      <c r="AJ64" s="6">
        <f t="shared" si="70"/>
        <v>0.20566525925707591</v>
      </c>
      <c r="AK64" s="6">
        <f t="shared" si="70"/>
        <v>0.1073318694476972</v>
      </c>
      <c r="AL64" s="7"/>
      <c r="AM64" s="6">
        <f t="shared" si="74"/>
        <v>0.19352136462254266</v>
      </c>
      <c r="AN64" s="6">
        <f t="shared" si="31"/>
        <v>0.28639756813587325</v>
      </c>
      <c r="AO64" s="6">
        <f t="shared" si="32"/>
        <v>1.0000000000000002</v>
      </c>
      <c r="AP64" s="7">
        <f t="shared" si="33"/>
        <v>0.71360243186412697</v>
      </c>
      <c r="AQ64" s="7">
        <f t="shared" si="34"/>
        <v>0</v>
      </c>
      <c r="AR64" s="24"/>
      <c r="AS64">
        <f t="shared" si="35"/>
        <v>2016</v>
      </c>
      <c r="AT64" s="1" t="b">
        <f t="shared" si="36"/>
        <v>1</v>
      </c>
      <c r="AV64" s="1" t="b">
        <f t="shared" si="66"/>
        <v>1</v>
      </c>
      <c r="AW64" s="1" t="b">
        <f t="shared" si="67"/>
        <v>1</v>
      </c>
      <c r="AY64" s="1" t="b">
        <f t="shared" si="55"/>
        <v>1</v>
      </c>
      <c r="AZ64" s="1" t="b">
        <f t="shared" si="38"/>
        <v>1</v>
      </c>
      <c r="BA64" s="1" t="b">
        <f t="shared" si="39"/>
        <v>1</v>
      </c>
      <c r="BC64">
        <f t="shared" si="40"/>
        <v>2016</v>
      </c>
      <c r="BD64" s="2">
        <f t="shared" si="68"/>
        <v>64712.416814358956</v>
      </c>
      <c r="BE64" s="2"/>
      <c r="BF64" s="2">
        <f t="shared" si="50"/>
        <v>64712.416814358956</v>
      </c>
      <c r="BG64" s="2">
        <f t="shared" si="50"/>
        <v>32356.208407179478</v>
      </c>
      <c r="BH64" s="2"/>
      <c r="BI64" s="2">
        <f t="shared" si="69"/>
        <v>64712.416814358956</v>
      </c>
      <c r="BJ64" s="2">
        <f t="shared" si="11"/>
        <v>97068.62522153843</v>
      </c>
      <c r="BK64" s="2">
        <f t="shared" si="41"/>
        <v>323562.08407179476</v>
      </c>
      <c r="BL64" s="2">
        <f t="shared" si="42"/>
        <v>0</v>
      </c>
      <c r="BM64" s="2"/>
    </row>
    <row r="65" spans="1:62" x14ac:dyDescent="0.25">
      <c r="A65" s="9" t="s">
        <v>78</v>
      </c>
      <c r="B65" s="10">
        <f>BD64</f>
        <v>64712.416814358956</v>
      </c>
      <c r="C65" s="10"/>
      <c r="D65" s="10">
        <f>BF64</f>
        <v>64712.416814358956</v>
      </c>
      <c r="E65" s="10">
        <f>BG64</f>
        <v>32356.208407179478</v>
      </c>
      <c r="F65" s="10"/>
      <c r="G65" s="10">
        <f>BI64</f>
        <v>64712.416814358956</v>
      </c>
      <c r="H65" s="10">
        <f>BJ64</f>
        <v>97068.62522153843</v>
      </c>
      <c r="I65" s="10">
        <f>SUM(B65:H65)</f>
        <v>323562.08407179476</v>
      </c>
      <c r="J65" s="10"/>
      <c r="K65" s="10"/>
      <c r="L65" s="73"/>
      <c r="N65" t="s">
        <v>40</v>
      </c>
      <c r="O65" s="2">
        <f>O64</f>
        <v>7169.6248944216331</v>
      </c>
      <c r="P65" s="2"/>
      <c r="R65" s="9" t="s">
        <v>78</v>
      </c>
      <c r="S65" s="10">
        <f>S64</f>
        <v>67004.510730766066</v>
      </c>
      <c r="T65" s="10"/>
      <c r="U65" s="10">
        <f>U64</f>
        <v>66545.479906385459</v>
      </c>
      <c r="V65" s="10">
        <f>V64</f>
        <v>34728.523365818699</v>
      </c>
      <c r="W65" s="10"/>
      <c r="X65" s="10">
        <f>X64</f>
        <v>62616.176049687594</v>
      </c>
      <c r="Y65" s="10">
        <f>Y64</f>
        <v>92667.394019136991</v>
      </c>
      <c r="Z65" s="10">
        <f>SUM(S65:Y65)</f>
        <v>323562.08407179476</v>
      </c>
      <c r="AA65" s="10"/>
      <c r="AB65" s="10"/>
      <c r="AC65" s="73"/>
      <c r="AD65" s="10"/>
      <c r="AE65" s="43"/>
      <c r="AK65" s="7"/>
      <c r="BC65" s="21"/>
      <c r="BD65" s="22"/>
      <c r="BF65" s="22"/>
      <c r="BG65" s="22"/>
      <c r="BI65" s="22"/>
      <c r="BJ65" s="22"/>
    </row>
    <row r="66" spans="1:62" x14ac:dyDescent="0.25">
      <c r="A66" s="11" t="s">
        <v>11</v>
      </c>
      <c r="I66" s="6">
        <f>(Z65-Z39)/Z39</f>
        <v>2.2356208407179476</v>
      </c>
      <c r="K66" s="6"/>
      <c r="N66" t="s">
        <v>70</v>
      </c>
      <c r="O66" s="2">
        <f>SUM(O40:O64)</f>
        <v>143196.5835510529</v>
      </c>
      <c r="P66" s="2"/>
      <c r="AB66" s="6"/>
      <c r="BF66" s="22"/>
    </row>
    <row r="67" spans="1:62" x14ac:dyDescent="0.25">
      <c r="A67" s="1" t="s">
        <v>12</v>
      </c>
      <c r="I67" s="12">
        <f>STDEV(AC40:AC64)</f>
        <v>0.11692049988972551</v>
      </c>
    </row>
    <row r="68" spans="1:62" x14ac:dyDescent="0.25">
      <c r="A68" s="1" t="s">
        <v>13</v>
      </c>
      <c r="I68" s="13">
        <f>((1+I66)^(1/I75))-1</f>
        <v>4.8089342694946469E-2</v>
      </c>
    </row>
    <row r="69" spans="1:62" x14ac:dyDescent="0.25">
      <c r="A69" s="1" t="s">
        <v>82</v>
      </c>
      <c r="I69" s="31">
        <f>J60</f>
        <v>23790.734989762859</v>
      </c>
      <c r="O69" s="2"/>
      <c r="P69" s="2"/>
    </row>
    <row r="70" spans="1:62" x14ac:dyDescent="0.25">
      <c r="A70" s="1" t="s">
        <v>83</v>
      </c>
      <c r="I70" s="32">
        <f>K60</f>
        <v>9.8299494161633375E-2</v>
      </c>
    </row>
    <row r="71" spans="1:62" x14ac:dyDescent="0.25">
      <c r="A71" s="1" t="s">
        <v>42</v>
      </c>
      <c r="I71" s="2">
        <f>O66</f>
        <v>143196.5835510529</v>
      </c>
    </row>
    <row r="72" spans="1:62" x14ac:dyDescent="0.25">
      <c r="A72" s="3" t="s">
        <v>5</v>
      </c>
      <c r="B72" s="3"/>
      <c r="C72" s="3"/>
      <c r="D72" s="3"/>
      <c r="E72" s="3"/>
      <c r="F72" s="3"/>
      <c r="G72" s="3"/>
      <c r="H72" s="3"/>
      <c r="I72" s="33">
        <f>I65-Z65</f>
        <v>0</v>
      </c>
      <c r="Z72" s="2"/>
    </row>
    <row r="73" spans="1:62" x14ac:dyDescent="0.25">
      <c r="A73" s="3" t="s">
        <v>148</v>
      </c>
      <c r="B73" s="3"/>
      <c r="C73" s="3"/>
      <c r="D73" s="3"/>
      <c r="E73" s="3"/>
      <c r="F73" s="3"/>
      <c r="G73" s="3"/>
      <c r="H73" s="3"/>
      <c r="I73" s="33">
        <f>((SUM(AA40:AA64)))-(I65-I39)</f>
        <v>0</v>
      </c>
    </row>
    <row r="74" spans="1:62" x14ac:dyDescent="0.25">
      <c r="A74" s="3" t="s">
        <v>147</v>
      </c>
      <c r="B74" s="3"/>
      <c r="C74" s="3"/>
      <c r="D74" s="3"/>
      <c r="E74" s="3"/>
      <c r="F74" s="3"/>
      <c r="G74" s="3"/>
      <c r="H74" s="3"/>
      <c r="I74" s="33">
        <f>(SUM(O40:O64))-I71</f>
        <v>0</v>
      </c>
      <c r="Z74" s="72"/>
    </row>
    <row r="75" spans="1:62" x14ac:dyDescent="0.25">
      <c r="A75" s="3" t="s">
        <v>159</v>
      </c>
      <c r="B75" s="3"/>
      <c r="C75" s="3"/>
      <c r="D75" s="3"/>
      <c r="E75" s="3"/>
      <c r="F75" s="3"/>
      <c r="G75" s="3"/>
      <c r="H75" s="3"/>
      <c r="I75" s="74">
        <f>COUNTA(I40:I64)</f>
        <v>25</v>
      </c>
    </row>
    <row r="76" spans="1:62" x14ac:dyDescent="0.25">
      <c r="A76" s="1" t="s">
        <v>105</v>
      </c>
      <c r="B76" s="62"/>
      <c r="C76" s="62"/>
      <c r="D76" s="62"/>
      <c r="E76" s="62"/>
      <c r="G76" s="62"/>
      <c r="H76" s="62"/>
      <c r="I76" s="85">
        <f>(SUM(B65:G65)/I65)</f>
        <v>0.70000000000000007</v>
      </c>
    </row>
    <row r="77" spans="1:62" x14ac:dyDescent="0.25">
      <c r="A77" s="1" t="s">
        <v>106</v>
      </c>
      <c r="B77" s="62"/>
      <c r="C77" s="62"/>
      <c r="D77" s="62"/>
      <c r="E77" s="62"/>
      <c r="G77" s="62"/>
      <c r="H77" s="62"/>
      <c r="I77" s="85">
        <f>(H65/I65)</f>
        <v>0.3</v>
      </c>
    </row>
    <row r="78" spans="1:62" x14ac:dyDescent="0.25">
      <c r="A78" s="3" t="s">
        <v>107</v>
      </c>
      <c r="I78" s="3">
        <f>100%-(I76+I77)</f>
        <v>0</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7357-54AB-46FA-BF62-D6B2E383BB20}">
  <dimension ref="A1:CH78"/>
  <sheetViews>
    <sheetView topLeftCell="A31" zoomScaleNormal="100" workbookViewId="0">
      <selection activeCell="A76" sqref="A76:I78"/>
    </sheetView>
  </sheetViews>
  <sheetFormatPr defaultColWidth="8.85546875" defaultRowHeight="15" x14ac:dyDescent="0.25"/>
  <cols>
    <col min="1" max="1" width="25.42578125" customWidth="1"/>
    <col min="2" max="4" width="9.28515625" bestFit="1" customWidth="1"/>
    <col min="7" max="7" width="9.85546875" bestFit="1" customWidth="1"/>
    <col min="8" max="8" width="9.28515625" bestFit="1"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5" max="25" width="9.28515625" bestFit="1" customWidth="1"/>
    <col min="26" max="26" width="10.85546875" bestFit="1" customWidth="1"/>
    <col min="27" max="31" width="10.85546875" customWidth="1"/>
    <col min="46" max="46" width="13.7109375" bestFit="1" customWidth="1"/>
    <col min="47" max="48" width="9.28515625" bestFit="1" customWidth="1"/>
    <col min="51" max="51" width="9.85546875" bestFit="1" customWidth="1"/>
    <col min="52" max="53" width="9.28515625" bestFit="1" customWidth="1"/>
  </cols>
  <sheetData>
    <row r="1" spans="1:16" x14ac:dyDescent="0.25">
      <c r="A1" s="20" t="s">
        <v>49</v>
      </c>
      <c r="N1" s="20" t="s">
        <v>144</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1992</v>
      </c>
      <c r="B4" s="17">
        <f>'Non-Rebalanced Portfolio'!B4</f>
        <v>7.42</v>
      </c>
      <c r="C4" s="17">
        <f>'Non-Rebalanced Portfolio'!C4</f>
        <v>12.465999999999999</v>
      </c>
      <c r="D4" s="17"/>
      <c r="E4" s="17"/>
      <c r="F4" s="17">
        <f>'Non-Rebalanced Portfolio'!F4</f>
        <v>-8.7210000000000001</v>
      </c>
      <c r="G4" s="17"/>
      <c r="H4" s="17">
        <f>'Non-Rebalanced Portfolio'!H4</f>
        <v>7.14</v>
      </c>
      <c r="N4" s="49">
        <f>'4.5% Withdrawals-No Rebalancing'!N4</f>
        <v>1992</v>
      </c>
      <c r="O4" s="50">
        <f>'4.5% Withdrawals-No Rebalancing'!O4</f>
        <v>0.03</v>
      </c>
      <c r="P4" s="44"/>
    </row>
    <row r="5" spans="1:16" x14ac:dyDescent="0.25">
      <c r="A5" s="17">
        <f>'Non-Rebalanced Portfolio'!A5</f>
        <v>1993</v>
      </c>
      <c r="B5" s="17">
        <f>'Non-Rebalanced Portfolio'!B5</f>
        <v>9.89</v>
      </c>
      <c r="C5" s="17">
        <f>'Non-Rebalanced Portfolio'!C5</f>
        <v>14.49</v>
      </c>
      <c r="D5" s="17"/>
      <c r="E5" s="17"/>
      <c r="F5" s="17">
        <f>'Non-Rebalanced Portfolio'!F5</f>
        <v>30.494</v>
      </c>
      <c r="G5" s="17"/>
      <c r="H5" s="17">
        <f>'Non-Rebalanced Portfolio'!H5</f>
        <v>9.68</v>
      </c>
      <c r="N5" s="49">
        <f>'4.5% Withdrawals-No Rebalancing'!N5</f>
        <v>1993</v>
      </c>
      <c r="O5" s="50">
        <f>'4.5% Withdrawals-No Rebalancing'!O5</f>
        <v>2.8000000000000001E-2</v>
      </c>
      <c r="P5" s="44"/>
    </row>
    <row r="6" spans="1:16" x14ac:dyDescent="0.25">
      <c r="A6" s="17">
        <f>'Non-Rebalanced Portfolio'!A6</f>
        <v>1994</v>
      </c>
      <c r="B6" s="17">
        <f>'Non-Rebalanced Portfolio'!B6</f>
        <v>1.18</v>
      </c>
      <c r="C6" s="17">
        <f>'Non-Rebalanced Portfolio'!C6</f>
        <v>-1.764</v>
      </c>
      <c r="D6" s="17"/>
      <c r="E6" s="17"/>
      <c r="F6" s="17">
        <f>'Non-Rebalanced Portfolio'!F6</f>
        <v>5.2549999999999999</v>
      </c>
      <c r="G6" s="17"/>
      <c r="H6" s="17">
        <f>'Non-Rebalanced Portfolio'!H6</f>
        <v>-2.66</v>
      </c>
      <c r="N6" s="49">
        <f>'4.5% Withdrawals-No Rebalancing'!N6</f>
        <v>1994</v>
      </c>
      <c r="O6" s="50">
        <f>'4.5% Withdrawals-No Rebalancing'!O6</f>
        <v>2.5999999999999999E-2</v>
      </c>
      <c r="P6" s="44"/>
    </row>
    <row r="7" spans="1:16" x14ac:dyDescent="0.25">
      <c r="A7" s="17">
        <f>'Non-Rebalanced Portfolio'!A7</f>
        <v>1995</v>
      </c>
      <c r="B7" s="17">
        <f>'Non-Rebalanced Portfolio'!B7</f>
        <v>37.450000000000003</v>
      </c>
      <c r="C7" s="17">
        <f>'Non-Rebalanced Portfolio'!C7</f>
        <v>33.796999999999997</v>
      </c>
      <c r="D7" s="17"/>
      <c r="E7" s="17"/>
      <c r="F7" s="17">
        <f>'Non-Rebalanced Portfolio'!F7</f>
        <v>9.6460000000000008</v>
      </c>
      <c r="G7" s="17"/>
      <c r="H7" s="17">
        <f>'Non-Rebalanced Portfolio'!H7</f>
        <v>18.18</v>
      </c>
      <c r="N7" s="49">
        <f>'4.5% Withdrawals-No Rebalancing'!N7</f>
        <v>1995</v>
      </c>
      <c r="O7" s="50">
        <f>'4.5% Withdrawals-No Rebalancing'!O7</f>
        <v>2.5000000000000001E-2</v>
      </c>
      <c r="P7" s="44"/>
    </row>
    <row r="8" spans="1:16" x14ac:dyDescent="0.25">
      <c r="A8" s="17">
        <f>'Non-Rebalanced Portfolio'!A8</f>
        <v>1996</v>
      </c>
      <c r="B8" s="17">
        <f>'Non-Rebalanced Portfolio'!B8</f>
        <v>22.88</v>
      </c>
      <c r="C8" s="17">
        <f>'Non-Rebalanced Portfolio'!C8</f>
        <v>17.646999999999998</v>
      </c>
      <c r="D8" s="17"/>
      <c r="E8" s="17"/>
      <c r="F8" s="17">
        <f>'Non-Rebalanced Portfolio'!F8</f>
        <v>10.218999999999999</v>
      </c>
      <c r="G8" s="17"/>
      <c r="H8" s="17">
        <f>'Non-Rebalanced Portfolio'!H8</f>
        <v>3.58</v>
      </c>
      <c r="N8" s="49">
        <f>'4.5% Withdrawals-No Rebalancing'!N8</f>
        <v>1996</v>
      </c>
      <c r="O8" s="50">
        <f>'4.5% Withdrawals-No Rebalancing'!O8</f>
        <v>3.4000000000000002E-2</v>
      </c>
      <c r="P8" s="44"/>
    </row>
    <row r="9" spans="1:16" x14ac:dyDescent="0.25">
      <c r="A9" s="17">
        <f>'Non-Rebalanced Portfolio'!A9</f>
        <v>1997</v>
      </c>
      <c r="B9" s="17">
        <f>'Non-Rebalanced Portfolio'!B9</f>
        <v>33.19</v>
      </c>
      <c r="C9" s="17">
        <f>'Non-Rebalanced Portfolio'!C9</f>
        <v>26.687000000000001</v>
      </c>
      <c r="D9" s="17"/>
      <c r="E9" s="17"/>
      <c r="F9" s="17">
        <f>'Non-Rebalanced Portfolio'!F9</f>
        <v>0</v>
      </c>
      <c r="G9" s="17"/>
      <c r="H9" s="17">
        <f>'Non-Rebalanced Portfolio'!H9</f>
        <v>9.44</v>
      </c>
      <c r="N9" s="49">
        <f>'4.5% Withdrawals-No Rebalancing'!N9</f>
        <v>1997</v>
      </c>
      <c r="O9" s="50">
        <f>'4.5% Withdrawals-No Rebalancing'!O9</f>
        <v>1.7000000000000001E-2</v>
      </c>
      <c r="P9" s="44"/>
    </row>
    <row r="10" spans="1:16" x14ac:dyDescent="0.25">
      <c r="A10" s="17">
        <f>'Non-Rebalanced Portfolio'!A10</f>
        <v>1998</v>
      </c>
      <c r="B10" s="17">
        <f>'Non-Rebalanced Portfolio'!B10</f>
        <v>28.66</v>
      </c>
      <c r="C10" s="17">
        <f>'Non-Rebalanced Portfolio'!C10</f>
        <v>8.3529999999999998</v>
      </c>
      <c r="D10" s="17"/>
      <c r="E10" s="17"/>
      <c r="F10" s="17"/>
      <c r="G10" s="17">
        <f>'Non-Rebalanced Portfolio'!G10</f>
        <v>15.603</v>
      </c>
      <c r="H10" s="17">
        <f>'Non-Rebalanced Portfolio'!H10</f>
        <v>8.58</v>
      </c>
      <c r="N10" s="49">
        <f>'4.5% Withdrawals-No Rebalancing'!N10</f>
        <v>1998</v>
      </c>
      <c r="O10" s="50">
        <f>'4.5% Withdrawals-No Rebalancing'!O10</f>
        <v>1.6E-2</v>
      </c>
      <c r="P10" s="44"/>
    </row>
    <row r="11" spans="1:16" x14ac:dyDescent="0.25">
      <c r="A11" s="17">
        <f>'Non-Rebalanced Portfolio'!A11</f>
        <v>1999</v>
      </c>
      <c r="B11" s="17">
        <f>'Non-Rebalanced Portfolio'!B11</f>
        <v>21.07</v>
      </c>
      <c r="C11" s="17">
        <f>'Non-Rebalanced Portfolio'!C11</f>
        <v>0</v>
      </c>
      <c r="D11" s="17"/>
      <c r="E11" s="17"/>
      <c r="F11" s="17"/>
      <c r="G11" s="17">
        <f>'Non-Rebalanced Portfolio'!G11</f>
        <v>29.919</v>
      </c>
      <c r="H11" s="17">
        <f>'Non-Rebalanced Portfolio'!H11</f>
        <v>-0.76</v>
      </c>
      <c r="N11" s="49">
        <f>'4.5% Withdrawals-No Rebalancing'!N11</f>
        <v>1999</v>
      </c>
      <c r="O11" s="50">
        <f>'4.5% Withdrawals-No Rebalancing'!O11</f>
        <v>2.7E-2</v>
      </c>
      <c r="P11" s="44"/>
    </row>
    <row r="12" spans="1:16" x14ac:dyDescent="0.25">
      <c r="A12" s="17">
        <f>'Non-Rebalanced Portfolio'!A12</f>
        <v>2000</v>
      </c>
      <c r="B12" s="17">
        <f>'Non-Rebalanced Portfolio'!B12</f>
        <v>-9.06</v>
      </c>
      <c r="C12" s="17">
        <f>'Non-Rebalanced Portfolio'!C12</f>
        <v>0</v>
      </c>
      <c r="D12" s="17">
        <f>'Non-Rebalanced Portfolio'!D12</f>
        <v>18.097999999999999</v>
      </c>
      <c r="E12" s="17">
        <f>'Non-Rebalanced Portfolio'!E12</f>
        <v>-2.665</v>
      </c>
      <c r="F12" s="17"/>
      <c r="G12" s="17">
        <f>'Non-Rebalanced Portfolio'!G12</f>
        <v>-15.614000000000001</v>
      </c>
      <c r="H12" s="17">
        <f>'Non-Rebalanced Portfolio'!H12</f>
        <v>11.39</v>
      </c>
      <c r="N12" s="49">
        <f>'4.5% Withdrawals-No Rebalancing'!N12</f>
        <v>2000</v>
      </c>
      <c r="O12" s="50">
        <f>'4.5% Withdrawals-No Rebalancing'!O12</f>
        <v>3.4000000000000002E-2</v>
      </c>
      <c r="P12" s="44"/>
    </row>
    <row r="13" spans="1:16" x14ac:dyDescent="0.25">
      <c r="A13" s="17">
        <f>'Non-Rebalanced Portfolio'!A13</f>
        <v>2001</v>
      </c>
      <c r="B13" s="17">
        <f>'Non-Rebalanced Portfolio'!B13</f>
        <v>-12.02</v>
      </c>
      <c r="C13" s="17">
        <f>'Non-Rebalanced Portfolio'!C13</f>
        <v>0</v>
      </c>
      <c r="D13" s="17">
        <f>'Non-Rebalanced Portfolio'!D13</f>
        <v>-0.499</v>
      </c>
      <c r="E13" s="17">
        <f>'Non-Rebalanced Portfolio'!E13</f>
        <v>3.1</v>
      </c>
      <c r="F13" s="17"/>
      <c r="G13" s="17">
        <f>'Non-Rebalanced Portfolio'!G13</f>
        <v>-20.152999999999999</v>
      </c>
      <c r="H13" s="17">
        <f>'Non-Rebalanced Portfolio'!H13</f>
        <v>8.43</v>
      </c>
      <c r="N13" s="49">
        <f>'4.5% Withdrawals-No Rebalancing'!N13</f>
        <v>2001</v>
      </c>
      <c r="O13" s="50">
        <f>'4.5% Withdrawals-No Rebalancing'!O13</f>
        <v>1.6E-2</v>
      </c>
      <c r="P13" s="44"/>
    </row>
    <row r="14" spans="1:16" x14ac:dyDescent="0.25">
      <c r="A14" s="17">
        <f>'Non-Rebalanced Portfolio'!A14</f>
        <v>2002</v>
      </c>
      <c r="B14" s="17">
        <f>'Non-Rebalanced Portfolio'!B14</f>
        <v>-22.15</v>
      </c>
      <c r="C14" s="17">
        <f>'Non-Rebalanced Portfolio'!C14</f>
        <v>0</v>
      </c>
      <c r="D14" s="17">
        <f>'Non-Rebalanced Portfolio'!D14</f>
        <v>-14.608000000000001</v>
      </c>
      <c r="E14" s="17">
        <f>'Non-Rebalanced Portfolio'!E14</f>
        <v>-20.021999999999998</v>
      </c>
      <c r="F14" s="17"/>
      <c r="G14" s="17">
        <f>'Non-Rebalanced Portfolio'!G14</f>
        <v>-15.083</v>
      </c>
      <c r="H14" s="17">
        <f>'Non-Rebalanced Portfolio'!H14</f>
        <v>8.26</v>
      </c>
      <c r="N14" s="49">
        <f>'4.5% Withdrawals-No Rebalancing'!N14</f>
        <v>2002</v>
      </c>
      <c r="O14" s="50">
        <f>'4.5% Withdrawals-No Rebalancing'!O14</f>
        <v>2.5000000000000001E-2</v>
      </c>
      <c r="P14" s="44"/>
    </row>
    <row r="15" spans="1:16" x14ac:dyDescent="0.25">
      <c r="A15" s="17">
        <f>'Non-Rebalanced Portfolio'!A15</f>
        <v>2003</v>
      </c>
      <c r="B15" s="17">
        <f>'Non-Rebalanced Portfolio'!B15</f>
        <v>28.5</v>
      </c>
      <c r="C15" s="17">
        <f>'Non-Rebalanced Portfolio'!C15</f>
        <v>0</v>
      </c>
      <c r="D15" s="17">
        <f>'Non-Rebalanced Portfolio'!D15</f>
        <v>34.142000000000003</v>
      </c>
      <c r="E15" s="17">
        <f>'Non-Rebalanced Portfolio'!E15</f>
        <v>45.628</v>
      </c>
      <c r="F15" s="17"/>
      <c r="G15" s="17">
        <f>'Non-Rebalanced Portfolio'!G15</f>
        <v>40.340000000000003</v>
      </c>
      <c r="H15" s="17">
        <f>'Non-Rebalanced Portfolio'!H15</f>
        <v>3.97</v>
      </c>
      <c r="N15" s="49">
        <f>'4.5% Withdrawals-No Rebalancing'!N15</f>
        <v>2003</v>
      </c>
      <c r="O15" s="50">
        <f>'4.5% Withdrawals-No Rebalancing'!O15</f>
        <v>0.02</v>
      </c>
      <c r="P15" s="44"/>
    </row>
    <row r="16" spans="1:16" x14ac:dyDescent="0.25">
      <c r="A16" s="17">
        <f>'Non-Rebalanced Portfolio'!A16</f>
        <v>2004</v>
      </c>
      <c r="B16" s="17">
        <f>'Non-Rebalanced Portfolio'!B16</f>
        <v>10.74</v>
      </c>
      <c r="C16" s="17">
        <f>'Non-Rebalanced Portfolio'!C16</f>
        <v>0</v>
      </c>
      <c r="D16" s="17">
        <f>'Non-Rebalanced Portfolio'!D16</f>
        <v>20.353000000000002</v>
      </c>
      <c r="E16" s="17">
        <f>'Non-Rebalanced Portfolio'!E16</f>
        <v>19.896999999999998</v>
      </c>
      <c r="F16" s="17"/>
      <c r="G16" s="17">
        <f>'Non-Rebalanced Portfolio'!G16</f>
        <v>20.837</v>
      </c>
      <c r="H16" s="17">
        <f>'Non-Rebalanced Portfolio'!H16</f>
        <v>4.24</v>
      </c>
      <c r="N16" s="49">
        <f>'4.5% Withdrawals-No Rebalancing'!N16</f>
        <v>2004</v>
      </c>
      <c r="O16" s="50">
        <f>'4.5% Withdrawals-No Rebalancing'!O16</f>
        <v>3.3000000000000002E-2</v>
      </c>
      <c r="P16" s="44"/>
    </row>
    <row r="17" spans="1:16"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c r="N17" s="49">
        <f>'4.5% Withdrawals-No Rebalancing'!N17</f>
        <v>2005</v>
      </c>
      <c r="O17" s="50">
        <f>'4.5% Withdrawals-No Rebalancing'!O17</f>
        <v>3.3000000000000002E-2</v>
      </c>
      <c r="P17" s="44"/>
    </row>
    <row r="18" spans="1:16"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c r="N18" s="49">
        <f>'4.5% Withdrawals-No Rebalancing'!N18</f>
        <v>2006</v>
      </c>
      <c r="O18" s="50">
        <f>'4.5% Withdrawals-No Rebalancing'!O18</f>
        <v>2.5000000000000001E-2</v>
      </c>
      <c r="P18" s="44"/>
    </row>
    <row r="19" spans="1:16"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c r="N19" s="49">
        <f>'4.5% Withdrawals-No Rebalancing'!N19</f>
        <v>2007</v>
      </c>
      <c r="O19" s="50">
        <f>'4.5% Withdrawals-No Rebalancing'!O19</f>
        <v>4.1000000000000002E-2</v>
      </c>
      <c r="P19" s="44"/>
    </row>
    <row r="20" spans="1:16"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c r="N20" s="49">
        <f>'4.5% Withdrawals-No Rebalancing'!N20</f>
        <v>2008</v>
      </c>
      <c r="O20" s="50">
        <f>'4.5% Withdrawals-No Rebalancing'!O20</f>
        <v>0</v>
      </c>
      <c r="P20" s="44"/>
    </row>
    <row r="21" spans="1:16"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c r="N21" s="49">
        <f>'4.5% Withdrawals-No Rebalancing'!N21</f>
        <v>2009</v>
      </c>
      <c r="O21" s="50">
        <f>'4.5% Withdrawals-No Rebalancing'!O21</f>
        <v>2.8000000000000001E-2</v>
      </c>
      <c r="P21" s="44"/>
    </row>
    <row r="22" spans="1:16"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c r="N22" s="49">
        <f>'4.5% Withdrawals-No Rebalancing'!N22</f>
        <v>2010</v>
      </c>
      <c r="O22" s="50">
        <f>'4.5% Withdrawals-No Rebalancing'!O22</f>
        <v>1.4E-2</v>
      </c>
      <c r="P22" s="44"/>
    </row>
    <row r="23" spans="1:16"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c r="N23" s="49">
        <f>'4.5% Withdrawals-No Rebalancing'!N23</f>
        <v>2011</v>
      </c>
      <c r="O23" s="50">
        <f>'4.5% Withdrawals-No Rebalancing'!O23</f>
        <v>0.03</v>
      </c>
      <c r="P23" s="44"/>
    </row>
    <row r="24" spans="1:16"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c r="N24" s="49">
        <f>'4.5% Withdrawals-No Rebalancing'!N24</f>
        <v>2012</v>
      </c>
      <c r="O24" s="50">
        <f>'4.5% Withdrawals-No Rebalancing'!O24</f>
        <v>1.7999999999999999E-2</v>
      </c>
      <c r="P24" s="44"/>
    </row>
    <row r="25" spans="1:16"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c r="N25" s="49">
        <f>'4.5% Withdrawals-No Rebalancing'!N25</f>
        <v>2013</v>
      </c>
      <c r="O25" s="50">
        <f>'4.5% Withdrawals-No Rebalancing'!O25</f>
        <v>1.15559170535223E-2</v>
      </c>
      <c r="P25" s="44"/>
    </row>
    <row r="26" spans="1:16"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c r="N26" s="49">
        <f>'4.5% Withdrawals-No Rebalancing'!N26</f>
        <v>2014</v>
      </c>
      <c r="O26" s="50">
        <f>'4.5% Withdrawals-No Rebalancing'!O26</f>
        <v>1.29E-2</v>
      </c>
      <c r="P26" s="44"/>
    </row>
    <row r="27" spans="1:16"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c r="N27" s="49">
        <f>'4.5% Withdrawals-No Rebalancing'!N27</f>
        <v>2015</v>
      </c>
      <c r="O27" s="50">
        <f>'4.5% Withdrawals-No Rebalancing'!O27</f>
        <v>4.4000000000000003E-3</v>
      </c>
    </row>
    <row r="28" spans="1:16" x14ac:dyDescent="0.25">
      <c r="A28" s="17">
        <f>'Non-Rebalanced Portfolio'!A28</f>
        <v>2016</v>
      </c>
      <c r="B28" s="17">
        <f>'Non-Rebalanced Portfolio'!B28</f>
        <v>11.82</v>
      </c>
      <c r="C28" s="19"/>
      <c r="D28" s="17">
        <f>'Non-Rebalanced Portfolio'!D28</f>
        <v>11.07</v>
      </c>
      <c r="E28" s="17">
        <f>'Non-Rebalanced Portfolio'!E28</f>
        <v>18.170000000000002</v>
      </c>
      <c r="F28" s="19"/>
      <c r="G28" s="17">
        <f>'Non-Rebalanced Portfolio'!G28</f>
        <v>4.6500000000000004</v>
      </c>
      <c r="H28" s="17">
        <f>'Non-Rebalanced Portfolio'!H28</f>
        <v>2.5</v>
      </c>
      <c r="N28" s="49">
        <f>'4.5% Withdrawals-No Rebalancing'!N28</f>
        <v>2016</v>
      </c>
      <c r="O28" s="50">
        <f>'4.5% Withdrawals-No Rebalancing'!O28</f>
        <v>1.7000000000000001E-2</v>
      </c>
    </row>
    <row r="29" spans="1:16"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9">
        <f>'4.5% Withdrawals-No Rebalancing'!N32</f>
        <v>2017</v>
      </c>
      <c r="O32" s="50">
        <f>'4.5% Withdrawals-No Rebalancing'!O32</f>
        <v>2.23E-2</v>
      </c>
    </row>
    <row r="33" spans="1:86"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86" x14ac:dyDescent="0.25">
      <c r="A36" s="20" t="s">
        <v>120</v>
      </c>
      <c r="N36" s="20" t="s">
        <v>25</v>
      </c>
      <c r="R36" s="20" t="s">
        <v>121</v>
      </c>
      <c r="AG36" s="20" t="s">
        <v>122</v>
      </c>
      <c r="AR36" s="1"/>
      <c r="AS36" s="20" t="s">
        <v>9</v>
      </c>
      <c r="BL36" s="20" t="s">
        <v>7</v>
      </c>
    </row>
    <row r="37" spans="1:86"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R37" s="70"/>
      <c r="AT37" s="4" t="str">
        <f t="shared" ref="AT37:AZ39" si="3">BO37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4"/>
      <c r="BB37" t="s">
        <v>88</v>
      </c>
      <c r="BO37" s="4" t="str">
        <f t="shared" ref="BO37:BU39" si="4">AH37</f>
        <v>LC Stocks</v>
      </c>
      <c r="BP37" s="4" t="str">
        <f t="shared" si="4"/>
        <v>Ext Mkt</v>
      </c>
      <c r="BQ37" s="4" t="str">
        <f t="shared" si="4"/>
        <v>Mcap Stk</v>
      </c>
      <c r="BR37" s="4" t="str">
        <f t="shared" si="4"/>
        <v>Small Cap</v>
      </c>
      <c r="BS37" s="4" t="str">
        <f t="shared" si="4"/>
        <v>Intl Val</v>
      </c>
      <c r="BT37" s="4" t="str">
        <f t="shared" si="4"/>
        <v>Tot Int Stk</v>
      </c>
      <c r="BU37" s="4" t="str">
        <f t="shared" si="4"/>
        <v>Bonds</v>
      </c>
      <c r="BV37" s="5"/>
    </row>
    <row r="38" spans="1:86"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R38" s="70"/>
      <c r="AS38" t="s">
        <v>72</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BV38</f>
        <v>Total</v>
      </c>
      <c r="BB38" t="s">
        <v>87</v>
      </c>
      <c r="BN38" t="str">
        <f t="shared" ref="BN38:BN64" si="5">AG38</f>
        <v>Fund</v>
      </c>
      <c r="BO38" s="4" t="str">
        <f t="shared" si="4"/>
        <v>VFINX</v>
      </c>
      <c r="BP38" s="4" t="str">
        <f t="shared" si="4"/>
        <v>VEXMX</v>
      </c>
      <c r="BQ38" s="4" t="str">
        <f t="shared" si="4"/>
        <v>VIMSX</v>
      </c>
      <c r="BR38" s="4" t="str">
        <f t="shared" si="4"/>
        <v>NAESX</v>
      </c>
      <c r="BS38" s="4" t="str">
        <f t="shared" si="4"/>
        <v>VTRIX</v>
      </c>
      <c r="BT38" s="4" t="str">
        <f t="shared" si="4"/>
        <v>VGTSX</v>
      </c>
      <c r="BU38" s="4" t="str">
        <f t="shared" si="4"/>
        <v>VBMFX</v>
      </c>
      <c r="BV38" s="4" t="str">
        <f>AO38</f>
        <v>Total</v>
      </c>
    </row>
    <row r="39" spans="1:86" x14ac:dyDescent="0.25">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86</v>
      </c>
      <c r="AH39" s="6">
        <f t="shared" ref="AH39:AI54" si="6">S39/$Z39</f>
        <v>0.2</v>
      </c>
      <c r="AI39" s="6">
        <f t="shared" si="6"/>
        <v>0.3</v>
      </c>
      <c r="AJ39" s="23">
        <v>0.2</v>
      </c>
      <c r="AK39" s="23">
        <v>0.1</v>
      </c>
      <c r="AL39" s="6">
        <f t="shared" ref="AL39:AM54" si="7">W39/$Z39</f>
        <v>0.2</v>
      </c>
      <c r="AM39" s="23">
        <v>0.2</v>
      </c>
      <c r="AN39" s="6">
        <f>Y39/$Z39</f>
        <v>0.3</v>
      </c>
      <c r="AO39" s="6">
        <f>Z39/$Z39</f>
        <v>1</v>
      </c>
      <c r="AP39" s="24"/>
      <c r="AS39" s="21" t="str">
        <f>R39</f>
        <v>Stating Balance</v>
      </c>
      <c r="AT39" s="24">
        <f t="shared" si="3"/>
        <v>0.2</v>
      </c>
      <c r="AU39" s="24">
        <f t="shared" si="3"/>
        <v>0.3</v>
      </c>
      <c r="AV39" s="25">
        <f t="shared" si="3"/>
        <v>0.2</v>
      </c>
      <c r="AW39" s="25">
        <f t="shared" si="3"/>
        <v>0.1</v>
      </c>
      <c r="AX39" s="24">
        <f t="shared" si="3"/>
        <v>0.2</v>
      </c>
      <c r="AY39" s="25">
        <f t="shared" si="3"/>
        <v>0.2</v>
      </c>
      <c r="AZ39" s="24">
        <f t="shared" si="3"/>
        <v>0.3</v>
      </c>
      <c r="BA39" s="24">
        <f>BV39</f>
        <v>1</v>
      </c>
      <c r="BB39" s="2"/>
      <c r="BC39" s="2"/>
      <c r="BM39" s="24"/>
      <c r="BN39" s="21" t="str">
        <f t="shared" si="5"/>
        <v>Target Allocation</v>
      </c>
      <c r="BO39" s="24">
        <f t="shared" si="4"/>
        <v>0.2</v>
      </c>
      <c r="BP39" s="24">
        <f t="shared" si="4"/>
        <v>0.3</v>
      </c>
      <c r="BQ39" s="25">
        <f t="shared" si="4"/>
        <v>0.2</v>
      </c>
      <c r="BR39" s="25">
        <f t="shared" si="4"/>
        <v>0.1</v>
      </c>
      <c r="BS39" s="24">
        <f t="shared" si="4"/>
        <v>0.2</v>
      </c>
      <c r="BT39" s="25">
        <f t="shared" si="4"/>
        <v>0.2</v>
      </c>
      <c r="BU39" s="24">
        <f t="shared" si="4"/>
        <v>0.3</v>
      </c>
      <c r="BV39" s="24">
        <f>AO39</f>
        <v>1</v>
      </c>
    </row>
    <row r="40" spans="1:86" x14ac:dyDescent="0.25">
      <c r="A40">
        <f t="shared" ref="A40:A64" si="8">A4</f>
        <v>1992</v>
      </c>
      <c r="B40" s="2">
        <f t="shared" ref="B40:C40" si="9">B39*(1+(B4/100))</f>
        <v>21484</v>
      </c>
      <c r="C40" s="2">
        <f t="shared" si="9"/>
        <v>33739.800000000003</v>
      </c>
      <c r="D40" s="2"/>
      <c r="E40" s="2"/>
      <c r="F40" s="2">
        <f t="shared" ref="F40" si="10">F39*(1+(F4/100))</f>
        <v>18255.8</v>
      </c>
      <c r="G40" s="2"/>
      <c r="H40" s="2">
        <f t="shared" ref="H40" si="11">H39*(1+(H4/100))</f>
        <v>32141.999999999996</v>
      </c>
      <c r="I40" s="2">
        <f>SUM(B40:H40)</f>
        <v>105621.6</v>
      </c>
      <c r="J40" s="2">
        <f>I40-I39</f>
        <v>5621.6000000000058</v>
      </c>
      <c r="K40" s="6">
        <f>(J40/I39)</f>
        <v>5.6216000000000058E-2</v>
      </c>
      <c r="L40" s="7">
        <f>K40+1</f>
        <v>1.056216</v>
      </c>
      <c r="N40">
        <f>A40</f>
        <v>1992</v>
      </c>
      <c r="O40" s="2">
        <f>I40*0.045</f>
        <v>4752.9719999999998</v>
      </c>
      <c r="P40" s="2"/>
      <c r="Q40" s="2"/>
      <c r="R40">
        <f>A40</f>
        <v>1992</v>
      </c>
      <c r="S40" s="2">
        <f>B40-($O40/4)</f>
        <v>20295.757000000001</v>
      </c>
      <c r="T40" s="2">
        <f>C40-($O40/4)</f>
        <v>32551.557000000004</v>
      </c>
      <c r="U40" s="2"/>
      <c r="V40" s="2"/>
      <c r="W40" s="2">
        <f t="shared" ref="W40:W44" si="12">F40-($O40/4)</f>
        <v>17067.557000000001</v>
      </c>
      <c r="X40" s="2"/>
      <c r="Y40" s="2">
        <f>H40-($O40/4)</f>
        <v>30953.756999999998</v>
      </c>
      <c r="Z40" s="2">
        <f>SUM(S40:Y40)</f>
        <v>100868.62800000001</v>
      </c>
      <c r="AA40" s="2">
        <f>Z40-Z39</f>
        <v>868.62800000001153</v>
      </c>
      <c r="AB40" s="6">
        <f>(AA40/Z39)</f>
        <v>8.6862800000001156E-3</v>
      </c>
      <c r="AC40" s="7">
        <f>AB40+1</f>
        <v>1.00868628</v>
      </c>
      <c r="AD40" s="2">
        <f>Z40-(I40-O40)</f>
        <v>0</v>
      </c>
      <c r="AE40" s="2"/>
      <c r="AG40">
        <f t="shared" ref="AG40:AG64" si="13">A40</f>
        <v>1992</v>
      </c>
      <c r="AH40" s="6">
        <f t="shared" si="6"/>
        <v>0.201209805292484</v>
      </c>
      <c r="AI40" s="6">
        <f t="shared" si="6"/>
        <v>0.32271239973641758</v>
      </c>
      <c r="AJ40" s="7"/>
      <c r="AK40" s="7"/>
      <c r="AL40" s="6">
        <f t="shared" si="7"/>
        <v>0.16920580103458926</v>
      </c>
      <c r="AM40" s="7"/>
      <c r="AN40" s="6">
        <f t="shared" ref="AN40:AN64" si="14">Y40/$Z40</f>
        <v>0.3068719939365091</v>
      </c>
      <c r="AO40" s="6">
        <f>SUM(AH40:AN40)</f>
        <v>1</v>
      </c>
      <c r="AP40" s="7">
        <f>SUM(AH40:AM40)</f>
        <v>0.6931280060634909</v>
      </c>
      <c r="AQ40" s="7">
        <f>AO40-(AP40+AN40)</f>
        <v>0</v>
      </c>
      <c r="AR40" s="7"/>
      <c r="AS40">
        <f>A40</f>
        <v>1992</v>
      </c>
      <c r="AT40" s="2">
        <f t="shared" ref="AT40:AU48" si="15">S40</f>
        <v>20295.757000000001</v>
      </c>
      <c r="AU40" s="2">
        <f t="shared" si="15"/>
        <v>32551.557000000004</v>
      </c>
      <c r="AV40" s="2"/>
      <c r="AW40" s="2"/>
      <c r="AX40" s="2">
        <f t="shared" ref="AX40:AY49" si="16">W40</f>
        <v>17067.557000000001</v>
      </c>
      <c r="AY40" s="2"/>
      <c r="AZ40" s="2">
        <f t="shared" ref="AZ40:BA55" si="17">Y40</f>
        <v>30953.756999999998</v>
      </c>
      <c r="BA40" s="2">
        <f t="shared" si="17"/>
        <v>100868.62800000001</v>
      </c>
      <c r="BB40" s="2">
        <f t="shared" ref="BB40:BB62" si="18">SUM(AT40:AZ40)-Z40</f>
        <v>0</v>
      </c>
      <c r="BC40" s="2"/>
      <c r="BM40" s="24"/>
      <c r="BN40">
        <f t="shared" si="5"/>
        <v>1992</v>
      </c>
      <c r="BO40" s="1" t="b">
        <f>AND((S40/$Z40)&gt;0.15,(S40/$Z40)&lt;0.25)</f>
        <v>1</v>
      </c>
      <c r="BP40" s="1" t="b">
        <f>AND((T40/$Z40)&gt;0.25,(T40/$Z40)&lt;0.35)</f>
        <v>1</v>
      </c>
      <c r="BS40" s="1" t="b">
        <f t="shared" ref="BS40:BS48" si="19">AND((W40/$Z40)&gt;0.15,(W40/$Z40)&lt;0.25)</f>
        <v>1</v>
      </c>
      <c r="BU40" s="1" t="b">
        <f>AND((Y40/$Z40)&gt;0.25,(Y40/$Z40)&lt;0.35)</f>
        <v>1</v>
      </c>
      <c r="BV40" s="1" t="b">
        <f>AND((Z40/$Z40)&gt;0.999,(Z40/$Z40)&lt;1.01)</f>
        <v>1</v>
      </c>
      <c r="CH40" s="2"/>
    </row>
    <row r="41" spans="1:86" x14ac:dyDescent="0.25">
      <c r="A41">
        <f t="shared" si="8"/>
        <v>1993</v>
      </c>
      <c r="B41" s="2">
        <f t="shared" ref="B41:B50" si="20">AT40*(1+(B5/100))</f>
        <v>22303.007367300001</v>
      </c>
      <c r="C41" s="2">
        <f t="shared" ref="C41:C46" si="21">AU40*(1+(C5/100))</f>
        <v>37268.277609300007</v>
      </c>
      <c r="D41" s="2"/>
      <c r="E41" s="2"/>
      <c r="F41" s="2">
        <f t="shared" ref="F41:G50" si="22">AX40*(1+(F5/100))</f>
        <v>22272.137831579999</v>
      </c>
      <c r="G41" s="2"/>
      <c r="H41" s="2">
        <f t="shared" ref="H41:H64" si="23">AZ40*(1+(H5/100))</f>
        <v>33950.080677599995</v>
      </c>
      <c r="I41" s="2">
        <f>SUM(B41:H41)</f>
        <v>115793.50348578001</v>
      </c>
      <c r="J41" s="2">
        <f t="shared" ref="J41:J64" si="24">I41-I40</f>
        <v>10171.90348578</v>
      </c>
      <c r="K41" s="6">
        <f t="shared" ref="K41:K64" si="25">(J41/I40)</f>
        <v>9.6305144835715409E-2</v>
      </c>
      <c r="L41" s="7">
        <f t="shared" ref="L41:L64" si="26">K41+1</f>
        <v>1.0963051448357155</v>
      </c>
      <c r="N41">
        <f t="shared" ref="N41:N64" si="27">A41</f>
        <v>1993</v>
      </c>
      <c r="O41" s="2">
        <f t="shared" ref="O41:O64" si="28">O40*(1+O5)</f>
        <v>4886.0552159999997</v>
      </c>
      <c r="P41" s="2"/>
      <c r="Q41" s="2"/>
      <c r="R41">
        <f t="shared" ref="R41:R64" si="29">A41</f>
        <v>1993</v>
      </c>
      <c r="S41" s="2">
        <f>B41-($O41/4)</f>
        <v>21081.493563300002</v>
      </c>
      <c r="T41" s="2">
        <f>C41-($O41/4)</f>
        <v>36046.763805300005</v>
      </c>
      <c r="U41" s="2"/>
      <c r="V41" s="2"/>
      <c r="W41" s="2">
        <f t="shared" si="12"/>
        <v>21050.624027580001</v>
      </c>
      <c r="X41" s="2"/>
      <c r="Y41" s="2">
        <f>H41-($O41/4)</f>
        <v>32728.566873599997</v>
      </c>
      <c r="Z41" s="2">
        <f>SUM(S41:Y41)</f>
        <v>110907.44826978001</v>
      </c>
      <c r="AA41" s="2">
        <f t="shared" ref="AA41:AA55" si="30">Z41-Z40</f>
        <v>10038.820269780001</v>
      </c>
      <c r="AB41" s="6">
        <f t="shared" ref="AB41:AB55" si="31">(AA41/Z40)</f>
        <v>9.9523711869859074E-2</v>
      </c>
      <c r="AC41" s="7">
        <f t="shared" ref="AC41:AC64" si="32">AB41+1</f>
        <v>1.0995237118698591</v>
      </c>
      <c r="AD41" s="2">
        <f>Z41-(I41-O41)</f>
        <v>0</v>
      </c>
      <c r="AE41" s="2"/>
      <c r="AG41">
        <f t="shared" si="13"/>
        <v>1993</v>
      </c>
      <c r="AH41" s="6">
        <f t="shared" si="6"/>
        <v>0.19008185556681204</v>
      </c>
      <c r="AI41" s="6">
        <f t="shared" si="6"/>
        <v>0.3250166185197681</v>
      </c>
      <c r="AJ41" s="7"/>
      <c r="AK41" s="7"/>
      <c r="AL41" s="6">
        <f t="shared" si="7"/>
        <v>0.18980351956502331</v>
      </c>
      <c r="AM41" s="7"/>
      <c r="AN41" s="6">
        <f t="shared" si="14"/>
        <v>0.2950980063483965</v>
      </c>
      <c r="AO41" s="6">
        <f t="shared" ref="AO41:AO64" si="33">SUM(AH41:AN41)</f>
        <v>1</v>
      </c>
      <c r="AP41" s="7">
        <f t="shared" ref="AP41:AP64" si="34">SUM(AH41:AM41)</f>
        <v>0.70490199365160344</v>
      </c>
      <c r="AQ41" s="7">
        <f t="shared" ref="AQ41:AQ64" si="35">AO41-(AP41+AN41)</f>
        <v>0</v>
      </c>
      <c r="AR41" s="7"/>
      <c r="AS41">
        <f t="shared" ref="AS41:AS64" si="36">A41</f>
        <v>1993</v>
      </c>
      <c r="AT41" s="2">
        <f t="shared" si="15"/>
        <v>21081.493563300002</v>
      </c>
      <c r="AU41" s="2">
        <f t="shared" si="15"/>
        <v>36046.763805300005</v>
      </c>
      <c r="AV41" s="2"/>
      <c r="AW41" s="2"/>
      <c r="AX41" s="2">
        <f t="shared" si="16"/>
        <v>21050.624027580001</v>
      </c>
      <c r="AY41" s="2"/>
      <c r="AZ41" s="2">
        <f t="shared" si="17"/>
        <v>32728.566873599997</v>
      </c>
      <c r="BA41" s="2">
        <f t="shared" si="17"/>
        <v>110907.44826978001</v>
      </c>
      <c r="BB41" s="2">
        <f t="shared" si="18"/>
        <v>0</v>
      </c>
      <c r="BC41" s="2"/>
      <c r="BM41" s="24"/>
      <c r="BN41">
        <f t="shared" si="5"/>
        <v>1993</v>
      </c>
      <c r="BO41" s="1" t="b">
        <f t="shared" ref="BO41:BO64" si="37">AND((S41/$Z41)&gt;0.15,(S41/$Z41)&lt;0.25)</f>
        <v>1</v>
      </c>
      <c r="BP41" s="1" t="b">
        <f t="shared" ref="BP41:BP50" si="38">AND((T41/$Z41)&gt;0.25,(T41/$Z41)&lt;0.35)</f>
        <v>1</v>
      </c>
      <c r="BS41" s="1" t="b">
        <f t="shared" si="19"/>
        <v>1</v>
      </c>
      <c r="BU41" s="1" t="b">
        <f t="shared" ref="BU41:BU64" si="39">AND((Y41/$Z41)&gt;0.25,(Y41/$Z41)&lt;0.35)</f>
        <v>1</v>
      </c>
      <c r="BV41" s="1" t="b">
        <f t="shared" ref="BV41:BV64" si="40">AND((Z41/$Z41)&gt;0.999,(Z41/$Z41)&lt;1.01)</f>
        <v>1</v>
      </c>
      <c r="CH41" s="2"/>
    </row>
    <row r="42" spans="1:86" x14ac:dyDescent="0.25">
      <c r="A42">
        <f t="shared" si="8"/>
        <v>1994</v>
      </c>
      <c r="B42" s="2">
        <f t="shared" si="20"/>
        <v>21330.255187346942</v>
      </c>
      <c r="C42" s="2">
        <f t="shared" si="21"/>
        <v>35410.898891774516</v>
      </c>
      <c r="D42" s="2"/>
      <c r="E42" s="2"/>
      <c r="F42" s="2">
        <f t="shared" si="22"/>
        <v>22156.834320229333</v>
      </c>
      <c r="G42" s="2"/>
      <c r="H42" s="2">
        <f t="shared" si="23"/>
        <v>31857.986994762239</v>
      </c>
      <c r="I42" s="2">
        <f t="shared" ref="I42:I64" si="41">SUM(B42:H42)</f>
        <v>110755.97539411302</v>
      </c>
      <c r="J42" s="2">
        <f t="shared" si="24"/>
        <v>-5037.5280916669872</v>
      </c>
      <c r="K42" s="6">
        <f t="shared" si="25"/>
        <v>-4.3504410351359823E-2</v>
      </c>
      <c r="L42" s="7">
        <f t="shared" si="26"/>
        <v>0.95649558964864023</v>
      </c>
      <c r="N42">
        <f t="shared" si="27"/>
        <v>1994</v>
      </c>
      <c r="O42" s="2">
        <f t="shared" si="28"/>
        <v>5013.0926516159998</v>
      </c>
      <c r="P42" s="2"/>
      <c r="Q42" s="2"/>
      <c r="R42">
        <f t="shared" si="29"/>
        <v>1994</v>
      </c>
      <c r="S42" s="2">
        <f t="shared" ref="S42:T46" si="42">B42-($O42/4)</f>
        <v>20076.982024442943</v>
      </c>
      <c r="T42" s="2">
        <f t="shared" si="42"/>
        <v>34157.625728870516</v>
      </c>
      <c r="U42" s="2"/>
      <c r="V42" s="2"/>
      <c r="W42" s="2">
        <f t="shared" si="12"/>
        <v>20903.561157325334</v>
      </c>
      <c r="X42" s="2"/>
      <c r="Y42" s="2">
        <f t="shared" ref="Y42:Y46" si="43">H42-($O42/4)</f>
        <v>30604.71383185824</v>
      </c>
      <c r="Z42" s="2">
        <f t="shared" ref="Z42:Z64" si="44">SUM(S42:Y42)</f>
        <v>105742.88274249704</v>
      </c>
      <c r="AA42" s="2">
        <f t="shared" si="30"/>
        <v>-5164.5655272829754</v>
      </c>
      <c r="AB42" s="6">
        <f t="shared" si="31"/>
        <v>-4.6566444435005655E-2</v>
      </c>
      <c r="AC42" s="7">
        <f t="shared" si="32"/>
        <v>0.95343355556499432</v>
      </c>
      <c r="AD42" s="2">
        <f t="shared" ref="AD42:AD64" si="45">Z42-(I42-O42)</f>
        <v>0</v>
      </c>
      <c r="AE42" s="2"/>
      <c r="AG42">
        <f t="shared" si="13"/>
        <v>1994</v>
      </c>
      <c r="AH42" s="6">
        <f t="shared" si="6"/>
        <v>0.18986603640581665</v>
      </c>
      <c r="AI42" s="6">
        <f t="shared" si="6"/>
        <v>0.32302529345687014</v>
      </c>
      <c r="AJ42" s="7"/>
      <c r="AK42" s="7"/>
      <c r="AL42" s="6">
        <f t="shared" si="7"/>
        <v>0.19768291364090451</v>
      </c>
      <c r="AM42" s="7"/>
      <c r="AN42" s="6">
        <f t="shared" si="14"/>
        <v>0.28942575649640867</v>
      </c>
      <c r="AO42" s="6">
        <f t="shared" si="33"/>
        <v>1</v>
      </c>
      <c r="AP42" s="7">
        <f t="shared" si="34"/>
        <v>0.71057424350359133</v>
      </c>
      <c r="AQ42" s="7">
        <f t="shared" si="35"/>
        <v>0</v>
      </c>
      <c r="AR42" s="7"/>
      <c r="AS42">
        <f t="shared" si="36"/>
        <v>1994</v>
      </c>
      <c r="AT42" s="2">
        <f t="shared" si="15"/>
        <v>20076.982024442943</v>
      </c>
      <c r="AU42" s="2">
        <f t="shared" si="15"/>
        <v>34157.625728870516</v>
      </c>
      <c r="AV42" s="2"/>
      <c r="AW42" s="2"/>
      <c r="AX42" s="2">
        <f t="shared" si="16"/>
        <v>20903.561157325334</v>
      </c>
      <c r="AY42" s="2"/>
      <c r="AZ42" s="2">
        <f t="shared" si="17"/>
        <v>30604.71383185824</v>
      </c>
      <c r="BA42" s="2">
        <f t="shared" si="17"/>
        <v>105742.88274249704</v>
      </c>
      <c r="BB42" s="2">
        <f t="shared" si="18"/>
        <v>0</v>
      </c>
      <c r="BC42" s="2"/>
      <c r="BM42" s="24"/>
      <c r="BN42">
        <f t="shared" si="5"/>
        <v>1994</v>
      </c>
      <c r="BO42" s="1" t="b">
        <f t="shared" si="37"/>
        <v>1</v>
      </c>
      <c r="BP42" s="1" t="b">
        <f t="shared" si="38"/>
        <v>1</v>
      </c>
      <c r="BS42" s="1" t="b">
        <f t="shared" si="19"/>
        <v>1</v>
      </c>
      <c r="BU42" s="1" t="b">
        <f t="shared" si="39"/>
        <v>1</v>
      </c>
      <c r="BV42" s="1" t="b">
        <f t="shared" si="40"/>
        <v>1</v>
      </c>
      <c r="CH42" s="2"/>
    </row>
    <row r="43" spans="1:86" x14ac:dyDescent="0.25">
      <c r="A43">
        <f t="shared" si="8"/>
        <v>1995</v>
      </c>
      <c r="B43" s="2">
        <f t="shared" si="20"/>
        <v>27595.811792596825</v>
      </c>
      <c r="C43" s="2">
        <f t="shared" si="21"/>
        <v>45701.878496456884</v>
      </c>
      <c r="D43" s="2"/>
      <c r="E43" s="2"/>
      <c r="F43" s="2">
        <f t="shared" si="22"/>
        <v>22919.918666560934</v>
      </c>
      <c r="G43" s="2"/>
      <c r="H43" s="2">
        <f t="shared" si="23"/>
        <v>36168.65080649007</v>
      </c>
      <c r="I43" s="2">
        <f t="shared" si="41"/>
        <v>132386.25976210472</v>
      </c>
      <c r="J43" s="2">
        <f t="shared" si="24"/>
        <v>21630.284367991699</v>
      </c>
      <c r="K43" s="6">
        <f t="shared" si="25"/>
        <v>0.19529677104122553</v>
      </c>
      <c r="L43" s="7">
        <f t="shared" si="26"/>
        <v>1.1952967710412254</v>
      </c>
      <c r="N43">
        <f t="shared" si="27"/>
        <v>1995</v>
      </c>
      <c r="O43" s="2">
        <f t="shared" si="28"/>
        <v>5138.4199679063995</v>
      </c>
      <c r="P43" s="2"/>
      <c r="Q43" s="2"/>
      <c r="R43">
        <f t="shared" si="29"/>
        <v>1995</v>
      </c>
      <c r="S43" s="2">
        <f t="shared" si="42"/>
        <v>26311.206800620224</v>
      </c>
      <c r="T43" s="2">
        <f t="shared" si="42"/>
        <v>44417.273504480283</v>
      </c>
      <c r="U43" s="2"/>
      <c r="V43" s="2"/>
      <c r="W43" s="2">
        <f t="shared" si="12"/>
        <v>21635.313674584333</v>
      </c>
      <c r="X43" s="2"/>
      <c r="Y43" s="2">
        <f t="shared" si="43"/>
        <v>34884.045814513469</v>
      </c>
      <c r="Z43" s="2">
        <f t="shared" si="44"/>
        <v>127247.83979419831</v>
      </c>
      <c r="AA43" s="2">
        <f t="shared" si="30"/>
        <v>21504.957051701276</v>
      </c>
      <c r="AB43" s="6">
        <f t="shared" si="31"/>
        <v>0.20337025522625216</v>
      </c>
      <c r="AC43" s="7">
        <f t="shared" si="32"/>
        <v>1.2033702552262522</v>
      </c>
      <c r="AD43" s="2">
        <f t="shared" si="45"/>
        <v>0</v>
      </c>
      <c r="AE43" s="2"/>
      <c r="AG43">
        <f t="shared" si="13"/>
        <v>1995</v>
      </c>
      <c r="AH43" s="6">
        <f t="shared" si="6"/>
        <v>0.20677134356995069</v>
      </c>
      <c r="AI43" s="6">
        <f t="shared" si="6"/>
        <v>0.3490611202226902</v>
      </c>
      <c r="AJ43" s="7"/>
      <c r="AK43" s="7"/>
      <c r="AL43" s="6">
        <f t="shared" si="7"/>
        <v>0.17002499774908372</v>
      </c>
      <c r="AM43" s="7"/>
      <c r="AN43" s="6">
        <f t="shared" si="14"/>
        <v>0.27414253845827535</v>
      </c>
      <c r="AO43" s="6">
        <f t="shared" si="33"/>
        <v>1</v>
      </c>
      <c r="AP43" s="7">
        <f t="shared" si="34"/>
        <v>0.72585746154172459</v>
      </c>
      <c r="AQ43" s="7">
        <f t="shared" si="35"/>
        <v>0</v>
      </c>
      <c r="AR43" s="7"/>
      <c r="AS43">
        <f t="shared" si="36"/>
        <v>1995</v>
      </c>
      <c r="AT43" s="2">
        <f t="shared" si="15"/>
        <v>26311.206800620224</v>
      </c>
      <c r="AU43" s="2">
        <f t="shared" si="15"/>
        <v>44417.273504480283</v>
      </c>
      <c r="AV43" s="2"/>
      <c r="AW43" s="2"/>
      <c r="AX43" s="2">
        <f t="shared" si="16"/>
        <v>21635.313674584333</v>
      </c>
      <c r="AY43" s="2"/>
      <c r="AZ43" s="2">
        <f t="shared" si="17"/>
        <v>34884.045814513469</v>
      </c>
      <c r="BA43" s="2">
        <f t="shared" si="17"/>
        <v>127247.83979419831</v>
      </c>
      <c r="BB43" s="2">
        <f t="shared" si="18"/>
        <v>0</v>
      </c>
      <c r="BC43" s="2"/>
      <c r="BM43" s="24"/>
      <c r="BN43">
        <f t="shared" si="5"/>
        <v>1995</v>
      </c>
      <c r="BO43" s="1" t="b">
        <f t="shared" si="37"/>
        <v>1</v>
      </c>
      <c r="BP43" s="1" t="b">
        <f t="shared" si="38"/>
        <v>1</v>
      </c>
      <c r="BS43" s="1" t="b">
        <f t="shared" si="19"/>
        <v>1</v>
      </c>
      <c r="BU43" s="1" t="b">
        <f t="shared" si="39"/>
        <v>1</v>
      </c>
      <c r="BV43" s="1" t="b">
        <f t="shared" si="40"/>
        <v>1</v>
      </c>
      <c r="CH43" s="2"/>
    </row>
    <row r="44" spans="1:86" x14ac:dyDescent="0.25">
      <c r="A44">
        <f t="shared" si="8"/>
        <v>1996</v>
      </c>
      <c r="B44" s="2">
        <f t="shared" si="20"/>
        <v>32331.210916602136</v>
      </c>
      <c r="C44" s="2">
        <f t="shared" si="21"/>
        <v>52255.589759815914</v>
      </c>
      <c r="D44" s="2"/>
      <c r="E44" s="2"/>
      <c r="F44" s="2">
        <f t="shared" si="22"/>
        <v>23846.226378990104</v>
      </c>
      <c r="G44" s="2"/>
      <c r="H44" s="2">
        <f t="shared" si="23"/>
        <v>36132.894654673051</v>
      </c>
      <c r="I44" s="2">
        <f t="shared" si="41"/>
        <v>144565.92171008119</v>
      </c>
      <c r="J44" s="2">
        <f t="shared" si="24"/>
        <v>12179.661947976478</v>
      </c>
      <c r="K44" s="6">
        <f t="shared" si="25"/>
        <v>9.2000952137050104E-2</v>
      </c>
      <c r="L44" s="7">
        <f t="shared" si="26"/>
        <v>1.0920009521370502</v>
      </c>
      <c r="N44">
        <f t="shared" si="27"/>
        <v>1996</v>
      </c>
      <c r="O44" s="2">
        <f t="shared" si="28"/>
        <v>5313.1262468152172</v>
      </c>
      <c r="P44" s="2"/>
      <c r="Q44" s="2"/>
      <c r="R44">
        <f t="shared" si="29"/>
        <v>1996</v>
      </c>
      <c r="S44" s="2">
        <f t="shared" si="42"/>
        <v>31002.929354898333</v>
      </c>
      <c r="T44" s="2">
        <f t="shared" si="42"/>
        <v>50927.308198112107</v>
      </c>
      <c r="U44" s="2"/>
      <c r="V44" s="2"/>
      <c r="W44" s="2">
        <f t="shared" si="12"/>
        <v>22517.944817286301</v>
      </c>
      <c r="X44" s="2"/>
      <c r="Y44" s="2">
        <f t="shared" si="43"/>
        <v>34804.613092969244</v>
      </c>
      <c r="Z44" s="2">
        <f t="shared" si="44"/>
        <v>139252.79546326597</v>
      </c>
      <c r="AA44" s="2">
        <f t="shared" si="30"/>
        <v>12004.955669067655</v>
      </c>
      <c r="AB44" s="6">
        <f t="shared" si="31"/>
        <v>9.4343099957403004E-2</v>
      </c>
      <c r="AC44" s="7">
        <f t="shared" si="32"/>
        <v>1.0943430999574031</v>
      </c>
      <c r="AD44" s="2">
        <f t="shared" si="45"/>
        <v>0</v>
      </c>
      <c r="AE44" s="2"/>
      <c r="AG44">
        <f t="shared" si="13"/>
        <v>1996</v>
      </c>
      <c r="AH44" s="59">
        <f t="shared" si="6"/>
        <v>0.22263775209508607</v>
      </c>
      <c r="AI44" s="59">
        <f t="shared" si="6"/>
        <v>0.36571839027494724</v>
      </c>
      <c r="AJ44" s="60"/>
      <c r="AK44" s="60"/>
      <c r="AL44" s="59">
        <f t="shared" si="7"/>
        <v>0.16170551364784916</v>
      </c>
      <c r="AM44" s="60"/>
      <c r="AN44" s="59">
        <f t="shared" si="14"/>
        <v>0.24993834398211767</v>
      </c>
      <c r="AO44" s="6">
        <f t="shared" si="33"/>
        <v>1</v>
      </c>
      <c r="AP44" s="7">
        <f t="shared" si="34"/>
        <v>0.75006165601788244</v>
      </c>
      <c r="AQ44" s="7">
        <f t="shared" si="35"/>
        <v>0</v>
      </c>
      <c r="AR44" s="7"/>
      <c r="AS44">
        <f t="shared" si="36"/>
        <v>1996</v>
      </c>
      <c r="AT44" s="2">
        <f t="shared" si="15"/>
        <v>31002.929354898333</v>
      </c>
      <c r="AU44" s="2">
        <f t="shared" si="15"/>
        <v>50927.308198112107</v>
      </c>
      <c r="AV44" s="2"/>
      <c r="AW44" s="2"/>
      <c r="AX44" s="2">
        <f t="shared" si="16"/>
        <v>22517.944817286301</v>
      </c>
      <c r="AY44" s="2"/>
      <c r="AZ44" s="2">
        <f t="shared" si="17"/>
        <v>34804.613092969244</v>
      </c>
      <c r="BA44" s="2">
        <f t="shared" si="17"/>
        <v>139252.79546326597</v>
      </c>
      <c r="BB44" s="2">
        <f t="shared" si="18"/>
        <v>0</v>
      </c>
      <c r="BC44" s="2"/>
      <c r="BM44" s="24"/>
      <c r="BN44">
        <f t="shared" si="5"/>
        <v>1996</v>
      </c>
      <c r="BO44" s="1" t="b">
        <f t="shared" si="37"/>
        <v>1</v>
      </c>
      <c r="BP44" s="28" t="b">
        <f t="shared" si="38"/>
        <v>0</v>
      </c>
      <c r="BS44" s="28" t="b">
        <f t="shared" si="19"/>
        <v>1</v>
      </c>
      <c r="BU44" s="1" t="b">
        <f t="shared" si="39"/>
        <v>0</v>
      </c>
      <c r="BV44" s="1" t="b">
        <f t="shared" si="40"/>
        <v>1</v>
      </c>
      <c r="CH44" s="2"/>
    </row>
    <row r="45" spans="1:86" x14ac:dyDescent="0.25">
      <c r="A45">
        <f t="shared" si="8"/>
        <v>1997</v>
      </c>
      <c r="B45" s="2">
        <f t="shared" si="20"/>
        <v>41292.801607789093</v>
      </c>
      <c r="C45" s="2">
        <f t="shared" si="21"/>
        <v>64518.278936942283</v>
      </c>
      <c r="D45" s="2"/>
      <c r="E45" s="2"/>
      <c r="F45" s="2"/>
      <c r="G45" s="2">
        <f>AX44*(1+(G9/100))</f>
        <v>22517.944817286301</v>
      </c>
      <c r="H45" s="2">
        <f t="shared" si="23"/>
        <v>38090.168568945541</v>
      </c>
      <c r="I45" s="2">
        <f t="shared" si="41"/>
        <v>166419.19393096323</v>
      </c>
      <c r="J45" s="2">
        <f t="shared" si="24"/>
        <v>21853.272220882034</v>
      </c>
      <c r="K45" s="6">
        <f t="shared" si="25"/>
        <v>0.1511647555826299</v>
      </c>
      <c r="L45" s="7">
        <f t="shared" si="26"/>
        <v>1.1511647555826299</v>
      </c>
      <c r="N45">
        <f t="shared" si="27"/>
        <v>1997</v>
      </c>
      <c r="O45" s="2">
        <f t="shared" si="28"/>
        <v>5403.4493930110757</v>
      </c>
      <c r="P45" s="2"/>
      <c r="Q45" s="2"/>
      <c r="R45">
        <f t="shared" si="29"/>
        <v>1997</v>
      </c>
      <c r="S45" s="2">
        <f t="shared" si="42"/>
        <v>39941.939259536324</v>
      </c>
      <c r="T45" s="2">
        <f t="shared" si="42"/>
        <v>63167.416588689513</v>
      </c>
      <c r="U45" s="2"/>
      <c r="V45" s="2"/>
      <c r="W45" s="2"/>
      <c r="X45" s="2">
        <f>G45-($O45/4)</f>
        <v>21167.082469033532</v>
      </c>
      <c r="Y45" s="2">
        <f t="shared" si="43"/>
        <v>36739.306220692772</v>
      </c>
      <c r="Z45" s="2">
        <f t="shared" si="44"/>
        <v>161015.74453795212</v>
      </c>
      <c r="AA45" s="2">
        <f t="shared" si="30"/>
        <v>21762.949074686156</v>
      </c>
      <c r="AB45" s="6">
        <f t="shared" si="31"/>
        <v>0.15628375001223646</v>
      </c>
      <c r="AC45" s="7">
        <f t="shared" si="32"/>
        <v>1.1562837500122365</v>
      </c>
      <c r="AD45" s="2">
        <f t="shared" si="45"/>
        <v>0</v>
      </c>
      <c r="AE45" s="2"/>
      <c r="AG45">
        <f t="shared" si="13"/>
        <v>1997</v>
      </c>
      <c r="AH45" s="59">
        <f t="shared" si="6"/>
        <v>0.24806232070132639</v>
      </c>
      <c r="AI45" s="59">
        <f t="shared" si="6"/>
        <v>0.3923058379784759</v>
      </c>
      <c r="AJ45" s="60"/>
      <c r="AK45" s="60"/>
      <c r="AL45" s="59">
        <f t="shared" si="7"/>
        <v>0</v>
      </c>
      <c r="AM45" s="60"/>
      <c r="AN45" s="59">
        <f t="shared" si="14"/>
        <v>0.22817213512951309</v>
      </c>
      <c r="AO45" s="6">
        <f t="shared" si="33"/>
        <v>0.8685402938093153</v>
      </c>
      <c r="AP45" s="7">
        <f t="shared" si="34"/>
        <v>0.64036815867980224</v>
      </c>
      <c r="AQ45" s="7">
        <f t="shared" si="35"/>
        <v>0</v>
      </c>
      <c r="AR45" s="7"/>
      <c r="AS45">
        <f t="shared" si="36"/>
        <v>1997</v>
      </c>
      <c r="AT45" s="2">
        <f t="shared" si="15"/>
        <v>39941.939259536324</v>
      </c>
      <c r="AU45" s="2">
        <f t="shared" si="15"/>
        <v>63167.416588689513</v>
      </c>
      <c r="AV45" s="2"/>
      <c r="AW45" s="2"/>
      <c r="AX45" s="2"/>
      <c r="AY45" s="2">
        <f t="shared" si="16"/>
        <v>21167.082469033532</v>
      </c>
      <c r="AZ45" s="2">
        <f t="shared" si="17"/>
        <v>36739.306220692772</v>
      </c>
      <c r="BA45" s="2">
        <f t="shared" si="17"/>
        <v>161015.74453795212</v>
      </c>
      <c r="BB45" s="2">
        <f t="shared" si="18"/>
        <v>0</v>
      </c>
      <c r="BC45" s="2"/>
      <c r="BM45" s="24"/>
      <c r="BN45">
        <f t="shared" si="5"/>
        <v>1997</v>
      </c>
      <c r="BO45" s="1" t="b">
        <f t="shared" si="37"/>
        <v>1</v>
      </c>
      <c r="BP45" s="1" t="b">
        <f t="shared" si="38"/>
        <v>0</v>
      </c>
      <c r="BS45" s="1" t="b">
        <f t="shared" si="19"/>
        <v>0</v>
      </c>
      <c r="BU45" s="1" t="b">
        <f t="shared" si="39"/>
        <v>0</v>
      </c>
      <c r="BV45" s="1" t="b">
        <f t="shared" si="40"/>
        <v>1</v>
      </c>
      <c r="CH45" s="2"/>
    </row>
    <row r="46" spans="1:86" x14ac:dyDescent="0.25">
      <c r="A46">
        <f t="shared" si="8"/>
        <v>1998</v>
      </c>
      <c r="B46" s="2">
        <f t="shared" si="20"/>
        <v>51389.299051319431</v>
      </c>
      <c r="C46" s="2">
        <f t="shared" si="21"/>
        <v>68443.790896342762</v>
      </c>
      <c r="D46" s="2"/>
      <c r="E46" s="2"/>
      <c r="F46" s="2"/>
      <c r="G46" s="2">
        <f t="shared" si="22"/>
        <v>24469.782346676831</v>
      </c>
      <c r="H46" s="2">
        <f t="shared" si="23"/>
        <v>39891.538694428215</v>
      </c>
      <c r="I46" s="2">
        <f t="shared" si="41"/>
        <v>184194.41098876725</v>
      </c>
      <c r="J46" s="2">
        <f t="shared" si="24"/>
        <v>17775.217057804024</v>
      </c>
      <c r="K46" s="6">
        <f t="shared" si="25"/>
        <v>0.10680989757213843</v>
      </c>
      <c r="L46" s="7">
        <f t="shared" si="26"/>
        <v>1.1068098975721385</v>
      </c>
      <c r="N46">
        <f t="shared" si="27"/>
        <v>1998</v>
      </c>
      <c r="O46" s="2">
        <f t="shared" si="28"/>
        <v>5489.9045832992533</v>
      </c>
      <c r="P46" s="2"/>
      <c r="Q46" s="2"/>
      <c r="R46">
        <f t="shared" si="29"/>
        <v>1998</v>
      </c>
      <c r="S46" s="2">
        <f t="shared" si="42"/>
        <v>50016.82290549462</v>
      </c>
      <c r="T46" s="2">
        <f t="shared" si="42"/>
        <v>67071.314750517951</v>
      </c>
      <c r="U46" s="2"/>
      <c r="V46" s="2"/>
      <c r="W46" s="2"/>
      <c r="X46" s="2">
        <f>G46-($O46/4)</f>
        <v>23097.306200852017</v>
      </c>
      <c r="Y46" s="2">
        <f t="shared" si="43"/>
        <v>38519.062548603404</v>
      </c>
      <c r="Z46" s="2">
        <f t="shared" si="44"/>
        <v>178704.50640546798</v>
      </c>
      <c r="AA46" s="2">
        <f t="shared" si="30"/>
        <v>17688.761867515859</v>
      </c>
      <c r="AB46" s="6">
        <f t="shared" si="31"/>
        <v>0.10985734294664917</v>
      </c>
      <c r="AC46" s="7">
        <f t="shared" si="32"/>
        <v>1.1098573429466492</v>
      </c>
      <c r="AD46" s="2">
        <f t="shared" si="45"/>
        <v>0</v>
      </c>
      <c r="AE46" s="2"/>
      <c r="AG46">
        <f t="shared" si="13"/>
        <v>1998</v>
      </c>
      <c r="AH46" s="6">
        <f t="shared" si="6"/>
        <v>0.27988562746151435</v>
      </c>
      <c r="AI46" s="6">
        <f t="shared" si="6"/>
        <v>0.37531966092862734</v>
      </c>
      <c r="AJ46" s="7"/>
      <c r="AK46" s="7"/>
      <c r="AL46" s="6">
        <f t="shared" si="7"/>
        <v>0</v>
      </c>
      <c r="AM46" s="7"/>
      <c r="AN46" s="6">
        <f t="shared" si="14"/>
        <v>0.21554611757359018</v>
      </c>
      <c r="AO46" s="6">
        <f t="shared" si="33"/>
        <v>0.87075140596373191</v>
      </c>
      <c r="AP46" s="7">
        <f t="shared" si="34"/>
        <v>0.65520528839014169</v>
      </c>
      <c r="AQ46" s="7">
        <f t="shared" si="35"/>
        <v>0</v>
      </c>
      <c r="AR46" s="7"/>
      <c r="AS46">
        <f t="shared" si="36"/>
        <v>1998</v>
      </c>
      <c r="AT46" s="2">
        <f t="shared" si="15"/>
        <v>50016.82290549462</v>
      </c>
      <c r="AU46" s="2">
        <f t="shared" si="15"/>
        <v>67071.314750517951</v>
      </c>
      <c r="AV46" s="2"/>
      <c r="AW46" s="2"/>
      <c r="AX46" s="2"/>
      <c r="AY46" s="2">
        <f t="shared" si="16"/>
        <v>23097.306200852017</v>
      </c>
      <c r="AZ46" s="2">
        <f t="shared" si="17"/>
        <v>38519.062548603404</v>
      </c>
      <c r="BA46" s="2">
        <f t="shared" si="17"/>
        <v>178704.50640546798</v>
      </c>
      <c r="BB46" s="2">
        <f t="shared" si="18"/>
        <v>0</v>
      </c>
      <c r="BC46" s="2"/>
      <c r="BM46" s="24"/>
      <c r="BN46">
        <f t="shared" si="5"/>
        <v>1998</v>
      </c>
      <c r="BO46" s="1" t="b">
        <f t="shared" si="37"/>
        <v>0</v>
      </c>
      <c r="BP46" s="1" t="b">
        <f t="shared" si="38"/>
        <v>0</v>
      </c>
      <c r="BS46" s="1" t="b">
        <f t="shared" si="19"/>
        <v>0</v>
      </c>
      <c r="BU46" s="1" t="b">
        <f t="shared" si="39"/>
        <v>0</v>
      </c>
      <c r="BV46" s="1" t="b">
        <f t="shared" si="40"/>
        <v>1</v>
      </c>
      <c r="CH46" s="2"/>
    </row>
    <row r="47" spans="1:86" x14ac:dyDescent="0.25">
      <c r="A47">
        <f t="shared" si="8"/>
        <v>1999</v>
      </c>
      <c r="B47" s="2">
        <f t="shared" si="20"/>
        <v>60555.367491682344</v>
      </c>
      <c r="C47" s="2"/>
      <c r="D47" s="2">
        <f>($AU46*0.67)*(1+(D11/100))</f>
        <v>44937.78088284703</v>
      </c>
      <c r="E47" s="2">
        <f>($AU46*0.33)*(1+(E11/100))</f>
        <v>22133.533867670925</v>
      </c>
      <c r="F47" s="2"/>
      <c r="G47" s="2">
        <f t="shared" si="22"/>
        <v>30007.789243084935</v>
      </c>
      <c r="H47" s="2">
        <f t="shared" si="23"/>
        <v>38226.317673234014</v>
      </c>
      <c r="I47" s="2">
        <f t="shared" si="41"/>
        <v>195860.78915851924</v>
      </c>
      <c r="J47" s="2">
        <f t="shared" si="24"/>
        <v>11666.378169751988</v>
      </c>
      <c r="K47" s="6">
        <f t="shared" si="25"/>
        <v>6.3337308157865008E-2</v>
      </c>
      <c r="L47" s="7">
        <f t="shared" si="26"/>
        <v>1.063337308157865</v>
      </c>
      <c r="N47">
        <f t="shared" si="27"/>
        <v>1999</v>
      </c>
      <c r="O47" s="2">
        <f t="shared" si="28"/>
        <v>5638.1320070483325</v>
      </c>
      <c r="P47" s="2"/>
      <c r="Q47" s="2"/>
      <c r="R47">
        <f t="shared" si="29"/>
        <v>1999</v>
      </c>
      <c r="S47" s="2">
        <f t="shared" ref="S47:S50" si="46">B47-($O47/5)</f>
        <v>59427.741090272677</v>
      </c>
      <c r="T47" s="2"/>
      <c r="U47" s="2">
        <f>D47-($O47/5)</f>
        <v>43810.154481437363</v>
      </c>
      <c r="V47" s="2">
        <f>E47-($O47/5)</f>
        <v>21005.907466261258</v>
      </c>
      <c r="W47" s="2"/>
      <c r="X47" s="2">
        <f t="shared" ref="X47:X49" si="47">G47-($O47/5)</f>
        <v>28880.162841675268</v>
      </c>
      <c r="Y47" s="2">
        <f t="shared" ref="Y47:Y50" si="48">H47-($O47/5)</f>
        <v>37098.691271824347</v>
      </c>
      <c r="Z47" s="2">
        <f t="shared" si="44"/>
        <v>190222.65715147092</v>
      </c>
      <c r="AA47" s="2">
        <f t="shared" si="30"/>
        <v>11518.150746002939</v>
      </c>
      <c r="AB47" s="6">
        <f t="shared" si="31"/>
        <v>6.4453611034682376E-2</v>
      </c>
      <c r="AC47" s="7">
        <f t="shared" si="32"/>
        <v>1.0644536110346823</v>
      </c>
      <c r="AD47" s="2">
        <f t="shared" si="45"/>
        <v>0</v>
      </c>
      <c r="AE47" s="2"/>
      <c r="AG47">
        <f t="shared" si="13"/>
        <v>1999</v>
      </c>
      <c r="AH47" s="6">
        <f t="shared" si="6"/>
        <v>0.31241147600493996</v>
      </c>
      <c r="AI47" s="6">
        <f t="shared" si="6"/>
        <v>0</v>
      </c>
      <c r="AJ47" s="7"/>
      <c r="AK47" s="7"/>
      <c r="AL47" s="6">
        <f t="shared" si="7"/>
        <v>0</v>
      </c>
      <c r="AM47" s="7"/>
      <c r="AN47" s="6">
        <f t="shared" si="14"/>
        <v>0.19502772081605041</v>
      </c>
      <c r="AO47" s="6">
        <f t="shared" si="33"/>
        <v>0.50743919682099037</v>
      </c>
      <c r="AP47" s="7">
        <f t="shared" si="34"/>
        <v>0.31241147600493996</v>
      </c>
      <c r="AQ47" s="7">
        <f t="shared" si="35"/>
        <v>0</v>
      </c>
      <c r="AR47" s="7"/>
      <c r="AS47">
        <f t="shared" si="36"/>
        <v>1999</v>
      </c>
      <c r="AT47" s="2">
        <f t="shared" si="15"/>
        <v>59427.741090272677</v>
      </c>
      <c r="AU47" s="2"/>
      <c r="AV47" s="2">
        <f t="shared" ref="AV47" si="49">U47</f>
        <v>43810.154481437363</v>
      </c>
      <c r="AW47" s="2">
        <f t="shared" ref="AW47" si="50">V47</f>
        <v>21005.907466261258</v>
      </c>
      <c r="AX47" s="2"/>
      <c r="AY47" s="2">
        <f t="shared" si="16"/>
        <v>28880.162841675268</v>
      </c>
      <c r="AZ47" s="2">
        <f t="shared" si="17"/>
        <v>37098.691271824347</v>
      </c>
      <c r="BA47" s="2">
        <f t="shared" si="17"/>
        <v>190222.65715147092</v>
      </c>
      <c r="BB47" s="2">
        <f t="shared" si="18"/>
        <v>0</v>
      </c>
      <c r="BC47" s="2"/>
      <c r="BM47" s="24"/>
      <c r="BN47">
        <f t="shared" si="5"/>
        <v>1999</v>
      </c>
      <c r="BO47" s="1" t="b">
        <f t="shared" si="37"/>
        <v>0</v>
      </c>
      <c r="BP47" s="1" t="b">
        <f t="shared" si="38"/>
        <v>0</v>
      </c>
      <c r="BS47" s="1" t="b">
        <f t="shared" si="19"/>
        <v>0</v>
      </c>
      <c r="BU47" s="1" t="b">
        <f t="shared" si="39"/>
        <v>0</v>
      </c>
      <c r="BV47" s="1" t="b">
        <f t="shared" si="40"/>
        <v>1</v>
      </c>
      <c r="CH47" s="2"/>
    </row>
    <row r="48" spans="1:86" x14ac:dyDescent="0.25">
      <c r="A48">
        <f t="shared" si="8"/>
        <v>2000</v>
      </c>
      <c r="B48" s="2">
        <f t="shared" si="20"/>
        <v>54043.58774749397</v>
      </c>
      <c r="C48" s="2"/>
      <c r="D48" s="2">
        <f t="shared" ref="D48:D51" si="51">AV47*(1+(D12/100))</f>
        <v>51738.916239487895</v>
      </c>
      <c r="E48" s="2">
        <f t="shared" ref="E48:E51" si="52">AW47*(1+(E12/100))</f>
        <v>20446.100032285398</v>
      </c>
      <c r="F48" s="2"/>
      <c r="G48" s="2">
        <f t="shared" si="22"/>
        <v>24370.814215576094</v>
      </c>
      <c r="H48" s="2">
        <f t="shared" si="23"/>
        <v>41324.232207685141</v>
      </c>
      <c r="I48" s="2">
        <f t="shared" si="41"/>
        <v>191923.65044252848</v>
      </c>
      <c r="J48" s="2">
        <f t="shared" si="24"/>
        <v>-3937.1387159907608</v>
      </c>
      <c r="K48" s="6">
        <f t="shared" si="25"/>
        <v>-2.0101719863919527E-2</v>
      </c>
      <c r="L48" s="7">
        <f t="shared" si="26"/>
        <v>0.97989828013608049</v>
      </c>
      <c r="N48">
        <f t="shared" si="27"/>
        <v>2000</v>
      </c>
      <c r="O48" s="2">
        <f t="shared" si="28"/>
        <v>5829.8284952879758</v>
      </c>
      <c r="P48" s="2"/>
      <c r="Q48" s="2"/>
      <c r="R48">
        <f t="shared" si="29"/>
        <v>2000</v>
      </c>
      <c r="S48" s="2">
        <f t="shared" si="46"/>
        <v>52877.622048436373</v>
      </c>
      <c r="T48" s="2"/>
      <c r="U48" s="2">
        <f t="shared" ref="U48:U52" si="53">D48-($O48/5)</f>
        <v>50572.950540430298</v>
      </c>
      <c r="V48" s="2">
        <f t="shared" ref="V48:V52" si="54">E48-($O48/5)</f>
        <v>19280.134333227801</v>
      </c>
      <c r="W48" s="2"/>
      <c r="X48" s="2">
        <f t="shared" si="47"/>
        <v>23204.848516518497</v>
      </c>
      <c r="Y48" s="2">
        <f t="shared" si="48"/>
        <v>40158.266508627545</v>
      </c>
      <c r="Z48" s="2">
        <f t="shared" si="44"/>
        <v>186093.8219472405</v>
      </c>
      <c r="AA48" s="2">
        <f t="shared" si="30"/>
        <v>-4128.8352042304177</v>
      </c>
      <c r="AB48" s="6">
        <f t="shared" si="31"/>
        <v>-2.1705275628353251E-2</v>
      </c>
      <c r="AC48" s="7">
        <f t="shared" si="32"/>
        <v>0.97829472437164677</v>
      </c>
      <c r="AD48" s="2">
        <f t="shared" si="45"/>
        <v>0</v>
      </c>
      <c r="AE48" s="2"/>
      <c r="AG48">
        <f t="shared" si="13"/>
        <v>2000</v>
      </c>
      <c r="AH48" s="6">
        <f t="shared" si="6"/>
        <v>0.28414496244495274</v>
      </c>
      <c r="AI48" s="6">
        <f t="shared" si="6"/>
        <v>0</v>
      </c>
      <c r="AJ48" s="7"/>
      <c r="AK48" s="7"/>
      <c r="AL48" s="6">
        <f t="shared" si="7"/>
        <v>0</v>
      </c>
      <c r="AM48" s="6"/>
      <c r="AN48" s="6">
        <f t="shared" si="14"/>
        <v>0.215795807127938</v>
      </c>
      <c r="AO48" s="6">
        <f t="shared" si="33"/>
        <v>0.49994076957289074</v>
      </c>
      <c r="AP48" s="7">
        <f t="shared" si="34"/>
        <v>0.28414496244495274</v>
      </c>
      <c r="AQ48" s="7">
        <f t="shared" si="35"/>
        <v>0</v>
      </c>
      <c r="AR48" s="7"/>
      <c r="AS48">
        <f t="shared" si="36"/>
        <v>2000</v>
      </c>
      <c r="AT48" s="2">
        <f t="shared" si="15"/>
        <v>52877.622048436373</v>
      </c>
      <c r="AU48" s="2"/>
      <c r="AV48" s="2">
        <f t="shared" ref="AV48" si="55">U48</f>
        <v>50572.950540430298</v>
      </c>
      <c r="AW48" s="2">
        <f t="shared" ref="AW48" si="56">V48</f>
        <v>19280.134333227801</v>
      </c>
      <c r="AX48" s="2"/>
      <c r="AY48" s="2">
        <f t="shared" si="16"/>
        <v>23204.848516518497</v>
      </c>
      <c r="AZ48" s="2">
        <f t="shared" si="17"/>
        <v>40158.266508627545</v>
      </c>
      <c r="BA48" s="2">
        <f t="shared" si="17"/>
        <v>186093.8219472405</v>
      </c>
      <c r="BB48" s="2">
        <f t="shared" si="18"/>
        <v>0</v>
      </c>
      <c r="BC48" s="2"/>
      <c r="BM48" s="24"/>
      <c r="BN48">
        <f t="shared" si="5"/>
        <v>2000</v>
      </c>
      <c r="BO48" s="1" t="b">
        <f t="shared" si="37"/>
        <v>0</v>
      </c>
      <c r="BP48" s="1" t="b">
        <f t="shared" si="38"/>
        <v>0</v>
      </c>
      <c r="BS48" s="1" t="b">
        <f t="shared" si="19"/>
        <v>0</v>
      </c>
      <c r="BU48" s="28" t="b">
        <f t="shared" si="39"/>
        <v>0</v>
      </c>
      <c r="BV48" s="1" t="b">
        <f t="shared" si="40"/>
        <v>1</v>
      </c>
      <c r="CH48" s="2"/>
    </row>
    <row r="49" spans="1:86" x14ac:dyDescent="0.25">
      <c r="A49">
        <f t="shared" si="8"/>
        <v>2001</v>
      </c>
      <c r="B49" s="2">
        <f t="shared" si="20"/>
        <v>46521.731878214319</v>
      </c>
      <c r="C49" s="2"/>
      <c r="D49" s="2">
        <f t="shared" si="51"/>
        <v>50320.591517233552</v>
      </c>
      <c r="E49" s="2">
        <f t="shared" si="52"/>
        <v>19877.818497557862</v>
      </c>
      <c r="F49" s="2"/>
      <c r="G49" s="2">
        <f t="shared" si="22"/>
        <v>18528.375394984527</v>
      </c>
      <c r="H49" s="2">
        <f t="shared" si="23"/>
        <v>43543.608375304852</v>
      </c>
      <c r="I49" s="2">
        <f t="shared" si="41"/>
        <v>178792.1256632951</v>
      </c>
      <c r="J49" s="2">
        <f t="shared" si="24"/>
        <v>-13131.524779233383</v>
      </c>
      <c r="K49" s="6">
        <f t="shared" si="25"/>
        <v>-6.8420565933147548E-2</v>
      </c>
      <c r="L49" s="7">
        <f t="shared" si="26"/>
        <v>0.9315794340668524</v>
      </c>
      <c r="N49">
        <f t="shared" si="27"/>
        <v>2001</v>
      </c>
      <c r="O49" s="2">
        <f t="shared" si="28"/>
        <v>5923.1057512125835</v>
      </c>
      <c r="P49" s="2"/>
      <c r="Q49" s="2"/>
      <c r="R49">
        <f t="shared" si="29"/>
        <v>2001</v>
      </c>
      <c r="S49" s="2">
        <f t="shared" si="46"/>
        <v>45337.110727971805</v>
      </c>
      <c r="T49" s="2"/>
      <c r="U49" s="2">
        <f t="shared" si="53"/>
        <v>49135.970366991038</v>
      </c>
      <c r="V49" s="2">
        <f t="shared" si="54"/>
        <v>18693.197347315345</v>
      </c>
      <c r="W49" s="2"/>
      <c r="X49" s="2">
        <f t="shared" si="47"/>
        <v>17343.754244742009</v>
      </c>
      <c r="Y49" s="2">
        <f t="shared" si="48"/>
        <v>42358.987225062338</v>
      </c>
      <c r="Z49" s="2">
        <f t="shared" si="44"/>
        <v>172869.01991208253</v>
      </c>
      <c r="AA49" s="2">
        <f t="shared" si="30"/>
        <v>-13224.802035157976</v>
      </c>
      <c r="AB49" s="6">
        <f t="shared" si="31"/>
        <v>-7.1065239548400175E-2</v>
      </c>
      <c r="AC49" s="7">
        <f t="shared" si="32"/>
        <v>0.92893476045159984</v>
      </c>
      <c r="AD49" s="2">
        <f t="shared" si="45"/>
        <v>0</v>
      </c>
      <c r="AE49" s="2"/>
      <c r="AG49">
        <f t="shared" si="13"/>
        <v>2001</v>
      </c>
      <c r="AH49" s="6">
        <f t="shared" si="6"/>
        <v>0.26226278572661132</v>
      </c>
      <c r="AI49" s="6">
        <f t="shared" si="6"/>
        <v>0</v>
      </c>
      <c r="AJ49" s="7"/>
      <c r="AK49" s="7"/>
      <c r="AL49" s="6"/>
      <c r="AM49" s="6">
        <f t="shared" si="7"/>
        <v>0.10032887473743225</v>
      </c>
      <c r="AN49" s="6">
        <f t="shared" si="14"/>
        <v>0.24503515578792087</v>
      </c>
      <c r="AO49" s="6">
        <f t="shared" si="33"/>
        <v>0.60762681625196446</v>
      </c>
      <c r="AP49" s="7">
        <f t="shared" si="34"/>
        <v>0.36259166046404356</v>
      </c>
      <c r="AQ49" s="7">
        <f t="shared" si="35"/>
        <v>0</v>
      </c>
      <c r="AR49" s="7"/>
      <c r="AS49">
        <f t="shared" si="36"/>
        <v>2001</v>
      </c>
      <c r="AT49" s="2">
        <f t="shared" ref="AT49" si="57">S49</f>
        <v>45337.110727971805</v>
      </c>
      <c r="AU49" s="2"/>
      <c r="AV49" s="2">
        <f t="shared" ref="AV49" si="58">U49</f>
        <v>49135.970366991038</v>
      </c>
      <c r="AW49" s="2">
        <f t="shared" ref="AW49" si="59">V49</f>
        <v>18693.197347315345</v>
      </c>
      <c r="AX49" s="2"/>
      <c r="AY49" s="2">
        <f t="shared" si="16"/>
        <v>17343.754244742009</v>
      </c>
      <c r="AZ49" s="2">
        <f t="shared" ref="AZ49" si="60">Y49</f>
        <v>42358.987225062338</v>
      </c>
      <c r="BA49" s="2">
        <f t="shared" si="17"/>
        <v>172869.01991208253</v>
      </c>
      <c r="BB49" s="2">
        <f t="shared" si="18"/>
        <v>0</v>
      </c>
      <c r="BC49" s="2"/>
      <c r="BM49" s="24"/>
      <c r="BN49">
        <f t="shared" si="5"/>
        <v>2001</v>
      </c>
      <c r="BO49" s="1" t="b">
        <f t="shared" si="37"/>
        <v>0</v>
      </c>
      <c r="BP49" s="1" t="b">
        <f t="shared" si="38"/>
        <v>0</v>
      </c>
      <c r="BS49" s="1"/>
      <c r="BT49" s="1" t="b">
        <f t="shared" ref="BT49:BT64" si="61">AND((X49/$Z49)&gt;0.15,(X49/$Z49)&lt;0.25)</f>
        <v>0</v>
      </c>
      <c r="BU49" s="1" t="b">
        <f t="shared" si="39"/>
        <v>0</v>
      </c>
      <c r="BV49" s="1" t="b">
        <f t="shared" si="40"/>
        <v>1</v>
      </c>
      <c r="CH49" s="2"/>
    </row>
    <row r="50" spans="1:86" x14ac:dyDescent="0.25">
      <c r="A50">
        <f t="shared" si="8"/>
        <v>2002</v>
      </c>
      <c r="B50" s="2">
        <f t="shared" si="20"/>
        <v>35294.940701726046</v>
      </c>
      <c r="C50" s="2"/>
      <c r="D50" s="2">
        <f t="shared" si="51"/>
        <v>41958.187815780984</v>
      </c>
      <c r="E50" s="2">
        <f t="shared" si="52"/>
        <v>14950.445374435867</v>
      </c>
      <c r="F50" s="2"/>
      <c r="G50" s="2">
        <f t="shared" si="22"/>
        <v>14727.795792007571</v>
      </c>
      <c r="H50" s="2">
        <f t="shared" si="23"/>
        <v>45857.839569852484</v>
      </c>
      <c r="I50" s="2">
        <f t="shared" si="41"/>
        <v>152789.20925380295</v>
      </c>
      <c r="J50" s="2">
        <f t="shared" si="24"/>
        <v>-26002.916409492143</v>
      </c>
      <c r="K50" s="6">
        <f t="shared" si="25"/>
        <v>-0.14543658627596023</v>
      </c>
      <c r="L50" s="7">
        <f t="shared" si="26"/>
        <v>0.85456341372403977</v>
      </c>
      <c r="N50">
        <f t="shared" si="27"/>
        <v>2002</v>
      </c>
      <c r="O50" s="2">
        <f t="shared" si="28"/>
        <v>6071.1833949928978</v>
      </c>
      <c r="P50" s="2"/>
      <c r="Q50" s="2"/>
      <c r="R50">
        <f t="shared" si="29"/>
        <v>2002</v>
      </c>
      <c r="S50" s="2">
        <f t="shared" si="46"/>
        <v>34080.704022727463</v>
      </c>
      <c r="T50" s="2"/>
      <c r="U50" s="2">
        <f t="shared" si="53"/>
        <v>40743.951136782402</v>
      </c>
      <c r="V50" s="2">
        <f t="shared" si="54"/>
        <v>13736.208695437288</v>
      </c>
      <c r="W50" s="2"/>
      <c r="X50" s="2">
        <f>G50-($O50/5)</f>
        <v>13513.559113008992</v>
      </c>
      <c r="Y50" s="2">
        <f t="shared" si="48"/>
        <v>44643.602890853901</v>
      </c>
      <c r="Z50" s="2">
        <f t="shared" si="44"/>
        <v>146718.02585881006</v>
      </c>
      <c r="AA50" s="2">
        <f t="shared" si="30"/>
        <v>-26150.994053272472</v>
      </c>
      <c r="AB50" s="6">
        <f t="shared" si="31"/>
        <v>-0.15127634822348335</v>
      </c>
      <c r="AC50" s="7">
        <f t="shared" si="32"/>
        <v>0.84872365177651665</v>
      </c>
      <c r="AD50" s="2">
        <f t="shared" si="45"/>
        <v>0</v>
      </c>
      <c r="AE50" s="2"/>
      <c r="AG50">
        <f t="shared" si="13"/>
        <v>2002</v>
      </c>
      <c r="AH50" s="6">
        <f t="shared" si="6"/>
        <v>0.23228709508076442</v>
      </c>
      <c r="AI50" s="6">
        <f t="shared" si="6"/>
        <v>0</v>
      </c>
      <c r="AJ50" s="7"/>
      <c r="AK50" s="7"/>
      <c r="AL50" s="7"/>
      <c r="AM50" s="6">
        <f t="shared" si="7"/>
        <v>9.2105649826650371E-2</v>
      </c>
      <c r="AN50" s="6">
        <f t="shared" si="14"/>
        <v>0.3042816493033747</v>
      </c>
      <c r="AO50" s="6">
        <f t="shared" si="33"/>
        <v>0.62867439421078952</v>
      </c>
      <c r="AP50" s="7">
        <f t="shared" si="34"/>
        <v>0.32439274490741477</v>
      </c>
      <c r="AQ50" s="7">
        <f t="shared" si="35"/>
        <v>0</v>
      </c>
      <c r="AR50" s="7"/>
      <c r="AS50">
        <f t="shared" si="36"/>
        <v>2002</v>
      </c>
      <c r="AT50" s="40">
        <v>0</v>
      </c>
      <c r="AU50" s="62"/>
      <c r="AV50" s="40">
        <v>0</v>
      </c>
      <c r="AW50" s="40">
        <v>0</v>
      </c>
      <c r="AX50" s="62"/>
      <c r="AY50" s="40">
        <v>0</v>
      </c>
      <c r="AZ50" s="40">
        <f>Z50</f>
        <v>146718.02585881006</v>
      </c>
      <c r="BA50" s="2">
        <f t="shared" si="17"/>
        <v>146718.02585881006</v>
      </c>
      <c r="BB50" s="2">
        <f t="shared" si="18"/>
        <v>0</v>
      </c>
      <c r="BC50" s="2"/>
      <c r="BM50" s="24"/>
      <c r="BN50">
        <f t="shared" si="5"/>
        <v>2002</v>
      </c>
      <c r="BO50" s="28" t="b">
        <f t="shared" si="37"/>
        <v>1</v>
      </c>
      <c r="BP50" s="1" t="b">
        <f t="shared" si="38"/>
        <v>0</v>
      </c>
      <c r="BT50" s="1" t="b">
        <f t="shared" si="61"/>
        <v>0</v>
      </c>
      <c r="BU50" s="1" t="b">
        <f t="shared" si="39"/>
        <v>1</v>
      </c>
      <c r="BV50" s="1" t="b">
        <f t="shared" si="40"/>
        <v>1</v>
      </c>
      <c r="CH50" s="2"/>
    </row>
    <row r="51" spans="1:86" x14ac:dyDescent="0.25">
      <c r="A51">
        <f t="shared" si="8"/>
        <v>2003</v>
      </c>
      <c r="B51" s="2">
        <f t="shared" ref="B51:B64" si="62">AT50*(1+(B15/100))</f>
        <v>0</v>
      </c>
      <c r="C51" s="2"/>
      <c r="D51" s="2">
        <f t="shared" si="51"/>
        <v>0</v>
      </c>
      <c r="E51" s="2">
        <f t="shared" si="52"/>
        <v>0</v>
      </c>
      <c r="F51" s="2"/>
      <c r="G51" s="2">
        <f t="shared" ref="G51:G64" si="63">AY50*(1+(G15/100))</f>
        <v>0</v>
      </c>
      <c r="H51" s="2">
        <f t="shared" si="23"/>
        <v>152542.73148540483</v>
      </c>
      <c r="I51" s="2">
        <f t="shared" si="41"/>
        <v>152542.73148540483</v>
      </c>
      <c r="J51" s="2">
        <f t="shared" si="24"/>
        <v>-246.47776839812286</v>
      </c>
      <c r="K51" s="6">
        <f t="shared" si="25"/>
        <v>-1.6131883239783702E-3</v>
      </c>
      <c r="L51" s="7">
        <f t="shared" si="26"/>
        <v>0.99838681167602161</v>
      </c>
      <c r="N51">
        <f t="shared" si="27"/>
        <v>2003</v>
      </c>
      <c r="O51" s="2">
        <f t="shared" si="28"/>
        <v>6192.6070628927555</v>
      </c>
      <c r="P51" s="2"/>
      <c r="Q51" s="2"/>
      <c r="R51">
        <f t="shared" si="29"/>
        <v>2003</v>
      </c>
      <c r="S51" s="2">
        <f>B51-($O51/5)</f>
        <v>-1238.521412578551</v>
      </c>
      <c r="T51" s="2"/>
      <c r="U51" s="2">
        <f t="shared" si="53"/>
        <v>-1238.521412578551</v>
      </c>
      <c r="V51" s="2">
        <f t="shared" si="54"/>
        <v>-1238.521412578551</v>
      </c>
      <c r="W51" s="2"/>
      <c r="X51" s="2">
        <f>G51-($O51/5)</f>
        <v>-1238.521412578551</v>
      </c>
      <c r="Y51" s="2">
        <f>H51-($O51/5)</f>
        <v>151304.21007282627</v>
      </c>
      <c r="Z51" s="2">
        <f t="shared" si="44"/>
        <v>146350.12442251208</v>
      </c>
      <c r="AA51" s="2">
        <f t="shared" si="30"/>
        <v>-367.90143629797967</v>
      </c>
      <c r="AB51" s="6">
        <f t="shared" si="31"/>
        <v>-2.5075408024643081E-3</v>
      </c>
      <c r="AC51" s="7">
        <f t="shared" si="32"/>
        <v>0.99749245919753571</v>
      </c>
      <c r="AD51" s="2">
        <f t="shared" si="45"/>
        <v>0</v>
      </c>
      <c r="AE51" s="2"/>
      <c r="AG51">
        <f t="shared" si="13"/>
        <v>2003</v>
      </c>
      <c r="AH51" s="6">
        <f t="shared" si="6"/>
        <v>-8.4627287982546977E-3</v>
      </c>
      <c r="AI51" s="7"/>
      <c r="AJ51" s="6">
        <f t="shared" ref="AJ51:AK64" si="64">U51/$Z51</f>
        <v>-8.4627287982546977E-3</v>
      </c>
      <c r="AK51" s="6">
        <f t="shared" si="64"/>
        <v>-8.4627287982546977E-3</v>
      </c>
      <c r="AL51" s="7"/>
      <c r="AM51" s="6">
        <f t="shared" si="7"/>
        <v>-8.4627287982546977E-3</v>
      </c>
      <c r="AN51" s="6">
        <f t="shared" si="14"/>
        <v>1.0338509151930189</v>
      </c>
      <c r="AO51" s="6">
        <f t="shared" si="33"/>
        <v>1</v>
      </c>
      <c r="AP51" s="7">
        <f t="shared" si="34"/>
        <v>-3.3850915193018791E-2</v>
      </c>
      <c r="AQ51" s="7">
        <f t="shared" si="35"/>
        <v>0</v>
      </c>
      <c r="AR51" s="7"/>
      <c r="AS51">
        <f t="shared" si="36"/>
        <v>2003</v>
      </c>
      <c r="AT51" s="40">
        <f>$Z51*AT39</f>
        <v>29270.024884502418</v>
      </c>
      <c r="AU51" s="62"/>
      <c r="AV51" s="40">
        <f>$Z51*AV39</f>
        <v>29270.024884502418</v>
      </c>
      <c r="AW51" s="40">
        <f>$Z51*AW39</f>
        <v>14635.012442251209</v>
      </c>
      <c r="AX51" s="62"/>
      <c r="AY51" s="40">
        <f>$Z51*AY39</f>
        <v>29270.024884502418</v>
      </c>
      <c r="AZ51" s="40">
        <f>$Z51*AZ39</f>
        <v>43905.03732675362</v>
      </c>
      <c r="BA51" s="2">
        <f t="shared" si="17"/>
        <v>146350.12442251208</v>
      </c>
      <c r="BB51" s="2">
        <f t="shared" si="18"/>
        <v>0</v>
      </c>
      <c r="BC51" s="2"/>
      <c r="BM51" s="24"/>
      <c r="BN51">
        <f t="shared" si="5"/>
        <v>2003</v>
      </c>
      <c r="BO51" s="1" t="b">
        <f t="shared" si="37"/>
        <v>0</v>
      </c>
      <c r="BQ51" s="1" t="b">
        <f>AND((U51/$Z51)&gt;0.15,(U51/$Z51)&lt;0.25)</f>
        <v>0</v>
      </c>
      <c r="BR51" s="1" t="b">
        <f>AND((V51/$Z51)&gt;0.05,(V51/$Z51)&lt;0.15)</f>
        <v>0</v>
      </c>
      <c r="BT51" s="1" t="b">
        <f t="shared" si="61"/>
        <v>0</v>
      </c>
      <c r="BU51" s="1" t="b">
        <f t="shared" si="39"/>
        <v>0</v>
      </c>
      <c r="BV51" s="1" t="b">
        <f t="shared" si="40"/>
        <v>1</v>
      </c>
      <c r="CH51" s="2"/>
    </row>
    <row r="52" spans="1:86" x14ac:dyDescent="0.25">
      <c r="A52">
        <f t="shared" si="8"/>
        <v>2004</v>
      </c>
      <c r="B52" s="2">
        <f t="shared" si="62"/>
        <v>32413.625557097977</v>
      </c>
      <c r="C52" s="2"/>
      <c r="D52" s="2">
        <f t="shared" ref="D52:D64" si="65">AV51*(1+(D16/100))</f>
        <v>35227.353049245197</v>
      </c>
      <c r="E52" s="2">
        <f t="shared" ref="E52:E64" si="66">AW51*(1+(E16/100))</f>
        <v>17546.940867885933</v>
      </c>
      <c r="F52" s="2"/>
      <c r="G52" s="2">
        <f t="shared" si="63"/>
        <v>35369.019969686182</v>
      </c>
      <c r="H52" s="2">
        <f t="shared" si="23"/>
        <v>45766.610909407973</v>
      </c>
      <c r="I52" s="2">
        <f t="shared" si="41"/>
        <v>166323.55035332328</v>
      </c>
      <c r="J52" s="2">
        <f t="shared" si="24"/>
        <v>13780.818867918453</v>
      </c>
      <c r="K52" s="6">
        <f t="shared" si="25"/>
        <v>9.0340711312338021E-2</v>
      </c>
      <c r="L52" s="7">
        <f t="shared" si="26"/>
        <v>1.090340711312338</v>
      </c>
      <c r="N52">
        <f t="shared" si="27"/>
        <v>2004</v>
      </c>
      <c r="O52" s="2">
        <f t="shared" si="28"/>
        <v>6396.9630959682163</v>
      </c>
      <c r="P52" s="2"/>
      <c r="Q52" s="2"/>
      <c r="R52">
        <f t="shared" si="29"/>
        <v>2004</v>
      </c>
      <c r="S52" s="2">
        <f t="shared" ref="S52:S61" si="67">B52-($O52/5)</f>
        <v>31134.232937904333</v>
      </c>
      <c r="T52" s="2"/>
      <c r="U52" s="2">
        <f t="shared" si="53"/>
        <v>33947.960430051557</v>
      </c>
      <c r="V52" s="2">
        <f t="shared" si="54"/>
        <v>16267.54824869229</v>
      </c>
      <c r="W52" s="2"/>
      <c r="X52" s="2">
        <f t="shared" ref="X52:X61" si="68">G52-($O52/5)</f>
        <v>34089.627350492541</v>
      </c>
      <c r="Y52" s="2">
        <f t="shared" ref="Y52:Y61" si="69">H52-($O52/5)</f>
        <v>44487.218290214332</v>
      </c>
      <c r="Z52" s="2">
        <f t="shared" si="44"/>
        <v>159926.58725735504</v>
      </c>
      <c r="AA52" s="2">
        <f t="shared" si="30"/>
        <v>13576.462834842969</v>
      </c>
      <c r="AB52" s="6">
        <f t="shared" si="31"/>
        <v>9.276700575701452E-2</v>
      </c>
      <c r="AC52" s="7">
        <f t="shared" si="32"/>
        <v>1.0927670057570145</v>
      </c>
      <c r="AD52" s="2">
        <f t="shared" si="45"/>
        <v>0</v>
      </c>
      <c r="AE52" s="2"/>
      <c r="AG52">
        <f t="shared" si="13"/>
        <v>2004</v>
      </c>
      <c r="AH52" s="6">
        <f t="shared" si="6"/>
        <v>0.19467828002734089</v>
      </c>
      <c r="AI52" s="7"/>
      <c r="AJ52" s="6">
        <f t="shared" si="64"/>
        <v>0.21227214944205774</v>
      </c>
      <c r="AK52" s="6">
        <f t="shared" si="64"/>
        <v>0.1017188481769728</v>
      </c>
      <c r="AL52" s="7"/>
      <c r="AM52" s="6">
        <f t="shared" si="7"/>
        <v>0.21315797413744134</v>
      </c>
      <c r="AN52" s="6">
        <f t="shared" si="14"/>
        <v>0.27817274821618732</v>
      </c>
      <c r="AO52" s="6">
        <f t="shared" si="33"/>
        <v>1</v>
      </c>
      <c r="AP52" s="7">
        <f t="shared" si="34"/>
        <v>0.7218272517838128</v>
      </c>
      <c r="AQ52" s="7">
        <f t="shared" si="35"/>
        <v>0</v>
      </c>
      <c r="AR52" s="7"/>
      <c r="AS52">
        <f t="shared" si="36"/>
        <v>2004</v>
      </c>
      <c r="AT52" s="2">
        <f t="shared" ref="AT52" si="70">S52</f>
        <v>31134.232937904333</v>
      </c>
      <c r="AU52" s="62"/>
      <c r="AV52" s="2">
        <f t="shared" ref="AV52" si="71">U52</f>
        <v>33947.960430051557</v>
      </c>
      <c r="AW52" s="2">
        <f t="shared" ref="AW52" si="72">V52</f>
        <v>16267.54824869229</v>
      </c>
      <c r="AX52" s="62"/>
      <c r="AY52" s="2">
        <f t="shared" ref="AY52" si="73">X52</f>
        <v>34089.627350492541</v>
      </c>
      <c r="AZ52" s="2">
        <f t="shared" ref="AZ52" si="74">Y52</f>
        <v>44487.218290214332</v>
      </c>
      <c r="BA52" s="2">
        <f t="shared" si="17"/>
        <v>159926.58725735504</v>
      </c>
      <c r="BB52" s="2">
        <f t="shared" si="18"/>
        <v>0</v>
      </c>
      <c r="BC52" s="2"/>
      <c r="BM52" s="24"/>
      <c r="BN52">
        <f t="shared" si="5"/>
        <v>2004</v>
      </c>
      <c r="BO52" s="1" t="b">
        <f t="shared" si="37"/>
        <v>1</v>
      </c>
      <c r="BQ52" s="1" t="b">
        <f t="shared" ref="BQ52:BQ64" si="75">AND((U52/$Z52)&gt;0.15,(U52/$Z52)&lt;0.25)</f>
        <v>1</v>
      </c>
      <c r="BR52" s="1" t="b">
        <f t="shared" ref="BR52:BR64" si="76">AND((V52/$Z52)&gt;0.05,(V52/$Z52)&lt;0.15)</f>
        <v>1</v>
      </c>
      <c r="BT52" s="1" t="b">
        <f t="shared" si="61"/>
        <v>1</v>
      </c>
      <c r="BU52" s="1" t="b">
        <f t="shared" si="39"/>
        <v>1</v>
      </c>
      <c r="BV52" s="1" t="b">
        <f t="shared" si="40"/>
        <v>1</v>
      </c>
      <c r="CH52" s="2"/>
    </row>
    <row r="53" spans="1:86" x14ac:dyDescent="0.25">
      <c r="A53">
        <f t="shared" si="8"/>
        <v>2005</v>
      </c>
      <c r="B53" s="2">
        <f t="shared" si="62"/>
        <v>32619.335849042371</v>
      </c>
      <c r="C53" s="2"/>
      <c r="D53" s="2">
        <f t="shared" si="65"/>
        <v>38677.250797562039</v>
      </c>
      <c r="E53" s="2">
        <f t="shared" si="66"/>
        <v>17465.327826243505</v>
      </c>
      <c r="F53" s="2"/>
      <c r="G53" s="2">
        <f t="shared" si="63"/>
        <v>39397.723225237736</v>
      </c>
      <c r="H53" s="2">
        <f t="shared" si="23"/>
        <v>45554.911529179481</v>
      </c>
      <c r="I53" s="2">
        <f t="shared" si="41"/>
        <v>173714.54922726515</v>
      </c>
      <c r="J53" s="2">
        <f t="shared" si="24"/>
        <v>7390.9988739418623</v>
      </c>
      <c r="K53" s="6">
        <f t="shared" si="25"/>
        <v>4.4437476582486771E-2</v>
      </c>
      <c r="L53" s="7">
        <f t="shared" si="26"/>
        <v>1.0444374765824869</v>
      </c>
      <c r="N53">
        <f t="shared" si="27"/>
        <v>2005</v>
      </c>
      <c r="O53" s="2">
        <f t="shared" si="28"/>
        <v>6608.062878135167</v>
      </c>
      <c r="P53" s="2"/>
      <c r="Q53" s="2"/>
      <c r="R53">
        <f t="shared" si="29"/>
        <v>2005</v>
      </c>
      <c r="S53" s="2">
        <f t="shared" si="67"/>
        <v>31297.723273415337</v>
      </c>
      <c r="T53" s="2"/>
      <c r="U53" s="2">
        <f t="shared" ref="U53:U61" si="77">D53-($O53/5)</f>
        <v>37355.638221935005</v>
      </c>
      <c r="V53" s="2">
        <f t="shared" ref="V53:V61" si="78">E53-($O53/5)</f>
        <v>16143.715250616471</v>
      </c>
      <c r="W53" s="2"/>
      <c r="X53" s="2">
        <f t="shared" si="68"/>
        <v>38076.110649610702</v>
      </c>
      <c r="Y53" s="2">
        <f t="shared" si="69"/>
        <v>44233.298953552447</v>
      </c>
      <c r="Z53" s="2">
        <f t="shared" si="44"/>
        <v>167106.48634912996</v>
      </c>
      <c r="AA53" s="2">
        <f t="shared" si="30"/>
        <v>7179.8990917749179</v>
      </c>
      <c r="AB53" s="6">
        <f t="shared" si="31"/>
        <v>4.489496846588098E-2</v>
      </c>
      <c r="AC53" s="7">
        <f t="shared" si="32"/>
        <v>1.044894968465881</v>
      </c>
      <c r="AD53" s="2">
        <f t="shared" si="45"/>
        <v>0</v>
      </c>
      <c r="AE53" s="2"/>
      <c r="AG53">
        <f t="shared" si="13"/>
        <v>2005</v>
      </c>
      <c r="AH53" s="6">
        <f t="shared" si="6"/>
        <v>0.18729209115214149</v>
      </c>
      <c r="AI53" s="7"/>
      <c r="AJ53" s="6">
        <f t="shared" si="64"/>
        <v>0.22354391524868236</v>
      </c>
      <c r="AK53" s="6">
        <f t="shared" si="64"/>
        <v>9.6607352612800138E-2</v>
      </c>
      <c r="AL53" s="7"/>
      <c r="AM53" s="6">
        <f t="shared" si="7"/>
        <v>0.22785537223288607</v>
      </c>
      <c r="AN53" s="6">
        <f t="shared" si="14"/>
        <v>0.26470126875348993</v>
      </c>
      <c r="AO53" s="6">
        <f t="shared" si="33"/>
        <v>1</v>
      </c>
      <c r="AP53" s="7">
        <f t="shared" si="34"/>
        <v>0.73529873124651013</v>
      </c>
      <c r="AQ53" s="7">
        <f t="shared" si="35"/>
        <v>0</v>
      </c>
      <c r="AR53" s="7"/>
      <c r="AS53">
        <f t="shared" si="36"/>
        <v>2005</v>
      </c>
      <c r="AT53" s="2">
        <f t="shared" ref="AT53:AT61" si="79">S53</f>
        <v>31297.723273415337</v>
      </c>
      <c r="AU53" s="62"/>
      <c r="AV53" s="2">
        <f t="shared" ref="AV53:AV61" si="80">U53</f>
        <v>37355.638221935005</v>
      </c>
      <c r="AW53" s="2">
        <f t="shared" ref="AW53:AW61" si="81">V53</f>
        <v>16143.715250616471</v>
      </c>
      <c r="AX53" s="62"/>
      <c r="AY53" s="2">
        <f t="shared" ref="AY53:AY61" si="82">X53</f>
        <v>38076.110649610702</v>
      </c>
      <c r="AZ53" s="2">
        <f t="shared" ref="AZ53:AZ61" si="83">Y53</f>
        <v>44233.298953552447</v>
      </c>
      <c r="BA53" s="2">
        <f t="shared" si="17"/>
        <v>167106.48634912996</v>
      </c>
      <c r="BB53" s="2">
        <f t="shared" si="18"/>
        <v>0</v>
      </c>
      <c r="BC53" s="2"/>
      <c r="BM53" s="24"/>
      <c r="BN53">
        <f t="shared" si="5"/>
        <v>2005</v>
      </c>
      <c r="BO53" s="1" t="b">
        <f t="shared" si="37"/>
        <v>1</v>
      </c>
      <c r="BQ53" s="1" t="b">
        <f t="shared" si="75"/>
        <v>1</v>
      </c>
      <c r="BR53" s="1" t="b">
        <f t="shared" si="76"/>
        <v>1</v>
      </c>
      <c r="BT53" s="1" t="b">
        <f t="shared" si="61"/>
        <v>1</v>
      </c>
      <c r="BU53" s="1" t="b">
        <f t="shared" si="39"/>
        <v>1</v>
      </c>
      <c r="BV53" s="1" t="b">
        <f t="shared" si="40"/>
        <v>1</v>
      </c>
      <c r="CH53" s="2"/>
    </row>
    <row r="54" spans="1:86" x14ac:dyDescent="0.25">
      <c r="A54">
        <f t="shared" si="8"/>
        <v>2006</v>
      </c>
      <c r="B54" s="2">
        <f t="shared" si="62"/>
        <v>36192.687193377496</v>
      </c>
      <c r="C54" s="2"/>
      <c r="D54" s="2">
        <f t="shared" si="65"/>
        <v>42434.884350971508</v>
      </c>
      <c r="E54" s="2">
        <f t="shared" si="66"/>
        <v>18671.175310252987</v>
      </c>
      <c r="F54" s="2"/>
      <c r="G54" s="2">
        <f t="shared" si="63"/>
        <v>48218.444243347505</v>
      </c>
      <c r="H54" s="2">
        <f t="shared" si="23"/>
        <v>46122.060818869133</v>
      </c>
      <c r="I54" s="2">
        <f t="shared" si="41"/>
        <v>191639.25191681864</v>
      </c>
      <c r="J54" s="2">
        <f t="shared" si="24"/>
        <v>17924.702689553495</v>
      </c>
      <c r="K54" s="6">
        <f t="shared" si="25"/>
        <v>0.10318480961605112</v>
      </c>
      <c r="L54" s="7">
        <f t="shared" si="26"/>
        <v>1.103184809616051</v>
      </c>
      <c r="N54">
        <f t="shared" si="27"/>
        <v>2006</v>
      </c>
      <c r="O54" s="2">
        <f t="shared" si="28"/>
        <v>6773.2644500885453</v>
      </c>
      <c r="P54" s="2"/>
      <c r="Q54" s="2"/>
      <c r="R54">
        <f t="shared" si="29"/>
        <v>2006</v>
      </c>
      <c r="S54" s="2">
        <f t="shared" si="67"/>
        <v>34838.034303359789</v>
      </c>
      <c r="T54" s="2"/>
      <c r="U54" s="2">
        <f t="shared" si="77"/>
        <v>41080.231460953801</v>
      </c>
      <c r="V54" s="2">
        <f t="shared" si="78"/>
        <v>17316.522420235277</v>
      </c>
      <c r="W54" s="2"/>
      <c r="X54" s="2">
        <f t="shared" si="68"/>
        <v>46863.791353329798</v>
      </c>
      <c r="Y54" s="2">
        <f t="shared" si="69"/>
        <v>44767.407928851426</v>
      </c>
      <c r="Z54" s="2">
        <f t="shared" si="44"/>
        <v>184865.98746673012</v>
      </c>
      <c r="AA54" s="2">
        <f t="shared" si="30"/>
        <v>17759.501117600157</v>
      </c>
      <c r="AB54" s="6">
        <f t="shared" si="31"/>
        <v>0.10627655159055782</v>
      </c>
      <c r="AC54" s="7">
        <f t="shared" si="32"/>
        <v>1.1062765515905579</v>
      </c>
      <c r="AD54" s="2">
        <f t="shared" si="45"/>
        <v>0</v>
      </c>
      <c r="AE54" s="2"/>
      <c r="AG54">
        <f t="shared" si="13"/>
        <v>2006</v>
      </c>
      <c r="AH54" s="59">
        <f t="shared" si="6"/>
        <v>0.18845021077568153</v>
      </c>
      <c r="AI54" s="60"/>
      <c r="AJ54" s="59">
        <f t="shared" si="64"/>
        <v>0.22221627690354295</v>
      </c>
      <c r="AK54" s="59">
        <f t="shared" si="64"/>
        <v>9.3670678189797837E-2</v>
      </c>
      <c r="AL54" s="60"/>
      <c r="AM54" s="59">
        <f t="shared" si="7"/>
        <v>0.25350142552190008</v>
      </c>
      <c r="AN54" s="59">
        <f t="shared" si="14"/>
        <v>0.24216140860907748</v>
      </c>
      <c r="AO54" s="6">
        <f t="shared" si="33"/>
        <v>1</v>
      </c>
      <c r="AP54" s="7">
        <f t="shared" si="34"/>
        <v>0.75783859139092247</v>
      </c>
      <c r="AQ54" s="7">
        <f t="shared" si="35"/>
        <v>0</v>
      </c>
      <c r="AR54" s="7"/>
      <c r="AS54">
        <f t="shared" si="36"/>
        <v>2006</v>
      </c>
      <c r="AT54" s="2">
        <f t="shared" si="79"/>
        <v>34838.034303359789</v>
      </c>
      <c r="AU54" s="62"/>
      <c r="AV54" s="2">
        <f t="shared" si="80"/>
        <v>41080.231460953801</v>
      </c>
      <c r="AW54" s="2">
        <f t="shared" si="81"/>
        <v>17316.522420235277</v>
      </c>
      <c r="AX54" s="62"/>
      <c r="AY54" s="2">
        <f t="shared" si="82"/>
        <v>46863.791353329798</v>
      </c>
      <c r="AZ54" s="2">
        <f t="shared" si="83"/>
        <v>44767.407928851426</v>
      </c>
      <c r="BA54" s="2">
        <f t="shared" si="17"/>
        <v>184865.98746673012</v>
      </c>
      <c r="BB54" s="2">
        <f t="shared" si="18"/>
        <v>0</v>
      </c>
      <c r="BC54" s="2"/>
      <c r="BM54" s="24"/>
      <c r="BN54">
        <f t="shared" si="5"/>
        <v>2006</v>
      </c>
      <c r="BO54" s="28" t="b">
        <f t="shared" si="37"/>
        <v>1</v>
      </c>
      <c r="BQ54" s="1" t="b">
        <f t="shared" si="75"/>
        <v>1</v>
      </c>
      <c r="BR54" s="1" t="b">
        <f t="shared" si="76"/>
        <v>1</v>
      </c>
      <c r="BT54" s="28" t="b">
        <f t="shared" si="61"/>
        <v>0</v>
      </c>
      <c r="BU54" s="28" t="b">
        <f t="shared" si="39"/>
        <v>0</v>
      </c>
      <c r="BV54" s="1" t="b">
        <f t="shared" si="40"/>
        <v>1</v>
      </c>
      <c r="CH54" s="2"/>
    </row>
    <row r="55" spans="1:86" x14ac:dyDescent="0.25">
      <c r="A55">
        <f t="shared" si="8"/>
        <v>2007</v>
      </c>
      <c r="B55" s="2">
        <f t="shared" si="62"/>
        <v>36715.804352310886</v>
      </c>
      <c r="C55" s="2"/>
      <c r="D55" s="2">
        <f t="shared" si="65"/>
        <v>43553.672197217835</v>
      </c>
      <c r="E55" s="2">
        <f t="shared" si="66"/>
        <v>17516.701419413195</v>
      </c>
      <c r="F55" s="2"/>
      <c r="G55" s="2">
        <f t="shared" si="63"/>
        <v>54137.989047193645</v>
      </c>
      <c r="H55" s="2">
        <f t="shared" si="23"/>
        <v>47865.312557527941</v>
      </c>
      <c r="I55" s="2">
        <f t="shared" si="41"/>
        <v>199789.4795736635</v>
      </c>
      <c r="J55" s="2">
        <f t="shared" si="24"/>
        <v>8150.2276568448578</v>
      </c>
      <c r="K55" s="6">
        <f t="shared" si="25"/>
        <v>4.2529009977467863E-2</v>
      </c>
      <c r="L55" s="7">
        <f t="shared" si="26"/>
        <v>1.0425290099774678</v>
      </c>
      <c r="N55">
        <f t="shared" si="27"/>
        <v>2007</v>
      </c>
      <c r="O55" s="2">
        <f t="shared" si="28"/>
        <v>7050.9682925421748</v>
      </c>
      <c r="P55" s="2"/>
      <c r="Q55" s="2"/>
      <c r="R55">
        <f t="shared" si="29"/>
        <v>2007</v>
      </c>
      <c r="S55" s="2">
        <f t="shared" si="67"/>
        <v>35305.610693802453</v>
      </c>
      <c r="T55" s="2"/>
      <c r="U55" s="2">
        <f t="shared" si="77"/>
        <v>42143.478538709402</v>
      </c>
      <c r="V55" s="2">
        <f t="shared" si="78"/>
        <v>16106.50776090476</v>
      </c>
      <c r="W55" s="2"/>
      <c r="X55" s="2">
        <f t="shared" si="68"/>
        <v>52727.795388685212</v>
      </c>
      <c r="Y55" s="2">
        <f t="shared" si="69"/>
        <v>46455.118899019508</v>
      </c>
      <c r="Z55" s="2">
        <f t="shared" si="44"/>
        <v>192738.51128112135</v>
      </c>
      <c r="AA55" s="2">
        <f t="shared" si="30"/>
        <v>7872.5238143912284</v>
      </c>
      <c r="AB55" s="6">
        <f t="shared" si="31"/>
        <v>4.2585031039352371E-2</v>
      </c>
      <c r="AC55" s="7">
        <f t="shared" si="32"/>
        <v>1.0425850310393523</v>
      </c>
      <c r="AD55" s="2">
        <f t="shared" si="45"/>
        <v>0</v>
      </c>
      <c r="AE55" s="2"/>
      <c r="AG55">
        <f t="shared" si="13"/>
        <v>2007</v>
      </c>
      <c r="AH55" s="59">
        <f t="shared" ref="AH55:AH64" si="84">S55/$Z55</f>
        <v>0.1831788076971653</v>
      </c>
      <c r="AI55" s="60"/>
      <c r="AJ55" s="59">
        <f t="shared" si="64"/>
        <v>0.21865624186149527</v>
      </c>
      <c r="AK55" s="59">
        <f t="shared" si="64"/>
        <v>8.3566629491147182E-2</v>
      </c>
      <c r="AL55" s="60"/>
      <c r="AM55" s="59">
        <f t="shared" ref="AM55:AM64" si="85">X55/$Z55</f>
        <v>0.27357166472962102</v>
      </c>
      <c r="AN55" s="59">
        <f t="shared" si="14"/>
        <v>0.24102665622057115</v>
      </c>
      <c r="AO55" s="6">
        <f t="shared" si="33"/>
        <v>1</v>
      </c>
      <c r="AP55" s="7">
        <f t="shared" si="34"/>
        <v>0.75897334377942882</v>
      </c>
      <c r="AQ55" s="7">
        <f t="shared" si="35"/>
        <v>0</v>
      </c>
      <c r="AR55" s="7"/>
      <c r="AS55">
        <f t="shared" si="36"/>
        <v>2007</v>
      </c>
      <c r="AT55" s="2">
        <f t="shared" si="79"/>
        <v>35305.610693802453</v>
      </c>
      <c r="AU55" s="62"/>
      <c r="AV55" s="2">
        <f t="shared" si="80"/>
        <v>42143.478538709402</v>
      </c>
      <c r="AW55" s="2">
        <f t="shared" si="81"/>
        <v>16106.50776090476</v>
      </c>
      <c r="AX55" s="62"/>
      <c r="AY55" s="2">
        <f t="shared" si="82"/>
        <v>52727.795388685212</v>
      </c>
      <c r="AZ55" s="2">
        <f t="shared" si="83"/>
        <v>46455.118899019508</v>
      </c>
      <c r="BA55" s="2">
        <f t="shared" si="17"/>
        <v>192738.51128112135</v>
      </c>
      <c r="BB55" s="2">
        <f t="shared" si="18"/>
        <v>0</v>
      </c>
      <c r="BC55" s="2"/>
      <c r="BM55" s="24"/>
      <c r="BN55">
        <f t="shared" si="5"/>
        <v>2007</v>
      </c>
      <c r="BO55" s="1" t="b">
        <f t="shared" si="37"/>
        <v>1</v>
      </c>
      <c r="BQ55" s="1" t="b">
        <f t="shared" si="75"/>
        <v>1</v>
      </c>
      <c r="BR55" s="1" t="b">
        <f t="shared" si="76"/>
        <v>1</v>
      </c>
      <c r="BT55" s="1" t="b">
        <f t="shared" si="61"/>
        <v>0</v>
      </c>
      <c r="BU55" s="28" t="b">
        <f t="shared" si="39"/>
        <v>0</v>
      </c>
      <c r="BV55" s="1" t="b">
        <f t="shared" si="40"/>
        <v>1</v>
      </c>
      <c r="CH55" s="2"/>
    </row>
    <row r="56" spans="1:86" x14ac:dyDescent="0.25">
      <c r="A56">
        <f t="shared" si="8"/>
        <v>2008</v>
      </c>
      <c r="B56" s="2">
        <f t="shared" si="62"/>
        <v>22235.473614956783</v>
      </c>
      <c r="C56" s="2"/>
      <c r="D56" s="2">
        <f t="shared" si="65"/>
        <v>24517.390074679584</v>
      </c>
      <c r="E56" s="2">
        <f t="shared" si="66"/>
        <v>10296.890411546414</v>
      </c>
      <c r="F56" s="2"/>
      <c r="G56" s="2">
        <f t="shared" si="63"/>
        <v>29474.310344321148</v>
      </c>
      <c r="H56" s="2">
        <f t="shared" si="23"/>
        <v>48801.102403419995</v>
      </c>
      <c r="I56" s="2">
        <f t="shared" si="41"/>
        <v>135325.16684892392</v>
      </c>
      <c r="J56" s="2">
        <f>I56-I55</f>
        <v>-64464.312724739575</v>
      </c>
      <c r="K56" s="6">
        <f>(J56/I55)</f>
        <v>-0.32266119748798494</v>
      </c>
      <c r="L56" s="7">
        <f t="shared" si="26"/>
        <v>0.67733880251201506</v>
      </c>
      <c r="N56">
        <f t="shared" si="27"/>
        <v>2008</v>
      </c>
      <c r="O56" s="2">
        <f t="shared" si="28"/>
        <v>7050.9682925421748</v>
      </c>
      <c r="P56" s="2"/>
      <c r="Q56" s="2"/>
      <c r="R56">
        <f t="shared" si="29"/>
        <v>2008</v>
      </c>
      <c r="S56" s="2">
        <f t="shared" si="67"/>
        <v>20825.27995644835</v>
      </c>
      <c r="T56" s="2"/>
      <c r="U56" s="2">
        <f t="shared" si="77"/>
        <v>23107.196416171151</v>
      </c>
      <c r="V56" s="2">
        <f t="shared" si="78"/>
        <v>8886.6967530379789</v>
      </c>
      <c r="W56" s="2"/>
      <c r="X56" s="2">
        <f t="shared" si="68"/>
        <v>28064.116685812711</v>
      </c>
      <c r="Y56" s="2">
        <f t="shared" si="69"/>
        <v>47390.908744911561</v>
      </c>
      <c r="Z56" s="2">
        <f t="shared" si="44"/>
        <v>128274.19855638176</v>
      </c>
      <c r="AA56" s="2">
        <f>Z56-Z55</f>
        <v>-64464.31272473959</v>
      </c>
      <c r="AB56" s="6">
        <f>(AA56/Z55)</f>
        <v>-0.33446513774672826</v>
      </c>
      <c r="AC56" s="7">
        <f t="shared" si="32"/>
        <v>0.66553486225327174</v>
      </c>
      <c r="AD56" s="2">
        <f t="shared" si="45"/>
        <v>0</v>
      </c>
      <c r="AE56" s="2"/>
      <c r="AG56">
        <f t="shared" si="13"/>
        <v>2008</v>
      </c>
      <c r="AH56" s="59">
        <f t="shared" si="84"/>
        <v>0.16234971795434597</v>
      </c>
      <c r="AI56" s="60"/>
      <c r="AJ56" s="59">
        <f t="shared" si="64"/>
        <v>0.18013908234253823</v>
      </c>
      <c r="AK56" s="59">
        <f t="shared" si="64"/>
        <v>6.9278910747837666E-2</v>
      </c>
      <c r="AL56" s="60"/>
      <c r="AM56" s="59">
        <f t="shared" si="85"/>
        <v>0.21878224149244935</v>
      </c>
      <c r="AN56" s="59">
        <f t="shared" si="14"/>
        <v>0.36945004746282878</v>
      </c>
      <c r="AO56" s="6">
        <f t="shared" si="33"/>
        <v>1</v>
      </c>
      <c r="AP56" s="7">
        <f t="shared" si="34"/>
        <v>0.63054995253717117</v>
      </c>
      <c r="AQ56" s="7">
        <f t="shared" si="35"/>
        <v>0</v>
      </c>
      <c r="AR56" s="7"/>
      <c r="AS56">
        <f t="shared" si="36"/>
        <v>2008</v>
      </c>
      <c r="AT56" s="40">
        <v>0</v>
      </c>
      <c r="AU56" s="62"/>
      <c r="AV56" s="40">
        <v>0</v>
      </c>
      <c r="AW56" s="40">
        <v>0</v>
      </c>
      <c r="AX56" s="62"/>
      <c r="AY56" s="40">
        <v>0</v>
      </c>
      <c r="AZ56" s="40">
        <f>Z56</f>
        <v>128274.19855638176</v>
      </c>
      <c r="BA56" s="2">
        <f t="shared" ref="BA56:BA64" si="86">Z56</f>
        <v>128274.19855638176</v>
      </c>
      <c r="BB56" s="2">
        <f t="shared" si="18"/>
        <v>0</v>
      </c>
      <c r="BC56" s="2"/>
      <c r="BM56" s="24"/>
      <c r="BN56">
        <f t="shared" si="5"/>
        <v>2008</v>
      </c>
      <c r="BO56" s="1" t="b">
        <f t="shared" si="37"/>
        <v>1</v>
      </c>
      <c r="BQ56" s="1" t="b">
        <f t="shared" si="75"/>
        <v>1</v>
      </c>
      <c r="BR56" s="1" t="b">
        <f t="shared" si="76"/>
        <v>1</v>
      </c>
      <c r="BT56" s="1" t="b">
        <f t="shared" si="61"/>
        <v>1</v>
      </c>
      <c r="BU56" s="1" t="b">
        <f t="shared" si="39"/>
        <v>0</v>
      </c>
      <c r="BV56" s="1" t="b">
        <f t="shared" si="40"/>
        <v>1</v>
      </c>
      <c r="CH56" s="2"/>
    </row>
    <row r="57" spans="1:86" x14ac:dyDescent="0.25">
      <c r="A57">
        <f t="shared" si="8"/>
        <v>2009</v>
      </c>
      <c r="B57" s="2">
        <f t="shared" si="62"/>
        <v>0</v>
      </c>
      <c r="C57" s="2"/>
      <c r="D57" s="2">
        <f t="shared" si="65"/>
        <v>0</v>
      </c>
      <c r="E57" s="2">
        <f t="shared" si="66"/>
        <v>0</v>
      </c>
      <c r="F57" s="2"/>
      <c r="G57" s="2">
        <f t="shared" si="63"/>
        <v>0</v>
      </c>
      <c r="H57" s="2">
        <f t="shared" si="23"/>
        <v>135880.85853077518</v>
      </c>
      <c r="I57" s="2">
        <f t="shared" si="41"/>
        <v>135880.85853077518</v>
      </c>
      <c r="J57" s="2">
        <f t="shared" si="24"/>
        <v>555.69168185125454</v>
      </c>
      <c r="K57" s="6">
        <f t="shared" si="25"/>
        <v>4.1063439624029795E-3</v>
      </c>
      <c r="L57" s="7">
        <f t="shared" si="26"/>
        <v>1.0041063439624029</v>
      </c>
      <c r="N57">
        <f t="shared" si="27"/>
        <v>2009</v>
      </c>
      <c r="O57" s="2">
        <f t="shared" si="28"/>
        <v>7248.3954047333555</v>
      </c>
      <c r="P57" s="2"/>
      <c r="Q57" s="2"/>
      <c r="R57">
        <f t="shared" si="29"/>
        <v>2009</v>
      </c>
      <c r="S57" s="2">
        <f t="shared" si="67"/>
        <v>-1449.6790809466711</v>
      </c>
      <c r="T57" s="2"/>
      <c r="U57" s="2">
        <f t="shared" si="77"/>
        <v>-1449.6790809466711</v>
      </c>
      <c r="V57" s="2">
        <f t="shared" si="78"/>
        <v>-1449.6790809466711</v>
      </c>
      <c r="W57" s="2"/>
      <c r="X57" s="2">
        <f t="shared" si="68"/>
        <v>-1449.6790809466711</v>
      </c>
      <c r="Y57" s="2">
        <f t="shared" si="69"/>
        <v>134431.17944982852</v>
      </c>
      <c r="Z57" s="2">
        <f t="shared" si="44"/>
        <v>128632.46312604184</v>
      </c>
      <c r="AA57" s="2">
        <f t="shared" ref="AA57:AA64" si="87">Z57-Z56</f>
        <v>358.26456966008118</v>
      </c>
      <c r="AB57" s="6">
        <f t="shared" ref="AB57:AB64" si="88">(AA57/Z56)</f>
        <v>2.7929589402393286E-3</v>
      </c>
      <c r="AC57" s="7">
        <f t="shared" si="32"/>
        <v>1.0027929589402393</v>
      </c>
      <c r="AD57" s="2">
        <f t="shared" si="45"/>
        <v>0</v>
      </c>
      <c r="AE57" s="2"/>
      <c r="AG57">
        <f t="shared" si="13"/>
        <v>2009</v>
      </c>
      <c r="AH57" s="59">
        <f t="shared" si="84"/>
        <v>-1.1269931755300279E-2</v>
      </c>
      <c r="AI57" s="60"/>
      <c r="AJ57" s="59">
        <f t="shared" si="64"/>
        <v>-1.1269931755300279E-2</v>
      </c>
      <c r="AK57" s="59">
        <f t="shared" si="64"/>
        <v>-1.1269931755300279E-2</v>
      </c>
      <c r="AL57" s="60"/>
      <c r="AM57" s="59">
        <f t="shared" si="85"/>
        <v>-1.1269931755300279E-2</v>
      </c>
      <c r="AN57" s="59">
        <f t="shared" si="14"/>
        <v>1.0450797270212011</v>
      </c>
      <c r="AO57" s="6">
        <f t="shared" si="33"/>
        <v>1</v>
      </c>
      <c r="AP57" s="7">
        <f t="shared" si="34"/>
        <v>-4.5079727021201117E-2</v>
      </c>
      <c r="AQ57" s="7">
        <f t="shared" si="35"/>
        <v>0</v>
      </c>
      <c r="AR57" s="7"/>
      <c r="AS57">
        <f t="shared" si="36"/>
        <v>2009</v>
      </c>
      <c r="AT57" s="40">
        <f>AT$39*$Z57</f>
        <v>25726.492625208368</v>
      </c>
      <c r="AU57" s="62"/>
      <c r="AV57" s="40">
        <f>AV$39*$Z57</f>
        <v>25726.492625208368</v>
      </c>
      <c r="AW57" s="40">
        <f>AW$39*$Z57</f>
        <v>12863.246312604184</v>
      </c>
      <c r="AX57" s="62"/>
      <c r="AY57" s="40">
        <f>AY$39*$Z57</f>
        <v>25726.492625208368</v>
      </c>
      <c r="AZ57" s="40">
        <f>AZ$39*$Z57</f>
        <v>38589.738937812552</v>
      </c>
      <c r="BA57" s="2">
        <f t="shared" si="86"/>
        <v>128632.46312604184</v>
      </c>
      <c r="BB57" s="2">
        <f t="shared" si="18"/>
        <v>0</v>
      </c>
      <c r="BC57" s="2"/>
      <c r="BM57" s="24"/>
      <c r="BN57">
        <f t="shared" si="5"/>
        <v>2009</v>
      </c>
      <c r="BO57" s="1" t="b">
        <f t="shared" si="37"/>
        <v>0</v>
      </c>
      <c r="BQ57" s="1" t="b">
        <f t="shared" si="75"/>
        <v>0</v>
      </c>
      <c r="BR57" s="1" t="b">
        <f t="shared" si="76"/>
        <v>0</v>
      </c>
      <c r="BT57" s="1" t="b">
        <f t="shared" si="61"/>
        <v>0</v>
      </c>
      <c r="BU57" s="1" t="b">
        <f t="shared" si="39"/>
        <v>0</v>
      </c>
      <c r="BV57" s="1" t="b">
        <f t="shared" si="40"/>
        <v>1</v>
      </c>
      <c r="CH57" s="2"/>
    </row>
    <row r="58" spans="1:86" x14ac:dyDescent="0.25">
      <c r="A58">
        <f t="shared" si="8"/>
        <v>2010</v>
      </c>
      <c r="B58" s="2">
        <f t="shared" si="62"/>
        <v>29562.312675626934</v>
      </c>
      <c r="C58" s="2"/>
      <c r="D58" s="2">
        <f t="shared" si="65"/>
        <v>32276.457647586416</v>
      </c>
      <c r="E58" s="2">
        <f t="shared" si="66"/>
        <v>16428.938190458066</v>
      </c>
      <c r="F58" s="2"/>
      <c r="G58" s="2">
        <f t="shared" si="63"/>
        <v>28587.278605131538</v>
      </c>
      <c r="H58" s="2">
        <f t="shared" si="23"/>
        <v>41067.200177620121</v>
      </c>
      <c r="I58" s="2">
        <f t="shared" si="41"/>
        <v>147922.18729642307</v>
      </c>
      <c r="J58" s="2">
        <f t="shared" si="24"/>
        <v>12041.328765647893</v>
      </c>
      <c r="K58" s="6">
        <f t="shared" si="25"/>
        <v>8.8616813993125418E-2</v>
      </c>
      <c r="L58" s="7">
        <f t="shared" si="26"/>
        <v>1.0886168139931254</v>
      </c>
      <c r="N58">
        <f t="shared" si="27"/>
        <v>2010</v>
      </c>
      <c r="O58" s="2">
        <f t="shared" si="28"/>
        <v>7349.8729403996222</v>
      </c>
      <c r="P58" s="2"/>
      <c r="Q58" s="2"/>
      <c r="R58">
        <f t="shared" si="29"/>
        <v>2010</v>
      </c>
      <c r="S58" s="2">
        <f t="shared" si="67"/>
        <v>28092.33808754701</v>
      </c>
      <c r="T58" s="2"/>
      <c r="U58" s="2">
        <f t="shared" si="77"/>
        <v>30806.483059506492</v>
      </c>
      <c r="V58" s="2">
        <f t="shared" si="78"/>
        <v>14958.963602378142</v>
      </c>
      <c r="W58" s="2"/>
      <c r="X58" s="2">
        <f t="shared" si="68"/>
        <v>27117.304017051614</v>
      </c>
      <c r="Y58" s="2">
        <f t="shared" si="69"/>
        <v>39597.225589540198</v>
      </c>
      <c r="Z58" s="2">
        <f t="shared" si="44"/>
        <v>140572.31435602347</v>
      </c>
      <c r="AA58" s="2">
        <f t="shared" si="87"/>
        <v>11939.851229981636</v>
      </c>
      <c r="AB58" s="6">
        <f t="shared" si="88"/>
        <v>9.2821446000627778E-2</v>
      </c>
      <c r="AC58" s="7">
        <f t="shared" si="32"/>
        <v>1.0928214460006278</v>
      </c>
      <c r="AD58" s="2">
        <f t="shared" si="45"/>
        <v>0</v>
      </c>
      <c r="AE58" s="2"/>
      <c r="AG58">
        <f t="shared" si="13"/>
        <v>2010</v>
      </c>
      <c r="AH58" s="59">
        <f t="shared" si="84"/>
        <v>0.19984260923810609</v>
      </c>
      <c r="AI58" s="60"/>
      <c r="AJ58" s="59">
        <f t="shared" si="64"/>
        <v>0.21915042944717972</v>
      </c>
      <c r="AK58" s="59">
        <f t="shared" si="64"/>
        <v>0.1064147209278493</v>
      </c>
      <c r="AL58" s="60"/>
      <c r="AM58" s="59">
        <f t="shared" si="85"/>
        <v>0.19290643496394599</v>
      </c>
      <c r="AN58" s="59">
        <f t="shared" si="14"/>
        <v>0.28168580542291877</v>
      </c>
      <c r="AO58" s="6">
        <f t="shared" si="33"/>
        <v>0.99999999999999989</v>
      </c>
      <c r="AP58" s="7">
        <f t="shared" si="34"/>
        <v>0.71831419457708112</v>
      </c>
      <c r="AQ58" s="7">
        <f t="shared" si="35"/>
        <v>0</v>
      </c>
      <c r="AR58" s="7"/>
      <c r="AS58">
        <f t="shared" si="36"/>
        <v>2010</v>
      </c>
      <c r="AT58" s="2">
        <f t="shared" ref="AT58" si="89">S58</f>
        <v>28092.33808754701</v>
      </c>
      <c r="AU58" s="2"/>
      <c r="AV58" s="2">
        <f t="shared" ref="AV58" si="90">U58</f>
        <v>30806.483059506492</v>
      </c>
      <c r="AW58" s="2">
        <f t="shared" ref="AW58" si="91">V58</f>
        <v>14958.963602378142</v>
      </c>
      <c r="AX58" s="62"/>
      <c r="AY58" s="2">
        <f t="shared" ref="AY58" si="92">X58</f>
        <v>27117.304017051614</v>
      </c>
      <c r="AZ58" s="2">
        <f t="shared" ref="AZ58" si="93">Y58</f>
        <v>39597.225589540198</v>
      </c>
      <c r="BA58" s="2">
        <f t="shared" si="86"/>
        <v>140572.31435602347</v>
      </c>
      <c r="BB58" s="2">
        <f t="shared" si="18"/>
        <v>0</v>
      </c>
      <c r="BC58" s="2"/>
      <c r="BM58" s="24"/>
      <c r="BN58">
        <f t="shared" si="5"/>
        <v>2010</v>
      </c>
      <c r="BO58" s="1" t="b">
        <f t="shared" si="37"/>
        <v>1</v>
      </c>
      <c r="BQ58" s="1" t="b">
        <f t="shared" si="75"/>
        <v>1</v>
      </c>
      <c r="BR58" s="1" t="b">
        <f t="shared" si="76"/>
        <v>1</v>
      </c>
      <c r="BT58" s="28" t="b">
        <f t="shared" si="61"/>
        <v>1</v>
      </c>
      <c r="BU58" s="28" t="b">
        <f t="shared" si="39"/>
        <v>1</v>
      </c>
      <c r="BV58" s="1" t="b">
        <f t="shared" si="40"/>
        <v>1</v>
      </c>
      <c r="CH58" s="2"/>
    </row>
    <row r="59" spans="1:86" x14ac:dyDescent="0.25">
      <c r="A59">
        <f t="shared" si="8"/>
        <v>2011</v>
      </c>
      <c r="B59" s="2">
        <f t="shared" si="62"/>
        <v>28645.757147871689</v>
      </c>
      <c r="C59" s="2"/>
      <c r="D59" s="2">
        <f t="shared" si="65"/>
        <v>30156.466266950905</v>
      </c>
      <c r="E59" s="2">
        <f t="shared" si="66"/>
        <v>14540.112621511555</v>
      </c>
      <c r="F59" s="2"/>
      <c r="G59" s="2">
        <f t="shared" si="63"/>
        <v>23169.024552168899</v>
      </c>
      <c r="H59" s="2">
        <f t="shared" si="23"/>
        <v>42590.775844109441</v>
      </c>
      <c r="I59" s="2">
        <f t="shared" si="41"/>
        <v>139102.13643261249</v>
      </c>
      <c r="J59" s="2">
        <f t="shared" si="24"/>
        <v>-8820.0508638105821</v>
      </c>
      <c r="K59" s="6">
        <f t="shared" si="25"/>
        <v>-5.9626287475968529E-2</v>
      </c>
      <c r="L59" s="7">
        <f t="shared" si="26"/>
        <v>0.94037371252403146</v>
      </c>
      <c r="N59">
        <f t="shared" si="27"/>
        <v>2011</v>
      </c>
      <c r="O59" s="2">
        <f t="shared" si="28"/>
        <v>7570.3691286116109</v>
      </c>
      <c r="P59" s="2"/>
      <c r="Q59" s="2"/>
      <c r="R59">
        <f t="shared" si="29"/>
        <v>2011</v>
      </c>
      <c r="S59" s="2">
        <f t="shared" si="67"/>
        <v>27131.683322149365</v>
      </c>
      <c r="T59" s="2"/>
      <c r="U59" s="2">
        <f t="shared" si="77"/>
        <v>28642.392441228581</v>
      </c>
      <c r="V59" s="2">
        <f t="shared" si="78"/>
        <v>13026.038795789233</v>
      </c>
      <c r="W59" s="2"/>
      <c r="X59" s="2">
        <f t="shared" si="68"/>
        <v>21654.950726446576</v>
      </c>
      <c r="Y59" s="2">
        <f t="shared" si="69"/>
        <v>41076.702018387121</v>
      </c>
      <c r="Z59" s="2">
        <f t="shared" si="44"/>
        <v>131531.76730400088</v>
      </c>
      <c r="AA59" s="2">
        <f t="shared" si="87"/>
        <v>-9040.5470520225936</v>
      </c>
      <c r="AB59" s="6">
        <f t="shared" si="88"/>
        <v>-6.4312429466913804E-2</v>
      </c>
      <c r="AC59" s="7">
        <f t="shared" si="32"/>
        <v>0.93568757053308615</v>
      </c>
      <c r="AD59" s="2">
        <f t="shared" si="45"/>
        <v>0</v>
      </c>
      <c r="AE59" s="2"/>
      <c r="AG59">
        <f t="shared" si="13"/>
        <v>2011</v>
      </c>
      <c r="AH59" s="59">
        <f t="shared" si="84"/>
        <v>0.20627475687634955</v>
      </c>
      <c r="AI59" s="60"/>
      <c r="AJ59" s="59">
        <f t="shared" si="64"/>
        <v>0.21776026452248048</v>
      </c>
      <c r="AK59" s="59">
        <f t="shared" si="64"/>
        <v>9.9033405106486477E-2</v>
      </c>
      <c r="AL59" s="60"/>
      <c r="AM59" s="59">
        <f t="shared" si="85"/>
        <v>0.16463665903915733</v>
      </c>
      <c r="AN59" s="59">
        <f t="shared" si="14"/>
        <v>0.3122949144555261</v>
      </c>
      <c r="AO59" s="6">
        <f t="shared" si="33"/>
        <v>1</v>
      </c>
      <c r="AP59" s="7">
        <f t="shared" si="34"/>
        <v>0.68770508554447385</v>
      </c>
      <c r="AQ59" s="7">
        <f t="shared" si="35"/>
        <v>0</v>
      </c>
      <c r="AR59" s="7"/>
      <c r="AS59">
        <f t="shared" si="36"/>
        <v>2011</v>
      </c>
      <c r="AT59" s="2">
        <f t="shared" si="79"/>
        <v>27131.683322149365</v>
      </c>
      <c r="AU59" s="2"/>
      <c r="AV59" s="2">
        <f t="shared" si="80"/>
        <v>28642.392441228581</v>
      </c>
      <c r="AW59" s="2">
        <f t="shared" si="81"/>
        <v>13026.038795789233</v>
      </c>
      <c r="AX59" s="2"/>
      <c r="AY59" s="2">
        <f t="shared" si="82"/>
        <v>21654.950726446576</v>
      </c>
      <c r="AZ59" s="2">
        <f t="shared" si="83"/>
        <v>41076.702018387121</v>
      </c>
      <c r="BA59" s="2">
        <f t="shared" si="86"/>
        <v>131531.76730400088</v>
      </c>
      <c r="BB59" s="2">
        <f t="shared" si="18"/>
        <v>0</v>
      </c>
      <c r="BC59" s="2"/>
      <c r="BM59" s="24"/>
      <c r="BN59">
        <f t="shared" si="5"/>
        <v>2011</v>
      </c>
      <c r="BO59" s="1" t="b">
        <f t="shared" si="37"/>
        <v>1</v>
      </c>
      <c r="BQ59" s="1" t="b">
        <f t="shared" si="75"/>
        <v>1</v>
      </c>
      <c r="BR59" s="1" t="b">
        <f t="shared" si="76"/>
        <v>1</v>
      </c>
      <c r="BT59" s="1" t="b">
        <f t="shared" si="61"/>
        <v>1</v>
      </c>
      <c r="BU59" s="1" t="b">
        <f t="shared" si="39"/>
        <v>1</v>
      </c>
      <c r="BV59" s="1" t="b">
        <f t="shared" si="40"/>
        <v>1</v>
      </c>
      <c r="CH59" s="2"/>
    </row>
    <row r="60" spans="1:86" x14ac:dyDescent="0.25">
      <c r="A60">
        <f t="shared" si="8"/>
        <v>2012</v>
      </c>
      <c r="B60" s="2">
        <f t="shared" si="62"/>
        <v>31423.91562371339</v>
      </c>
      <c r="C60" s="2"/>
      <c r="D60" s="2">
        <f t="shared" si="65"/>
        <v>33167.890446942693</v>
      </c>
      <c r="E60" s="2">
        <f t="shared" si="66"/>
        <v>15375.936194549611</v>
      </c>
      <c r="F60" s="2"/>
      <c r="G60" s="2">
        <f t="shared" si="63"/>
        <v>25583.158788223984</v>
      </c>
      <c r="H60" s="2">
        <f t="shared" si="23"/>
        <v>42740.308450131801</v>
      </c>
      <c r="I60" s="2">
        <f t="shared" si="41"/>
        <v>148291.20950356146</v>
      </c>
      <c r="J60" s="2">
        <f t="shared" si="24"/>
        <v>9189.0730709489726</v>
      </c>
      <c r="K60" s="6">
        <f t="shared" si="25"/>
        <v>6.6059898910327555E-2</v>
      </c>
      <c r="L60" s="7">
        <f t="shared" si="26"/>
        <v>1.0660598989103276</v>
      </c>
      <c r="N60">
        <f t="shared" si="27"/>
        <v>2012</v>
      </c>
      <c r="O60" s="2">
        <f t="shared" si="28"/>
        <v>7706.6357729266201</v>
      </c>
      <c r="P60" s="2"/>
      <c r="Q60" s="2"/>
      <c r="R60">
        <f t="shared" si="29"/>
        <v>2012</v>
      </c>
      <c r="S60" s="2">
        <f t="shared" si="67"/>
        <v>29882.588469128066</v>
      </c>
      <c r="T60" s="2"/>
      <c r="U60" s="2">
        <f t="shared" si="77"/>
        <v>31626.563292357368</v>
      </c>
      <c r="V60" s="2">
        <f t="shared" si="78"/>
        <v>13834.609039964287</v>
      </c>
      <c r="W60" s="2"/>
      <c r="X60" s="2">
        <f t="shared" si="68"/>
        <v>24041.83163363866</v>
      </c>
      <c r="Y60" s="2">
        <f t="shared" si="69"/>
        <v>41198.981295546473</v>
      </c>
      <c r="Z60" s="2">
        <f t="shared" si="44"/>
        <v>140584.57373063487</v>
      </c>
      <c r="AA60" s="2">
        <f t="shared" si="87"/>
        <v>9052.8064266339934</v>
      </c>
      <c r="AB60" s="6">
        <f t="shared" si="88"/>
        <v>6.8826007680036924E-2</v>
      </c>
      <c r="AC60" s="7">
        <f t="shared" si="32"/>
        <v>1.0688260076800369</v>
      </c>
      <c r="AD60" s="2">
        <f t="shared" si="45"/>
        <v>0</v>
      </c>
      <c r="AE60" s="2"/>
      <c r="AG60">
        <f t="shared" si="13"/>
        <v>2012</v>
      </c>
      <c r="AH60" s="59">
        <f t="shared" si="84"/>
        <v>0.21255951258481734</v>
      </c>
      <c r="AI60" s="60"/>
      <c r="AJ60" s="59">
        <f t="shared" si="64"/>
        <v>0.22496467751116853</v>
      </c>
      <c r="AK60" s="59">
        <f t="shared" si="64"/>
        <v>9.8407731892916628E-2</v>
      </c>
      <c r="AL60" s="60"/>
      <c r="AM60" s="59">
        <f t="shared" si="85"/>
        <v>0.17101329822789574</v>
      </c>
      <c r="AN60" s="59">
        <f t="shared" si="14"/>
        <v>0.2930547797832016</v>
      </c>
      <c r="AO60" s="6">
        <f t="shared" si="33"/>
        <v>0.99999999999999989</v>
      </c>
      <c r="AP60" s="7">
        <f t="shared" si="34"/>
        <v>0.70694522021679829</v>
      </c>
      <c r="AQ60" s="7">
        <f t="shared" si="35"/>
        <v>0</v>
      </c>
      <c r="AR60" s="7"/>
      <c r="AS60">
        <f t="shared" si="36"/>
        <v>2012</v>
      </c>
      <c r="AT60" s="2">
        <f t="shared" si="79"/>
        <v>29882.588469128066</v>
      </c>
      <c r="AU60" s="2"/>
      <c r="AV60" s="2">
        <f t="shared" si="80"/>
        <v>31626.563292357368</v>
      </c>
      <c r="AW60" s="2">
        <f t="shared" si="81"/>
        <v>13834.609039964287</v>
      </c>
      <c r="AX60" s="2"/>
      <c r="AY60" s="2">
        <f t="shared" si="82"/>
        <v>24041.83163363866</v>
      </c>
      <c r="AZ60" s="2">
        <f t="shared" si="83"/>
        <v>41198.981295546473</v>
      </c>
      <c r="BA60" s="2">
        <f t="shared" si="86"/>
        <v>140584.57373063487</v>
      </c>
      <c r="BB60" s="2">
        <f t="shared" si="18"/>
        <v>0</v>
      </c>
      <c r="BC60" s="2"/>
      <c r="BM60" s="24"/>
      <c r="BN60">
        <f t="shared" si="5"/>
        <v>2012</v>
      </c>
      <c r="BO60" s="1" t="b">
        <f t="shared" si="37"/>
        <v>1</v>
      </c>
      <c r="BQ60" s="1" t="b">
        <f t="shared" si="75"/>
        <v>1</v>
      </c>
      <c r="BR60" s="1" t="b">
        <f t="shared" si="76"/>
        <v>1</v>
      </c>
      <c r="BT60" s="1" t="b">
        <f t="shared" si="61"/>
        <v>1</v>
      </c>
      <c r="BU60" s="28" t="b">
        <f t="shared" si="39"/>
        <v>1</v>
      </c>
      <c r="BV60" s="1" t="b">
        <f t="shared" si="40"/>
        <v>1</v>
      </c>
      <c r="CH60" s="2"/>
    </row>
    <row r="61" spans="1:86" x14ac:dyDescent="0.25">
      <c r="A61">
        <f t="shared" si="8"/>
        <v>2013</v>
      </c>
      <c r="B61" s="2">
        <f t="shared" si="62"/>
        <v>39498.80543849348</v>
      </c>
      <c r="C61" s="2"/>
      <c r="D61" s="2">
        <f t="shared" si="65"/>
        <v>42695.860444682454</v>
      </c>
      <c r="E61" s="2">
        <f t="shared" si="66"/>
        <v>19039.188960798849</v>
      </c>
      <c r="F61" s="2"/>
      <c r="G61" s="2">
        <f t="shared" si="63"/>
        <v>27657.723111337909</v>
      </c>
      <c r="H61" s="2">
        <f t="shared" si="23"/>
        <v>40267.884318267126</v>
      </c>
      <c r="I61" s="2">
        <f t="shared" si="41"/>
        <v>169159.46227357982</v>
      </c>
      <c r="J61" s="2">
        <f t="shared" si="24"/>
        <v>20868.252770018356</v>
      </c>
      <c r="K61" s="6">
        <f t="shared" si="25"/>
        <v>0.14072481329054889</v>
      </c>
      <c r="L61" s="7">
        <f t="shared" si="26"/>
        <v>1.140724813290549</v>
      </c>
      <c r="N61">
        <f t="shared" si="27"/>
        <v>2013</v>
      </c>
      <c r="O61" s="2">
        <f t="shared" si="28"/>
        <v>7795.6930166802676</v>
      </c>
      <c r="P61" s="2"/>
      <c r="Q61" s="2"/>
      <c r="R61">
        <f t="shared" si="29"/>
        <v>2013</v>
      </c>
      <c r="S61" s="2">
        <f t="shared" si="67"/>
        <v>37939.666835157426</v>
      </c>
      <c r="T61" s="2"/>
      <c r="U61" s="2">
        <f t="shared" si="77"/>
        <v>41136.7218413464</v>
      </c>
      <c r="V61" s="2">
        <f t="shared" si="78"/>
        <v>17480.050357462795</v>
      </c>
      <c r="W61" s="2"/>
      <c r="X61" s="2">
        <f t="shared" si="68"/>
        <v>26098.584508001855</v>
      </c>
      <c r="Y61" s="2">
        <f t="shared" si="69"/>
        <v>38708.745714931072</v>
      </c>
      <c r="Z61" s="2">
        <f t="shared" si="44"/>
        <v>161363.76925689954</v>
      </c>
      <c r="AA61" s="2">
        <f t="shared" si="87"/>
        <v>20779.195526264666</v>
      </c>
      <c r="AB61" s="6">
        <f t="shared" si="88"/>
        <v>0.14780565872097998</v>
      </c>
      <c r="AC61" s="7">
        <f t="shared" si="32"/>
        <v>1.1478056587209799</v>
      </c>
      <c r="AD61" s="2">
        <f t="shared" si="45"/>
        <v>0</v>
      </c>
      <c r="AE61" s="2"/>
      <c r="AG61">
        <f t="shared" si="13"/>
        <v>2013</v>
      </c>
      <c r="AH61" s="59">
        <f t="shared" si="84"/>
        <v>0.23511886844162333</v>
      </c>
      <c r="AI61" s="60"/>
      <c r="AJ61" s="59">
        <f t="shared" si="64"/>
        <v>0.25493158737420535</v>
      </c>
      <c r="AK61" s="59">
        <f t="shared" si="64"/>
        <v>0.10832698342360633</v>
      </c>
      <c r="AL61" s="60"/>
      <c r="AM61" s="59">
        <f t="shared" si="85"/>
        <v>0.16173757360892796</v>
      </c>
      <c r="AN61" s="59">
        <f t="shared" si="14"/>
        <v>0.23988498715163706</v>
      </c>
      <c r="AO61" s="6">
        <f t="shared" si="33"/>
        <v>1</v>
      </c>
      <c r="AP61" s="7">
        <f t="shared" si="34"/>
        <v>0.76011501284836291</v>
      </c>
      <c r="AQ61" s="7">
        <f t="shared" si="35"/>
        <v>0</v>
      </c>
      <c r="AR61" s="7"/>
      <c r="AS61">
        <f t="shared" si="36"/>
        <v>2013</v>
      </c>
      <c r="AT61" s="2">
        <f t="shared" si="79"/>
        <v>37939.666835157426</v>
      </c>
      <c r="AU61" s="2"/>
      <c r="AV61" s="2">
        <f t="shared" si="80"/>
        <v>41136.7218413464</v>
      </c>
      <c r="AW61" s="2">
        <f t="shared" si="81"/>
        <v>17480.050357462795</v>
      </c>
      <c r="AX61" s="2"/>
      <c r="AY61" s="2">
        <f t="shared" si="82"/>
        <v>26098.584508001855</v>
      </c>
      <c r="AZ61" s="2">
        <f t="shared" si="83"/>
        <v>38708.745714931072</v>
      </c>
      <c r="BA61" s="2">
        <f t="shared" si="86"/>
        <v>161363.76925689954</v>
      </c>
      <c r="BB61" s="2">
        <f t="shared" si="18"/>
        <v>0</v>
      </c>
      <c r="BC61" s="2"/>
      <c r="BM61" s="24"/>
      <c r="BN61">
        <f t="shared" si="5"/>
        <v>2013</v>
      </c>
      <c r="BO61" s="1" t="b">
        <f t="shared" si="37"/>
        <v>1</v>
      </c>
      <c r="BQ61" s="1" t="b">
        <f t="shared" si="75"/>
        <v>0</v>
      </c>
      <c r="BR61" s="1" t="b">
        <f t="shared" si="76"/>
        <v>1</v>
      </c>
      <c r="BT61" s="1" t="b">
        <f t="shared" si="61"/>
        <v>1</v>
      </c>
      <c r="BU61" s="1" t="b">
        <f t="shared" si="39"/>
        <v>0</v>
      </c>
      <c r="BV61" s="1" t="b">
        <f t="shared" si="40"/>
        <v>1</v>
      </c>
      <c r="CH61" s="2"/>
    </row>
    <row r="62" spans="1:86" x14ac:dyDescent="0.25">
      <c r="A62">
        <f t="shared" si="8"/>
        <v>2014</v>
      </c>
      <c r="B62" s="2">
        <f t="shared" si="62"/>
        <v>43065.315824587196</v>
      </c>
      <c r="C62" s="2"/>
      <c r="D62" s="2">
        <f t="shared" si="65"/>
        <v>46731.316011769515</v>
      </c>
      <c r="E62" s="2">
        <f t="shared" si="66"/>
        <v>18768.330068807805</v>
      </c>
      <c r="F62" s="2"/>
      <c r="G62" s="2">
        <f t="shared" si="63"/>
        <v>24992.004524862576</v>
      </c>
      <c r="H62" s="2">
        <f t="shared" si="23"/>
        <v>40938.369468111108</v>
      </c>
      <c r="I62" s="2">
        <f t="shared" si="41"/>
        <v>174495.3358981382</v>
      </c>
      <c r="J62" s="2">
        <f t="shared" si="24"/>
        <v>5335.8736245583859</v>
      </c>
      <c r="K62" s="6">
        <f t="shared" si="25"/>
        <v>3.1543453454165829E-2</v>
      </c>
      <c r="L62" s="7">
        <f t="shared" si="26"/>
        <v>1.0315434534541659</v>
      </c>
      <c r="N62">
        <f t="shared" si="27"/>
        <v>2014</v>
      </c>
      <c r="O62" s="2">
        <f t="shared" si="28"/>
        <v>7896.2574565954428</v>
      </c>
      <c r="P62" s="2"/>
      <c r="Q62" s="2"/>
      <c r="R62">
        <f t="shared" si="29"/>
        <v>2014</v>
      </c>
      <c r="S62" s="2">
        <f t="shared" ref="S62:S64" si="94">B62-($O62/5)</f>
        <v>41486.064333268107</v>
      </c>
      <c r="T62" s="2"/>
      <c r="U62" s="2">
        <f t="shared" ref="U62:V64" si="95">D62-($O62/5)</f>
        <v>45152.064520450425</v>
      </c>
      <c r="V62" s="2">
        <f t="shared" si="95"/>
        <v>17189.078577488715</v>
      </c>
      <c r="W62" s="2"/>
      <c r="X62" s="2">
        <f t="shared" ref="X62:Y64" si="96">G62-($O62/5)</f>
        <v>23412.753033543486</v>
      </c>
      <c r="Y62" s="2">
        <f t="shared" si="96"/>
        <v>39359.117976792018</v>
      </c>
      <c r="Z62" s="2">
        <f t="shared" si="44"/>
        <v>166599.07844154275</v>
      </c>
      <c r="AA62" s="2">
        <f t="shared" si="87"/>
        <v>5235.3091846432071</v>
      </c>
      <c r="AB62" s="6">
        <f t="shared" si="88"/>
        <v>3.2444142875147651E-2</v>
      </c>
      <c r="AC62" s="7">
        <f t="shared" si="32"/>
        <v>1.0324441428751476</v>
      </c>
      <c r="AD62" s="2">
        <f t="shared" si="45"/>
        <v>0</v>
      </c>
      <c r="AE62" s="2"/>
      <c r="AG62">
        <f t="shared" si="13"/>
        <v>2014</v>
      </c>
      <c r="AH62" s="59">
        <f t="shared" si="84"/>
        <v>0.24901736985192854</v>
      </c>
      <c r="AI62" s="60"/>
      <c r="AJ62" s="59">
        <f t="shared" si="64"/>
        <v>0.27102229461787597</v>
      </c>
      <c r="AK62" s="59">
        <f t="shared" si="64"/>
        <v>0.10317631248794763</v>
      </c>
      <c r="AL62" s="60"/>
      <c r="AM62" s="59">
        <f t="shared" si="85"/>
        <v>0.14053350866378705</v>
      </c>
      <c r="AN62" s="59">
        <f t="shared" si="14"/>
        <v>0.23625051437846084</v>
      </c>
      <c r="AO62" s="6">
        <f t="shared" si="33"/>
        <v>1</v>
      </c>
      <c r="AP62" s="7">
        <f t="shared" si="34"/>
        <v>0.76374948562153921</v>
      </c>
      <c r="AQ62" s="7">
        <f t="shared" si="35"/>
        <v>0</v>
      </c>
      <c r="AR62" s="7"/>
      <c r="AS62">
        <f t="shared" si="36"/>
        <v>2014</v>
      </c>
      <c r="AT62" s="2">
        <f>S62</f>
        <v>41486.064333268107</v>
      </c>
      <c r="AU62" s="2"/>
      <c r="AV62" s="2">
        <f t="shared" ref="AV62:AW64" si="97">U62</f>
        <v>45152.064520450425</v>
      </c>
      <c r="AW62" s="2">
        <f t="shared" si="97"/>
        <v>17189.078577488715</v>
      </c>
      <c r="AX62" s="2"/>
      <c r="AY62" s="2">
        <f t="shared" ref="AY62:AZ64" si="98">X62</f>
        <v>23412.753033543486</v>
      </c>
      <c r="AZ62" s="2">
        <f t="shared" si="98"/>
        <v>39359.117976792018</v>
      </c>
      <c r="BA62" s="2">
        <f t="shared" si="86"/>
        <v>166599.07844154275</v>
      </c>
      <c r="BB62" s="2">
        <f t="shared" si="18"/>
        <v>0</v>
      </c>
      <c r="BC62" s="2"/>
      <c r="BM62" s="24"/>
      <c r="BN62">
        <f t="shared" si="5"/>
        <v>2014</v>
      </c>
      <c r="BO62" s="1" t="b">
        <f t="shared" si="37"/>
        <v>1</v>
      </c>
      <c r="BQ62" s="1" t="b">
        <f t="shared" si="75"/>
        <v>0</v>
      </c>
      <c r="BR62" s="1" t="b">
        <f t="shared" si="76"/>
        <v>1</v>
      </c>
      <c r="BT62" s="1" t="b">
        <f t="shared" si="61"/>
        <v>0</v>
      </c>
      <c r="BU62" s="28" t="b">
        <f t="shared" si="39"/>
        <v>0</v>
      </c>
      <c r="BV62" s="1" t="b">
        <f t="shared" si="40"/>
        <v>1</v>
      </c>
      <c r="CH62" s="2"/>
    </row>
    <row r="63" spans="1:86" x14ac:dyDescent="0.25">
      <c r="A63">
        <f t="shared" si="8"/>
        <v>2015</v>
      </c>
      <c r="B63" s="2">
        <f t="shared" si="62"/>
        <v>42004.640137433955</v>
      </c>
      <c r="C63" s="2"/>
      <c r="D63" s="2">
        <f t="shared" si="65"/>
        <v>44492.844378451853</v>
      </c>
      <c r="E63" s="2">
        <f t="shared" si="66"/>
        <v>16539.33140725964</v>
      </c>
      <c r="F63" s="2"/>
      <c r="G63" s="2">
        <f t="shared" si="63"/>
        <v>22389.615725977637</v>
      </c>
      <c r="H63" s="2">
        <f t="shared" si="23"/>
        <v>39477.195330722388</v>
      </c>
      <c r="I63" s="2">
        <f t="shared" si="41"/>
        <v>164903.62697984546</v>
      </c>
      <c r="J63" s="2">
        <f t="shared" si="24"/>
        <v>-9591.7089182927448</v>
      </c>
      <c r="K63" s="6">
        <f t="shared" si="25"/>
        <v>-5.4968282498346621E-2</v>
      </c>
      <c r="L63" s="7">
        <f t="shared" si="26"/>
        <v>0.94503171750165338</v>
      </c>
      <c r="N63">
        <f t="shared" si="27"/>
        <v>2015</v>
      </c>
      <c r="O63" s="2">
        <f t="shared" si="28"/>
        <v>7931.0009894044624</v>
      </c>
      <c r="P63" s="2"/>
      <c r="Q63" s="2"/>
      <c r="R63">
        <f t="shared" si="29"/>
        <v>2015</v>
      </c>
      <c r="S63" s="2">
        <f t="shared" si="94"/>
        <v>40418.439939553064</v>
      </c>
      <c r="T63" s="2"/>
      <c r="U63" s="2">
        <f t="shared" si="95"/>
        <v>42906.644180570962</v>
      </c>
      <c r="V63" s="2">
        <f t="shared" si="95"/>
        <v>14953.131209378747</v>
      </c>
      <c r="W63" s="2"/>
      <c r="X63" s="2">
        <f t="shared" si="96"/>
        <v>20803.415528096746</v>
      </c>
      <c r="Y63" s="2">
        <f t="shared" si="96"/>
        <v>37890.995132841497</v>
      </c>
      <c r="Z63" s="2">
        <f t="shared" si="44"/>
        <v>156972.62599044101</v>
      </c>
      <c r="AA63" s="2">
        <f t="shared" si="87"/>
        <v>-9626.4524511017371</v>
      </c>
      <c r="AB63" s="6">
        <f t="shared" si="88"/>
        <v>-5.7782147063193526E-2</v>
      </c>
      <c r="AC63" s="7">
        <f t="shared" si="32"/>
        <v>0.94221785293680649</v>
      </c>
      <c r="AD63" s="2">
        <f t="shared" si="45"/>
        <v>0</v>
      </c>
      <c r="AE63" s="2"/>
      <c r="AG63">
        <f t="shared" si="13"/>
        <v>2015</v>
      </c>
      <c r="AH63" s="6">
        <f t="shared" si="84"/>
        <v>0.25748718723743835</v>
      </c>
      <c r="AI63" s="7"/>
      <c r="AJ63" s="6">
        <f t="shared" si="64"/>
        <v>0.27333838565702406</v>
      </c>
      <c r="AK63" s="6">
        <f t="shared" si="64"/>
        <v>9.5259483078847976E-2</v>
      </c>
      <c r="AL63" s="7"/>
      <c r="AM63" s="6">
        <f t="shared" si="85"/>
        <v>0.13252893870402338</v>
      </c>
      <c r="AN63" s="6">
        <f t="shared" si="14"/>
        <v>0.24138600532266627</v>
      </c>
      <c r="AO63" s="6">
        <f t="shared" si="33"/>
        <v>1</v>
      </c>
      <c r="AP63" s="7">
        <f t="shared" si="34"/>
        <v>0.75861399467733381</v>
      </c>
      <c r="AQ63" s="7">
        <f t="shared" si="35"/>
        <v>0</v>
      </c>
      <c r="AR63" s="7"/>
      <c r="AS63">
        <f t="shared" si="36"/>
        <v>2015</v>
      </c>
      <c r="AT63" s="2">
        <f t="shared" ref="AT63:AT64" si="99">S63</f>
        <v>40418.439939553064</v>
      </c>
      <c r="AU63" s="2"/>
      <c r="AV63" s="2">
        <f t="shared" si="97"/>
        <v>42906.644180570962</v>
      </c>
      <c r="AW63" s="2">
        <f t="shared" si="97"/>
        <v>14953.131209378747</v>
      </c>
      <c r="AX63" s="2"/>
      <c r="AY63" s="2">
        <f t="shared" si="98"/>
        <v>20803.415528096746</v>
      </c>
      <c r="AZ63" s="2">
        <f t="shared" si="98"/>
        <v>37890.995132841497</v>
      </c>
      <c r="BA63" s="2">
        <f t="shared" si="86"/>
        <v>156972.62599044101</v>
      </c>
      <c r="BB63" s="2">
        <f t="shared" ref="BB63:BB64" si="100">SUM(AT63:AZ63)-Z63</f>
        <v>0</v>
      </c>
      <c r="BC63" s="2"/>
      <c r="BM63" s="24"/>
      <c r="BN63">
        <f t="shared" si="5"/>
        <v>2015</v>
      </c>
      <c r="BO63" s="1" t="b">
        <f t="shared" si="37"/>
        <v>0</v>
      </c>
      <c r="BQ63" s="1" t="b">
        <f t="shared" si="75"/>
        <v>0</v>
      </c>
      <c r="BR63" s="1" t="b">
        <f t="shared" si="76"/>
        <v>1</v>
      </c>
      <c r="BT63" s="1" t="b">
        <f t="shared" si="61"/>
        <v>0</v>
      </c>
      <c r="BU63" s="1" t="b">
        <f t="shared" si="39"/>
        <v>0</v>
      </c>
      <c r="BV63" s="1" t="b">
        <f t="shared" si="40"/>
        <v>1</v>
      </c>
      <c r="CH63" s="2"/>
    </row>
    <row r="64" spans="1:86" x14ac:dyDescent="0.25">
      <c r="A64">
        <f t="shared" si="8"/>
        <v>2016</v>
      </c>
      <c r="B64" s="2">
        <f t="shared" si="62"/>
        <v>45195.899540408238</v>
      </c>
      <c r="C64" s="2"/>
      <c r="D64" s="2">
        <f t="shared" si="65"/>
        <v>47656.409691360168</v>
      </c>
      <c r="E64" s="2">
        <f t="shared" si="66"/>
        <v>17670.115150122867</v>
      </c>
      <c r="F64" s="2"/>
      <c r="G64" s="2">
        <f t="shared" si="63"/>
        <v>21770.774350153246</v>
      </c>
      <c r="H64" s="2">
        <f t="shared" si="23"/>
        <v>38838.270011162531</v>
      </c>
      <c r="I64" s="2">
        <f t="shared" si="41"/>
        <v>171131.46874320705</v>
      </c>
      <c r="J64" s="2">
        <f t="shared" si="24"/>
        <v>6227.84176336159</v>
      </c>
      <c r="K64" s="6">
        <f t="shared" si="25"/>
        <v>3.776655418332768E-2</v>
      </c>
      <c r="L64" s="7">
        <f t="shared" si="26"/>
        <v>1.0377665541833276</v>
      </c>
      <c r="N64">
        <f t="shared" si="27"/>
        <v>2016</v>
      </c>
      <c r="O64" s="2">
        <f t="shared" si="28"/>
        <v>8065.8280062243375</v>
      </c>
      <c r="P64" s="2"/>
      <c r="Q64" s="2"/>
      <c r="R64">
        <f t="shared" si="29"/>
        <v>2016</v>
      </c>
      <c r="S64" s="2">
        <f t="shared" si="94"/>
        <v>43582.733939163372</v>
      </c>
      <c r="T64" s="2"/>
      <c r="U64" s="2">
        <f t="shared" si="95"/>
        <v>46043.244090115302</v>
      </c>
      <c r="V64" s="2">
        <f t="shared" si="95"/>
        <v>16056.949548877999</v>
      </c>
      <c r="W64" s="2"/>
      <c r="X64" s="2">
        <f t="shared" si="96"/>
        <v>20157.60874890838</v>
      </c>
      <c r="Y64" s="2">
        <f t="shared" si="96"/>
        <v>37225.104409917665</v>
      </c>
      <c r="Z64" s="2">
        <f t="shared" si="44"/>
        <v>163065.64073698272</v>
      </c>
      <c r="AA64" s="2">
        <f t="shared" si="87"/>
        <v>6093.0147465417103</v>
      </c>
      <c r="AB64" s="6">
        <f t="shared" si="88"/>
        <v>3.8815778917483036E-2</v>
      </c>
      <c r="AC64" s="7">
        <f t="shared" si="32"/>
        <v>1.038815778917483</v>
      </c>
      <c r="AD64" s="2">
        <f t="shared" si="45"/>
        <v>0</v>
      </c>
      <c r="AE64" s="2"/>
      <c r="AG64">
        <f t="shared" si="13"/>
        <v>2016</v>
      </c>
      <c r="AH64" s="6">
        <f t="shared" si="84"/>
        <v>0.26727110470476295</v>
      </c>
      <c r="AI64" s="7"/>
      <c r="AJ64" s="6">
        <f t="shared" si="64"/>
        <v>0.28236018257445727</v>
      </c>
      <c r="AK64" s="6">
        <f t="shared" si="64"/>
        <v>9.8469238990555402E-2</v>
      </c>
      <c r="AL64" s="7"/>
      <c r="AM64" s="6">
        <f t="shared" si="85"/>
        <v>0.12361653048309339</v>
      </c>
      <c r="AN64" s="6">
        <f t="shared" si="14"/>
        <v>0.22828294324713092</v>
      </c>
      <c r="AO64" s="6">
        <f t="shared" si="33"/>
        <v>0.99999999999999989</v>
      </c>
      <c r="AP64" s="7">
        <f t="shared" si="34"/>
        <v>0.77171705675286895</v>
      </c>
      <c r="AQ64" s="7">
        <f t="shared" si="35"/>
        <v>0</v>
      </c>
      <c r="AR64" s="7"/>
      <c r="AS64">
        <f t="shared" si="36"/>
        <v>2016</v>
      </c>
      <c r="AT64" s="2">
        <f t="shared" si="99"/>
        <v>43582.733939163372</v>
      </c>
      <c r="AU64" s="2"/>
      <c r="AV64" s="2">
        <f t="shared" si="97"/>
        <v>46043.244090115302</v>
      </c>
      <c r="AW64" s="2">
        <f t="shared" si="97"/>
        <v>16056.949548877999</v>
      </c>
      <c r="AX64" s="2"/>
      <c r="AY64" s="2">
        <f t="shared" si="98"/>
        <v>20157.60874890838</v>
      </c>
      <c r="AZ64" s="2">
        <f t="shared" si="98"/>
        <v>37225.104409917665</v>
      </c>
      <c r="BA64" s="2">
        <f t="shared" si="86"/>
        <v>163065.64073698272</v>
      </c>
      <c r="BB64" s="2">
        <f t="shared" si="100"/>
        <v>0</v>
      </c>
      <c r="BC64" s="2"/>
      <c r="BM64" s="24"/>
      <c r="BN64">
        <f t="shared" si="5"/>
        <v>2016</v>
      </c>
      <c r="BO64" s="1" t="b">
        <f t="shared" si="37"/>
        <v>0</v>
      </c>
      <c r="BQ64" s="1" t="b">
        <f t="shared" si="75"/>
        <v>0</v>
      </c>
      <c r="BR64" s="1" t="b">
        <f t="shared" si="76"/>
        <v>1</v>
      </c>
      <c r="BT64" s="1" t="b">
        <f t="shared" si="61"/>
        <v>0</v>
      </c>
      <c r="BU64" s="1" t="b">
        <f t="shared" si="39"/>
        <v>0</v>
      </c>
      <c r="BV64" s="1" t="b">
        <f t="shared" si="40"/>
        <v>1</v>
      </c>
      <c r="CH64" s="2"/>
    </row>
    <row r="65" spans="1:37" x14ac:dyDescent="0.25">
      <c r="A65" s="9" t="s">
        <v>78</v>
      </c>
      <c r="B65" s="10">
        <f>AT64</f>
        <v>43582.733939163372</v>
      </c>
      <c r="C65" s="10"/>
      <c r="D65" s="10">
        <f>AV64</f>
        <v>46043.244090115302</v>
      </c>
      <c r="E65" s="10">
        <f>AW64</f>
        <v>16056.949548877999</v>
      </c>
      <c r="F65" s="10"/>
      <c r="G65" s="10">
        <f>AY64</f>
        <v>20157.60874890838</v>
      </c>
      <c r="H65" s="10">
        <f>AZ64</f>
        <v>37225.104409917665</v>
      </c>
      <c r="I65" s="10">
        <f>SUM(B65:H65)</f>
        <v>163065.64073698272</v>
      </c>
      <c r="J65" s="10"/>
      <c r="K65" s="10"/>
      <c r="L65" s="73"/>
      <c r="N65" t="s">
        <v>40</v>
      </c>
      <c r="O65" s="2">
        <f>O64</f>
        <v>8065.8280062243375</v>
      </c>
      <c r="P65" s="2"/>
      <c r="R65" s="9" t="s">
        <v>78</v>
      </c>
      <c r="S65" s="10">
        <f>S64</f>
        <v>43582.733939163372</v>
      </c>
      <c r="T65" s="10"/>
      <c r="U65" s="10">
        <f>U64</f>
        <v>46043.244090115302</v>
      </c>
      <c r="V65" s="10">
        <f>V64</f>
        <v>16056.949548877999</v>
      </c>
      <c r="W65" s="10"/>
      <c r="X65" s="10">
        <f>X64</f>
        <v>20157.60874890838</v>
      </c>
      <c r="Y65" s="10">
        <f>Y64</f>
        <v>37225.104409917665</v>
      </c>
      <c r="Z65" s="10">
        <f>SUM(S65:Y65)</f>
        <v>163065.64073698272</v>
      </c>
      <c r="AA65" s="10"/>
      <c r="AB65" s="10"/>
      <c r="AC65" s="10"/>
      <c r="AD65" s="10"/>
      <c r="AE65" s="43"/>
      <c r="AK65" s="7"/>
    </row>
    <row r="66" spans="1:37" x14ac:dyDescent="0.25">
      <c r="A66" s="11" t="s">
        <v>11</v>
      </c>
      <c r="I66" s="6">
        <f>(Z65-Z39)/Z39</f>
        <v>0.6306564073698272</v>
      </c>
      <c r="K66" s="6"/>
      <c r="N66" t="s">
        <v>70</v>
      </c>
      <c r="O66" s="2">
        <f>SUM(O40:O64)</f>
        <v>161096.15649493449</v>
      </c>
      <c r="P66" s="2"/>
    </row>
    <row r="67" spans="1:37" x14ac:dyDescent="0.25">
      <c r="A67" s="1" t="s">
        <v>12</v>
      </c>
      <c r="I67" s="12">
        <f>STDEV(AC40:AC64)</f>
        <v>0.11087669318843783</v>
      </c>
    </row>
    <row r="68" spans="1:37" x14ac:dyDescent="0.25">
      <c r="A68" s="1" t="s">
        <v>13</v>
      </c>
      <c r="I68" s="13">
        <f>((1+I66)^(1/I75))-1</f>
        <v>1.9751841966903161E-2</v>
      </c>
    </row>
    <row r="69" spans="1:37" x14ac:dyDescent="0.25">
      <c r="A69" s="1" t="s">
        <v>82</v>
      </c>
      <c r="I69" s="31">
        <f>J60</f>
        <v>9189.0730709489726</v>
      </c>
      <c r="O69" s="2"/>
      <c r="P69" s="2"/>
    </row>
    <row r="70" spans="1:37" x14ac:dyDescent="0.25">
      <c r="A70" s="1" t="s">
        <v>83</v>
      </c>
      <c r="I70" s="32">
        <f>K60</f>
        <v>6.6059898910327555E-2</v>
      </c>
    </row>
    <row r="71" spans="1:37" x14ac:dyDescent="0.25">
      <c r="A71" s="1" t="s">
        <v>42</v>
      </c>
      <c r="I71" s="2">
        <f>O66</f>
        <v>161096.15649493449</v>
      </c>
    </row>
    <row r="72" spans="1:37" x14ac:dyDescent="0.25">
      <c r="A72" s="3" t="s">
        <v>5</v>
      </c>
      <c r="B72" s="3"/>
      <c r="C72" s="3"/>
      <c r="D72" s="3"/>
      <c r="E72" s="3"/>
      <c r="F72" s="3"/>
      <c r="G72" s="3"/>
      <c r="H72" s="3"/>
      <c r="I72" s="33">
        <f>I65-Z65</f>
        <v>0</v>
      </c>
    </row>
    <row r="73" spans="1:37" x14ac:dyDescent="0.25">
      <c r="A73" s="3" t="s">
        <v>148</v>
      </c>
      <c r="B73" s="3"/>
      <c r="C73" s="3"/>
      <c r="D73" s="3"/>
      <c r="E73" s="3"/>
      <c r="F73" s="3"/>
      <c r="G73" s="3"/>
      <c r="H73" s="3"/>
      <c r="I73" s="33">
        <f>((SUM(AA40:AA64)))-(I65-I39)</f>
        <v>0</v>
      </c>
    </row>
    <row r="74" spans="1:37" x14ac:dyDescent="0.25">
      <c r="A74" s="3" t="s">
        <v>147</v>
      </c>
      <c r="B74" s="3"/>
      <c r="C74" s="3"/>
      <c r="D74" s="3"/>
      <c r="E74" s="3"/>
      <c r="F74" s="3"/>
      <c r="G74" s="3"/>
      <c r="H74" s="3"/>
      <c r="I74" s="33">
        <f>(SUM(O40:O64))-I71</f>
        <v>0</v>
      </c>
    </row>
    <row r="75" spans="1:37" x14ac:dyDescent="0.25">
      <c r="A75" s="3" t="s">
        <v>152</v>
      </c>
      <c r="B75" s="3"/>
      <c r="C75" s="3"/>
      <c r="D75" s="3"/>
      <c r="E75" s="3"/>
      <c r="F75" s="3"/>
      <c r="G75" s="3"/>
      <c r="H75" s="3"/>
      <c r="I75" s="74">
        <f>COUNTA(I40:I64)</f>
        <v>25</v>
      </c>
    </row>
    <row r="76" spans="1:37" x14ac:dyDescent="0.25">
      <c r="A76" s="1" t="s">
        <v>105</v>
      </c>
      <c r="B76" s="62"/>
      <c r="C76" s="62"/>
      <c r="D76" s="62"/>
      <c r="E76" s="62"/>
      <c r="G76" s="62"/>
      <c r="H76" s="62"/>
      <c r="I76" s="85">
        <f>(SUM(B65:G65)/I65)</f>
        <v>0.77171705675286906</v>
      </c>
    </row>
    <row r="77" spans="1:37" x14ac:dyDescent="0.25">
      <c r="A77" s="1" t="s">
        <v>106</v>
      </c>
      <c r="B77" s="62"/>
      <c r="C77" s="62"/>
      <c r="D77" s="62"/>
      <c r="E77" s="62"/>
      <c r="G77" s="62"/>
      <c r="H77" s="62"/>
      <c r="I77" s="85">
        <f>(H65/I65)</f>
        <v>0.22828294324713092</v>
      </c>
    </row>
    <row r="78" spans="1:37" x14ac:dyDescent="0.25">
      <c r="A78" s="3" t="s">
        <v>107</v>
      </c>
      <c r="I78" s="3">
        <f>100%-(I76+I77)</f>
        <v>0</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29F-1061-48B8-9244-D651830B104E}">
  <dimension ref="A1:BM77"/>
  <sheetViews>
    <sheetView topLeftCell="AH33" zoomScaleNormal="100" workbookViewId="0">
      <pane xSplit="30000" topLeftCell="AV1"/>
      <selection activeCell="AU49" sqref="AU49"/>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49</v>
      </c>
      <c r="N1" s="20" t="s">
        <v>144</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1992</v>
      </c>
      <c r="B4" s="17">
        <f>'Non-Rebalanced Portfolio'!B4</f>
        <v>7.42</v>
      </c>
      <c r="C4" s="19">
        <f>'Non-Rebalanced Portfolio'!C4</f>
        <v>12.465999999999999</v>
      </c>
      <c r="D4" s="17"/>
      <c r="E4" s="17"/>
      <c r="F4" s="17">
        <f>'Non-Rebalanced Portfolio'!F4</f>
        <v>-8.7210000000000001</v>
      </c>
      <c r="G4" s="17"/>
      <c r="H4" s="17">
        <f>'Non-Rebalanced Portfolio'!H4</f>
        <v>7.14</v>
      </c>
      <c r="N4" s="49">
        <f>'4.5% Withdrawals-No Rebalancing'!N4</f>
        <v>1992</v>
      </c>
      <c r="O4" s="50">
        <f>'4.5% Withdrawals-No Rebalancing'!O4</f>
        <v>0.03</v>
      </c>
      <c r="P4" s="44"/>
    </row>
    <row r="5" spans="1:16" x14ac:dyDescent="0.25">
      <c r="A5" s="17">
        <f>'Non-Rebalanced Portfolio'!A5</f>
        <v>1993</v>
      </c>
      <c r="B5" s="17">
        <f>'Non-Rebalanced Portfolio'!B5</f>
        <v>9.89</v>
      </c>
      <c r="C5" s="19">
        <f>'Non-Rebalanced Portfolio'!C5</f>
        <v>14.49</v>
      </c>
      <c r="D5" s="17"/>
      <c r="E5" s="17"/>
      <c r="F5" s="17">
        <f>'Non-Rebalanced Portfolio'!F5</f>
        <v>30.494</v>
      </c>
      <c r="G5" s="17"/>
      <c r="H5" s="17">
        <f>'Non-Rebalanced Portfolio'!H5</f>
        <v>9.68</v>
      </c>
      <c r="N5" s="49">
        <f>'4.5% Withdrawals-No Rebalancing'!N5</f>
        <v>1993</v>
      </c>
      <c r="O5" s="50">
        <f>'4.5% Withdrawals-No Rebalancing'!O5</f>
        <v>2.8000000000000001E-2</v>
      </c>
      <c r="P5" s="44"/>
    </row>
    <row r="6" spans="1:16" x14ac:dyDescent="0.25">
      <c r="A6" s="17">
        <f>'Non-Rebalanced Portfolio'!A6</f>
        <v>1994</v>
      </c>
      <c r="B6" s="17">
        <f>'Non-Rebalanced Portfolio'!B6</f>
        <v>1.18</v>
      </c>
      <c r="C6" s="19">
        <f>'Non-Rebalanced Portfolio'!C6</f>
        <v>-1.764</v>
      </c>
      <c r="D6" s="17"/>
      <c r="E6" s="17"/>
      <c r="F6" s="17">
        <f>'Non-Rebalanced Portfolio'!F6</f>
        <v>5.2549999999999999</v>
      </c>
      <c r="G6" s="17"/>
      <c r="H6" s="17">
        <f>'Non-Rebalanced Portfolio'!H6</f>
        <v>-2.66</v>
      </c>
      <c r="N6" s="49">
        <f>'4.5% Withdrawals-No Rebalancing'!N6</f>
        <v>1994</v>
      </c>
      <c r="O6" s="50">
        <f>'4.5% Withdrawals-No Rebalancing'!O6</f>
        <v>2.5999999999999999E-2</v>
      </c>
      <c r="P6" s="44"/>
    </row>
    <row r="7" spans="1:16" x14ac:dyDescent="0.25">
      <c r="A7" s="17">
        <f>'Non-Rebalanced Portfolio'!A7</f>
        <v>1995</v>
      </c>
      <c r="B7" s="17">
        <f>'Non-Rebalanced Portfolio'!B7</f>
        <v>37.450000000000003</v>
      </c>
      <c r="C7" s="19">
        <f>'Non-Rebalanced Portfolio'!C7</f>
        <v>33.796999999999997</v>
      </c>
      <c r="D7" s="17"/>
      <c r="E7" s="17"/>
      <c r="F7" s="17">
        <f>'Non-Rebalanced Portfolio'!F7</f>
        <v>9.6460000000000008</v>
      </c>
      <c r="G7" s="17"/>
      <c r="H7" s="17">
        <f>'Non-Rebalanced Portfolio'!H7</f>
        <v>18.18</v>
      </c>
      <c r="N7" s="49">
        <f>'4.5% Withdrawals-No Rebalancing'!N7</f>
        <v>1995</v>
      </c>
      <c r="O7" s="50">
        <f>'4.5% Withdrawals-No Rebalancing'!O7</f>
        <v>2.5000000000000001E-2</v>
      </c>
      <c r="P7" s="44"/>
    </row>
    <row r="8" spans="1:16" x14ac:dyDescent="0.25">
      <c r="A8" s="17">
        <f>'Non-Rebalanced Portfolio'!A8</f>
        <v>1996</v>
      </c>
      <c r="B8" s="17">
        <f>'Non-Rebalanced Portfolio'!B8</f>
        <v>22.88</v>
      </c>
      <c r="C8" s="19">
        <f>'Non-Rebalanced Portfolio'!C8</f>
        <v>17.646999999999998</v>
      </c>
      <c r="D8" s="17"/>
      <c r="E8" s="17"/>
      <c r="F8" s="17">
        <f>'Non-Rebalanced Portfolio'!F8</f>
        <v>10.218999999999999</v>
      </c>
      <c r="G8" s="17"/>
      <c r="H8" s="17">
        <f>'Non-Rebalanced Portfolio'!H8</f>
        <v>3.58</v>
      </c>
      <c r="N8" s="49">
        <f>'4.5% Withdrawals-No Rebalancing'!N8</f>
        <v>1996</v>
      </c>
      <c r="O8" s="50">
        <f>'4.5% Withdrawals-No Rebalancing'!O8</f>
        <v>3.4000000000000002E-2</v>
      </c>
      <c r="P8" s="44"/>
    </row>
    <row r="9" spans="1:16" x14ac:dyDescent="0.25">
      <c r="A9" s="17">
        <f>'Non-Rebalanced Portfolio'!A9</f>
        <v>1997</v>
      </c>
      <c r="B9" s="17">
        <f>'Non-Rebalanced Portfolio'!B9</f>
        <v>33.19</v>
      </c>
      <c r="C9" s="19">
        <f>'Non-Rebalanced Portfolio'!C9</f>
        <v>26.687000000000001</v>
      </c>
      <c r="D9" s="17"/>
      <c r="E9" s="17"/>
      <c r="F9" s="17">
        <f>'Non-Rebalanced Portfolio'!F9</f>
        <v>0</v>
      </c>
      <c r="G9" s="17"/>
      <c r="H9" s="17">
        <f>'Non-Rebalanced Portfolio'!H9</f>
        <v>9.44</v>
      </c>
      <c r="N9" s="49">
        <f>'4.5% Withdrawals-No Rebalancing'!N9</f>
        <v>1997</v>
      </c>
      <c r="O9" s="50">
        <f>'4.5% Withdrawals-No Rebalancing'!O9</f>
        <v>1.7000000000000001E-2</v>
      </c>
      <c r="P9" s="44"/>
    </row>
    <row r="10" spans="1:16" x14ac:dyDescent="0.25">
      <c r="A10" s="17">
        <f>'Non-Rebalanced Portfolio'!A10</f>
        <v>1998</v>
      </c>
      <c r="B10" s="17">
        <f>'Non-Rebalanced Portfolio'!B10</f>
        <v>28.66</v>
      </c>
      <c r="C10" s="19">
        <f>'Non-Rebalanced Portfolio'!C10</f>
        <v>8.3529999999999998</v>
      </c>
      <c r="D10" s="17"/>
      <c r="E10" s="17"/>
      <c r="F10" s="17">
        <f>'Non-Rebalanced Portfolio'!F10</f>
        <v>0</v>
      </c>
      <c r="G10" s="17"/>
      <c r="H10" s="17">
        <f>'Non-Rebalanced Portfolio'!H10</f>
        <v>8.58</v>
      </c>
      <c r="N10" s="49">
        <f>'4.5% Withdrawals-No Rebalancing'!N10</f>
        <v>1998</v>
      </c>
      <c r="O10" s="50">
        <f>'4.5% Withdrawals-No Rebalancing'!O10</f>
        <v>1.6E-2</v>
      </c>
      <c r="P10" s="44"/>
    </row>
    <row r="11" spans="1:16" x14ac:dyDescent="0.25">
      <c r="A11" s="17">
        <f>'Non-Rebalanced Portfolio'!A11</f>
        <v>1999</v>
      </c>
      <c r="B11" s="17">
        <f>'Non-Rebalanced Portfolio'!B11</f>
        <v>21.07</v>
      </c>
      <c r="C11" s="19">
        <f>'Non-Rebalanced Portfolio'!C11</f>
        <v>0</v>
      </c>
      <c r="D11" s="17"/>
      <c r="E11" s="17"/>
      <c r="F11" s="17">
        <f>'Non-Rebalanced Portfolio'!F11</f>
        <v>0</v>
      </c>
      <c r="G11" s="17"/>
      <c r="H11" s="17">
        <f>'Non-Rebalanced Portfolio'!H11</f>
        <v>-0.76</v>
      </c>
      <c r="N11" s="49">
        <f>'4.5% Withdrawals-No Rebalancing'!N11</f>
        <v>1999</v>
      </c>
      <c r="O11" s="50">
        <f>'4.5% Withdrawals-No Rebalancing'!O11</f>
        <v>2.7E-2</v>
      </c>
      <c r="P11" s="44"/>
    </row>
    <row r="12" spans="1:16" x14ac:dyDescent="0.25">
      <c r="A12" s="17">
        <f>'Non-Rebalanced Portfolio'!A12</f>
        <v>2000</v>
      </c>
      <c r="B12" s="17">
        <f>'Non-Rebalanced Portfolio'!B12</f>
        <v>-9.06</v>
      </c>
      <c r="C12" s="19">
        <f>'Non-Rebalanced Portfolio'!C12</f>
        <v>0</v>
      </c>
      <c r="D12" s="17"/>
      <c r="E12" s="17"/>
      <c r="F12" s="17">
        <f>'Non-Rebalanced Portfolio'!F12</f>
        <v>0</v>
      </c>
      <c r="G12" s="17">
        <f>'Non-Rebalanced Portfolio'!G12</f>
        <v>-15.614000000000001</v>
      </c>
      <c r="H12" s="17">
        <f>'Non-Rebalanced Portfolio'!H12</f>
        <v>11.39</v>
      </c>
      <c r="N12" s="49">
        <f>'4.5% Withdrawals-No Rebalancing'!N12</f>
        <v>2000</v>
      </c>
      <c r="O12" s="50">
        <f>'4.5% Withdrawals-No Rebalancing'!O12</f>
        <v>3.4000000000000002E-2</v>
      </c>
      <c r="P12" s="44"/>
    </row>
    <row r="13" spans="1:16" x14ac:dyDescent="0.25">
      <c r="A13" s="17">
        <f>'Non-Rebalanced Portfolio'!A13</f>
        <v>2001</v>
      </c>
      <c r="B13" s="17">
        <f>'Non-Rebalanced Portfolio'!B13</f>
        <v>-12.02</v>
      </c>
      <c r="C13" s="19">
        <f>'Non-Rebalanced Portfolio'!C13</f>
        <v>0</v>
      </c>
      <c r="D13" s="17"/>
      <c r="E13" s="17"/>
      <c r="F13" s="17"/>
      <c r="G13" s="17">
        <f>'Non-Rebalanced Portfolio'!G13</f>
        <v>-20.152999999999999</v>
      </c>
      <c r="H13" s="17">
        <f>'Non-Rebalanced Portfolio'!H13</f>
        <v>8.43</v>
      </c>
      <c r="N13" s="49">
        <f>'4.5% Withdrawals-No Rebalancing'!N13</f>
        <v>2001</v>
      </c>
      <c r="O13" s="50">
        <f>'4.5% Withdrawals-No Rebalancing'!O13</f>
        <v>1.6E-2</v>
      </c>
      <c r="P13" s="44"/>
    </row>
    <row r="14" spans="1:16" x14ac:dyDescent="0.25">
      <c r="A14" s="17">
        <f>'Non-Rebalanced Portfolio'!A14</f>
        <v>2002</v>
      </c>
      <c r="B14" s="17">
        <f>'Non-Rebalanced Portfolio'!B14</f>
        <v>-22.15</v>
      </c>
      <c r="C14" s="19">
        <f>'Non-Rebalanced Portfolio'!C14</f>
        <v>0</v>
      </c>
      <c r="D14" s="17">
        <f>'Non-Rebalanced Portfolio'!D14</f>
        <v>-14.608000000000001</v>
      </c>
      <c r="E14" s="17">
        <f>'Non-Rebalanced Portfolio'!E14</f>
        <v>-20.021999999999998</v>
      </c>
      <c r="F14" s="17"/>
      <c r="G14" s="17">
        <f>'Non-Rebalanced Portfolio'!G14</f>
        <v>-15.083</v>
      </c>
      <c r="H14" s="17">
        <f>'Non-Rebalanced Portfolio'!H14</f>
        <v>8.26</v>
      </c>
      <c r="N14" s="49">
        <f>'4.5% Withdrawals-No Rebalancing'!N14</f>
        <v>2002</v>
      </c>
      <c r="O14" s="50">
        <f>'4.5% Withdrawals-No Rebalancing'!O14</f>
        <v>2.5000000000000001E-2</v>
      </c>
      <c r="P14" s="44"/>
    </row>
    <row r="15" spans="1:16" x14ac:dyDescent="0.25">
      <c r="A15" s="17">
        <f>'Non-Rebalanced Portfolio'!A15</f>
        <v>2003</v>
      </c>
      <c r="B15" s="17">
        <f>'Non-Rebalanced Portfolio'!B15</f>
        <v>28.5</v>
      </c>
      <c r="C15" s="17"/>
      <c r="D15" s="17">
        <f>'Non-Rebalanced Portfolio'!D15</f>
        <v>34.142000000000003</v>
      </c>
      <c r="E15" s="17">
        <f>'Non-Rebalanced Portfolio'!E15</f>
        <v>45.628</v>
      </c>
      <c r="F15" s="17"/>
      <c r="G15" s="17">
        <f>'Non-Rebalanced Portfolio'!G15</f>
        <v>40.340000000000003</v>
      </c>
      <c r="H15" s="17">
        <f>'Non-Rebalanced Portfolio'!H15</f>
        <v>3.97</v>
      </c>
      <c r="N15" s="49">
        <f>'4.5% Withdrawals-No Rebalancing'!N15</f>
        <v>2003</v>
      </c>
      <c r="O15" s="50">
        <f>'4.5% Withdrawals-No Rebalancing'!O15</f>
        <v>0.02</v>
      </c>
      <c r="P15" s="44"/>
    </row>
    <row r="16" spans="1:16"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c r="N16" s="49">
        <f>'4.5% Withdrawals-No Rebalancing'!N16</f>
        <v>2004</v>
      </c>
      <c r="O16" s="50">
        <f>'4.5% Withdrawals-No Rebalancing'!O16</f>
        <v>3.3000000000000002E-2</v>
      </c>
      <c r="P16" s="44"/>
    </row>
    <row r="17" spans="1:16"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c r="N17" s="49">
        <f>'4.5% Withdrawals-No Rebalancing'!N17</f>
        <v>2005</v>
      </c>
      <c r="O17" s="50">
        <f>'4.5% Withdrawals-No Rebalancing'!O17</f>
        <v>3.3000000000000002E-2</v>
      </c>
      <c r="P17" s="44"/>
    </row>
    <row r="18" spans="1:16"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c r="N18" s="49">
        <f>'4.5% Withdrawals-No Rebalancing'!N18</f>
        <v>2006</v>
      </c>
      <c r="O18" s="50">
        <f>'4.5% Withdrawals-No Rebalancing'!O18</f>
        <v>2.5000000000000001E-2</v>
      </c>
      <c r="P18" s="44"/>
    </row>
    <row r="19" spans="1:16"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c r="N19" s="49">
        <f>'4.5% Withdrawals-No Rebalancing'!N19</f>
        <v>2007</v>
      </c>
      <c r="O19" s="50">
        <f>'4.5% Withdrawals-No Rebalancing'!O19</f>
        <v>4.1000000000000002E-2</v>
      </c>
      <c r="P19" s="44"/>
    </row>
    <row r="20" spans="1:16"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c r="N20" s="49">
        <f>'4.5% Withdrawals-No Rebalancing'!N20</f>
        <v>2008</v>
      </c>
      <c r="O20" s="50">
        <f>'4.5% Withdrawals-No Rebalancing'!O20</f>
        <v>0</v>
      </c>
      <c r="P20" s="44"/>
    </row>
    <row r="21" spans="1:16"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c r="N21" s="49">
        <f>'4.5% Withdrawals-No Rebalancing'!N21</f>
        <v>2009</v>
      </c>
      <c r="O21" s="50">
        <f>'4.5% Withdrawals-No Rebalancing'!O21</f>
        <v>2.8000000000000001E-2</v>
      </c>
      <c r="P21" s="44"/>
    </row>
    <row r="22" spans="1:16"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c r="N22" s="49">
        <f>'4.5% Withdrawals-No Rebalancing'!N22</f>
        <v>2010</v>
      </c>
      <c r="O22" s="50">
        <f>'4.5% Withdrawals-No Rebalancing'!O22</f>
        <v>1.4E-2</v>
      </c>
      <c r="P22" s="44"/>
    </row>
    <row r="23" spans="1:16"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c r="N23" s="49">
        <f>'4.5% Withdrawals-No Rebalancing'!N23</f>
        <v>2011</v>
      </c>
      <c r="O23" s="50">
        <f>'4.5% Withdrawals-No Rebalancing'!O23</f>
        <v>0.03</v>
      </c>
      <c r="P23" s="44"/>
    </row>
    <row r="24" spans="1:16"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c r="N24" s="49">
        <f>'4.5% Withdrawals-No Rebalancing'!N24</f>
        <v>2012</v>
      </c>
      <c r="O24" s="50">
        <f>'4.5% Withdrawals-No Rebalancing'!O24</f>
        <v>1.7999999999999999E-2</v>
      </c>
      <c r="P24" s="44"/>
    </row>
    <row r="25" spans="1:16"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c r="N25" s="49">
        <f>'4.5% Withdrawals-No Rebalancing'!N25</f>
        <v>2013</v>
      </c>
      <c r="O25" s="50">
        <f>'4.5% Withdrawals-No Rebalancing'!O25</f>
        <v>1.15559170535223E-2</v>
      </c>
      <c r="P25" s="44"/>
    </row>
    <row r="26" spans="1:16"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c r="N26" s="49">
        <f>'4.5% Withdrawals-No Rebalancing'!N26</f>
        <v>2014</v>
      </c>
      <c r="O26" s="50">
        <f>'4.5% Withdrawals-No Rebalancing'!O26</f>
        <v>1.29E-2</v>
      </c>
      <c r="P26" s="44"/>
    </row>
    <row r="27" spans="1:16"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c r="N27" s="49">
        <f>'4.5% Withdrawals-No Rebalancing'!N27</f>
        <v>2015</v>
      </c>
      <c r="O27" s="50">
        <f>'4.5% Withdrawals-No Rebalancing'!O27</f>
        <v>4.4000000000000003E-3</v>
      </c>
    </row>
    <row r="28" spans="1:16" x14ac:dyDescent="0.25">
      <c r="A28" s="17">
        <f>'Non-Rebalanced Portfolio'!A28</f>
        <v>2016</v>
      </c>
      <c r="B28" s="17">
        <f>'Non-Rebalanced Portfolio'!B28</f>
        <v>11.82</v>
      </c>
      <c r="C28" s="17"/>
      <c r="D28" s="17">
        <f>'Non-Rebalanced Portfolio'!D28</f>
        <v>11.07</v>
      </c>
      <c r="E28" s="17">
        <f>'Non-Rebalanced Portfolio'!E28</f>
        <v>18.170000000000002</v>
      </c>
      <c r="F28" s="17"/>
      <c r="G28" s="17">
        <f>'Non-Rebalanced Portfolio'!G28</f>
        <v>4.6500000000000004</v>
      </c>
      <c r="H28" s="17">
        <f>'Non-Rebalanced Portfolio'!H28</f>
        <v>2.5</v>
      </c>
      <c r="N28" s="49">
        <f>'4.5% Withdrawals-No Rebalancing'!N28</f>
        <v>2016</v>
      </c>
      <c r="O28" s="50">
        <f>'4.5% Withdrawals-No Rebalancing'!O28</f>
        <v>1.7000000000000001E-2</v>
      </c>
    </row>
    <row r="29" spans="1:16" x14ac:dyDescent="0.25">
      <c r="A29" s="17">
        <f>'Non-Rebalanced Portfolio'!A29</f>
        <v>2017</v>
      </c>
      <c r="B29" s="17">
        <f>'Non-Rebalanced Portfolio'!B29</f>
        <v>21.67</v>
      </c>
      <c r="C29" s="17"/>
      <c r="D29" s="17">
        <f>'Non-Rebalanced Portfolio'!D29</f>
        <v>19.600000000000001</v>
      </c>
      <c r="E29" s="17">
        <f>'Non-Rebalanced Portfolio'!E29</f>
        <v>16.100000000000001</v>
      </c>
      <c r="F29" s="17"/>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7"/>
      <c r="D30" s="17">
        <f>'Non-Rebalanced Portfolio'!D30</f>
        <v>19.600000000000001</v>
      </c>
      <c r="E30" s="17">
        <f>'Non-Rebalanced Portfolio'!E30</f>
        <v>16.100000000000001</v>
      </c>
      <c r="F30" s="17"/>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'4.5% Withdrawals-No Rebalancing'!N32</f>
        <v>2017</v>
      </c>
      <c r="O32" s="50">
        <f>'4.5% Withdrawals-No Rebalancing'!O32</f>
        <v>2.23E-2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5">
      <c r="A36" s="20" t="s">
        <v>156</v>
      </c>
      <c r="N36" s="20" t="s">
        <v>25</v>
      </c>
      <c r="R36" s="20" t="s">
        <v>175</v>
      </c>
      <c r="AG36" s="20" t="s">
        <v>158</v>
      </c>
      <c r="AS36" s="20" t="s">
        <v>7</v>
      </c>
      <c r="BC36" s="20" t="s">
        <v>155</v>
      </c>
    </row>
    <row r="37" spans="1:6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O37" s="80">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88</v>
      </c>
    </row>
    <row r="38" spans="1:65"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72</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87</v>
      </c>
    </row>
    <row r="39" spans="1:65" x14ac:dyDescent="0.25">
      <c r="A39" t="s">
        <v>71</v>
      </c>
      <c r="B39" s="2">
        <v>60000</v>
      </c>
      <c r="C39" s="2">
        <v>0</v>
      </c>
      <c r="F39" s="2">
        <v>0</v>
      </c>
      <c r="H39" s="2">
        <v>40000</v>
      </c>
      <c r="I39" s="2">
        <f>SUM(B39:H39)</f>
        <v>100000</v>
      </c>
      <c r="N39" s="21"/>
      <c r="R39" t="str">
        <f>A39</f>
        <v>Stating Balance</v>
      </c>
      <c r="S39" s="2">
        <f>B39</f>
        <v>60000</v>
      </c>
      <c r="T39" s="2">
        <f t="shared" si="1"/>
        <v>0</v>
      </c>
      <c r="U39" s="2">
        <f t="shared" si="1"/>
        <v>0</v>
      </c>
      <c r="V39" s="2">
        <f t="shared" si="1"/>
        <v>0</v>
      </c>
      <c r="W39" s="2">
        <f t="shared" si="1"/>
        <v>0</v>
      </c>
      <c r="X39" s="2">
        <f t="shared" si="1"/>
        <v>0</v>
      </c>
      <c r="Y39" s="2">
        <f t="shared" si="1"/>
        <v>40000</v>
      </c>
      <c r="Z39" s="2">
        <f t="shared" si="1"/>
        <v>100000</v>
      </c>
      <c r="AD39" s="2"/>
      <c r="AE39" s="2"/>
      <c r="AG39" s="21" t="s">
        <v>86</v>
      </c>
      <c r="AH39" s="6">
        <f t="shared" ref="AH39:AI54" si="5">S39/$Z39</f>
        <v>0.6</v>
      </c>
      <c r="AI39" s="6">
        <f t="shared" si="5"/>
        <v>0</v>
      </c>
      <c r="AJ39" s="23">
        <v>0</v>
      </c>
      <c r="AK39" s="23">
        <v>0</v>
      </c>
      <c r="AL39" s="6">
        <f>W39/$Z39</f>
        <v>0</v>
      </c>
      <c r="AM39" s="23">
        <v>0</v>
      </c>
      <c r="AN39" s="6">
        <f>Y39/$Z39</f>
        <v>0.4</v>
      </c>
      <c r="AO39" s="6">
        <f>Z39/$Z39</f>
        <v>1</v>
      </c>
      <c r="AP39" s="24"/>
      <c r="AR39" s="24"/>
      <c r="AS39" s="21" t="str">
        <f>AG39</f>
        <v>Target Allocation</v>
      </c>
      <c r="AT39" s="24">
        <f t="shared" si="3"/>
        <v>0.6</v>
      </c>
      <c r="AU39" s="24">
        <f t="shared" si="3"/>
        <v>0</v>
      </c>
      <c r="AV39" s="25">
        <f t="shared" si="3"/>
        <v>0</v>
      </c>
      <c r="AW39" s="25">
        <f t="shared" si="3"/>
        <v>0</v>
      </c>
      <c r="AX39" s="24">
        <f t="shared" si="3"/>
        <v>0</v>
      </c>
      <c r="AY39" s="25">
        <f t="shared" si="3"/>
        <v>0</v>
      </c>
      <c r="AZ39" s="24">
        <f t="shared" si="3"/>
        <v>0.4</v>
      </c>
      <c r="BA39" s="24">
        <f>AO39</f>
        <v>1</v>
      </c>
      <c r="BC39" s="21" t="str">
        <f>AS39</f>
        <v>Target Allocation</v>
      </c>
      <c r="BD39" s="24">
        <f>AT39</f>
        <v>0.6</v>
      </c>
      <c r="BE39" s="24">
        <f t="shared" si="4"/>
        <v>0</v>
      </c>
      <c r="BF39" s="25">
        <f t="shared" si="4"/>
        <v>0</v>
      </c>
      <c r="BG39" s="25">
        <f t="shared" si="4"/>
        <v>0</v>
      </c>
      <c r="BH39" s="24">
        <f t="shared" si="4"/>
        <v>0</v>
      </c>
      <c r="BI39" s="25">
        <f t="shared" si="4"/>
        <v>0</v>
      </c>
      <c r="BJ39" s="24">
        <f t="shared" si="4"/>
        <v>0.4</v>
      </c>
      <c r="BK39" s="24">
        <f t="shared" si="4"/>
        <v>1</v>
      </c>
      <c r="BL39" s="2"/>
    </row>
    <row r="40" spans="1:65" x14ac:dyDescent="0.25">
      <c r="A40">
        <f t="shared" ref="A40:A64" si="6">A4</f>
        <v>1992</v>
      </c>
      <c r="B40" s="2">
        <f>B39*(1+(B4/100))</f>
        <v>64452</v>
      </c>
      <c r="C40" s="2">
        <f>C39*(1+(C4/100))</f>
        <v>0</v>
      </c>
      <c r="D40" s="2"/>
      <c r="E40" s="2"/>
      <c r="F40" s="2">
        <f>F39*(1+(F4/100))</f>
        <v>0</v>
      </c>
      <c r="G40" s="2"/>
      <c r="H40" s="2">
        <f>H39*(1+(H4/100))</f>
        <v>42855.999999999993</v>
      </c>
      <c r="I40" s="2">
        <f>SUM(B40:H40)</f>
        <v>107308</v>
      </c>
      <c r="J40" s="2">
        <f>I40-I39</f>
        <v>7308</v>
      </c>
      <c r="K40" s="6">
        <f>(J40/I39)</f>
        <v>7.3080000000000006E-2</v>
      </c>
      <c r="L40" s="7">
        <f>K40+1</f>
        <v>1.07308</v>
      </c>
      <c r="N40">
        <f>A40</f>
        <v>1992</v>
      </c>
      <c r="O40" s="2">
        <f>I40*0.045</f>
        <v>4828.8599999999997</v>
      </c>
      <c r="P40" s="2">
        <f>O40*0.6</f>
        <v>2897.3159999999998</v>
      </c>
      <c r="Q40" s="2">
        <f>O40*0.4</f>
        <v>1931.5439999999999</v>
      </c>
      <c r="R40">
        <f>A40</f>
        <v>1992</v>
      </c>
      <c r="S40" s="2">
        <f>B40-(O40*0.6)</f>
        <v>61554.684000000001</v>
      </c>
      <c r="T40" s="2"/>
      <c r="U40" s="2"/>
      <c r="V40" s="2"/>
      <c r="W40" s="2"/>
      <c r="X40" s="2"/>
      <c r="Y40" s="2">
        <f>H40-(O40*0.4)</f>
        <v>40924.455999999991</v>
      </c>
      <c r="Z40" s="2">
        <f>SUM(S40:Y40)</f>
        <v>102479.13999999998</v>
      </c>
      <c r="AA40" s="2">
        <f>Z40-Z39</f>
        <v>2479.1399999999849</v>
      </c>
      <c r="AB40" s="6">
        <f>(AA40/Z39)</f>
        <v>2.4791399999999849E-2</v>
      </c>
      <c r="AC40" s="7">
        <f>AB40+1</f>
        <v>1.0247913999999998</v>
      </c>
      <c r="AD40" s="2">
        <f>Z40-(I40-O40)</f>
        <v>0</v>
      </c>
      <c r="AE40" s="2"/>
      <c r="AG40">
        <f>A40</f>
        <v>1992</v>
      </c>
      <c r="AH40" s="6">
        <f t="shared" si="5"/>
        <v>0.60065574320783732</v>
      </c>
      <c r="AI40" s="6">
        <f t="shared" si="5"/>
        <v>0</v>
      </c>
      <c r="AJ40" s="7"/>
      <c r="AK40" s="7"/>
      <c r="AL40" s="6">
        <f>W40/$Z40</f>
        <v>0</v>
      </c>
      <c r="AM40" s="7"/>
      <c r="AN40" s="6">
        <f>Y40/$Z40</f>
        <v>0.39934425679216273</v>
      </c>
      <c r="AO40" s="6">
        <f>SUM(AH40:AN40)</f>
        <v>1</v>
      </c>
      <c r="AP40" s="7">
        <f>SUM(AH40:AM40)</f>
        <v>0.60065574320783732</v>
      </c>
      <c r="AQ40" s="7">
        <f>AO40-(AP40+AN40)</f>
        <v>0</v>
      </c>
      <c r="AR40" s="24"/>
      <c r="AS40">
        <f>AG40</f>
        <v>1992</v>
      </c>
      <c r="AT40" s="1" t="b">
        <f>AND((S40/$Z40)&gt;0.15,(S40/$Z40)&lt;0.25)</f>
        <v>0</v>
      </c>
      <c r="AU40" s="1" t="b">
        <f>AND((T40/$Z40)&gt;0.25,(T40/$Z40)&lt;0.35)</f>
        <v>0</v>
      </c>
      <c r="AX40" s="1" t="b">
        <f t="shared" ref="AX40:AX48" si="7">AND((W40/$Z40)&gt;0.15,(W40/$Z40)&lt;0.25)</f>
        <v>0</v>
      </c>
      <c r="AZ40" s="1" t="b">
        <f>AND((Y40/$Z40)&gt;0.25,(Y40/$Z40)&lt;0.35)</f>
        <v>0</v>
      </c>
      <c r="BA40" s="1" t="b">
        <f>AND((Z40/$Z40)&gt;0.999,(Z40/$Z40)&lt;1.01)</f>
        <v>1</v>
      </c>
      <c r="BC40">
        <f>AS40</f>
        <v>1992</v>
      </c>
      <c r="BD40" s="2">
        <f t="shared" ref="BD40:BE50" si="8">$BK40*BD$39</f>
        <v>61487.483999999989</v>
      </c>
      <c r="BE40" s="2">
        <f t="shared" si="8"/>
        <v>0</v>
      </c>
      <c r="BF40" s="2"/>
      <c r="BG40" s="2"/>
      <c r="BH40" s="2">
        <f t="shared" ref="BH40:BH48" si="9">$BK40*BH$39</f>
        <v>0</v>
      </c>
      <c r="BI40" s="2"/>
      <c r="BJ40" s="2">
        <f t="shared" ref="BJ40:BJ64" si="10">$BK40*BJ$39</f>
        <v>40991.655999999995</v>
      </c>
      <c r="BK40" s="2">
        <f>Z40</f>
        <v>102479.13999999998</v>
      </c>
      <c r="BL40" s="2">
        <f>SUM(BD40:BJ40)-Z40</f>
        <v>0</v>
      </c>
      <c r="BM40" s="2"/>
    </row>
    <row r="41" spans="1:65" x14ac:dyDescent="0.25">
      <c r="A41">
        <f t="shared" si="6"/>
        <v>1993</v>
      </c>
      <c r="B41" s="2">
        <f t="shared" ref="B41:C56" si="11">BD40*(1+(B5/100))</f>
        <v>67568.596167599986</v>
      </c>
      <c r="C41" s="2">
        <f t="shared" si="11"/>
        <v>0</v>
      </c>
      <c r="D41" s="2"/>
      <c r="E41" s="2"/>
      <c r="F41" s="2">
        <f t="shared" ref="F41:F48" si="12">BH40*(1+(F5/100))</f>
        <v>0</v>
      </c>
      <c r="G41" s="2"/>
      <c r="H41" s="2">
        <f t="shared" ref="H41:H64" si="13">BJ40*(1+(H5/100))</f>
        <v>44959.648300799992</v>
      </c>
      <c r="I41" s="2">
        <f>SUM(B41:H41)</f>
        <v>112528.24446839998</v>
      </c>
      <c r="J41" s="2">
        <f t="shared" ref="J41:J64" si="14">I41-I40</f>
        <v>5220.2444683999784</v>
      </c>
      <c r="K41" s="6">
        <f t="shared" ref="K41:K64" si="15">(J41/I40)</f>
        <v>4.8647299999999796E-2</v>
      </c>
      <c r="L41" s="7">
        <f t="shared" ref="L41:L64" si="16">K41+1</f>
        <v>1.0486472999999998</v>
      </c>
      <c r="N41">
        <f t="shared" ref="N41:N64" si="17">A41</f>
        <v>1993</v>
      </c>
      <c r="O41" s="2">
        <f t="shared" ref="O41:O64" si="18">O40*(1+O5)</f>
        <v>4964.06808</v>
      </c>
      <c r="P41" s="2"/>
      <c r="Q41" s="2">
        <f>Q40+P40</f>
        <v>4828.8599999999997</v>
      </c>
      <c r="R41">
        <f t="shared" ref="R41:R64" si="19">A41</f>
        <v>1993</v>
      </c>
      <c r="S41" s="2">
        <f t="shared" ref="S41:S64" si="20">B41-(O41*0.6)</f>
        <v>64590.155319599988</v>
      </c>
      <c r="T41" s="2"/>
      <c r="U41" s="2"/>
      <c r="V41" s="2"/>
      <c r="W41" s="2"/>
      <c r="X41" s="2"/>
      <c r="Y41" s="2">
        <f t="shared" ref="Y41:Y64" si="21">H41-(O41*0.4)</f>
        <v>42974.021068799993</v>
      </c>
      <c r="Z41" s="2">
        <f t="shared" ref="Z41:Z64" si="22">SUM(S41:Y41)</f>
        <v>107564.17638839998</v>
      </c>
      <c r="AA41" s="2">
        <f t="shared" ref="AA41:AA55" si="23">Z41-Z40</f>
        <v>5085.0363883999962</v>
      </c>
      <c r="AB41" s="6">
        <f t="shared" ref="AB41:AB55" si="24">(AA41/Z40)</f>
        <v>4.9620209424083739E-2</v>
      </c>
      <c r="AC41" s="7">
        <f t="shared" ref="AC41:AC64" si="25">AB41+1</f>
        <v>1.0496202094240838</v>
      </c>
      <c r="AD41" s="2">
        <f t="shared" ref="AD41:AD64" si="26">Z41-(I41-O41)</f>
        <v>0</v>
      </c>
      <c r="AE41" s="2"/>
      <c r="AG41">
        <f t="shared" ref="AG41:AG64" si="27">A41</f>
        <v>1993</v>
      </c>
      <c r="AH41" s="6">
        <f t="shared" si="5"/>
        <v>0.60048017368137041</v>
      </c>
      <c r="AI41" s="6">
        <f t="shared" si="5"/>
        <v>0</v>
      </c>
      <c r="AJ41" s="7"/>
      <c r="AK41" s="7"/>
      <c r="AL41" s="6">
        <f t="shared" ref="AL41:AM56" si="28">W41/$Z41</f>
        <v>0</v>
      </c>
      <c r="AM41" s="7"/>
      <c r="AN41" s="6">
        <f t="shared" ref="AN41:AN64" si="29">Y41/$Z41</f>
        <v>0.39951982631862953</v>
      </c>
      <c r="AO41" s="6">
        <f t="shared" ref="AO41:AO64" si="30">SUM(AH41:AN41)</f>
        <v>1</v>
      </c>
      <c r="AP41" s="7">
        <f t="shared" ref="AP41:AP64" si="31">SUM(AH41:AM41)</f>
        <v>0.60048017368137041</v>
      </c>
      <c r="AQ41" s="7">
        <f t="shared" ref="AQ41:AQ64" si="32">AO41-(AP41+AN41)</f>
        <v>0</v>
      </c>
      <c r="AR41" s="24"/>
      <c r="AS41">
        <f t="shared" ref="AS41:AS64" si="33">AG41</f>
        <v>1993</v>
      </c>
      <c r="AT41" s="1" t="b">
        <f t="shared" ref="AT41:AT64" si="34">AND((S41/$Z41)&gt;0.15,(S41/$Z41)&lt;0.25)</f>
        <v>0</v>
      </c>
      <c r="AU41" s="1" t="b">
        <f t="shared" ref="AU41:AU50" si="35">AND((T41/$Z41)&gt;0.25,(T41/$Z41)&lt;0.35)</f>
        <v>0</v>
      </c>
      <c r="AX41" s="1" t="b">
        <f t="shared" si="7"/>
        <v>0</v>
      </c>
      <c r="AZ41" s="1" t="b">
        <f t="shared" ref="AZ41:AZ64" si="36">AND((Y41/$Z41)&gt;0.25,(Y41/$Z41)&lt;0.35)</f>
        <v>0</v>
      </c>
      <c r="BA41" s="1" t="b">
        <f t="shared" ref="BA41:BA64" si="37">AND((Z41/$Z41)&gt;0.999,(Z41/$Z41)&lt;1.01)</f>
        <v>1</v>
      </c>
      <c r="BC41">
        <f t="shared" ref="BC41:BC64" si="38">AS41</f>
        <v>1993</v>
      </c>
      <c r="BD41" s="2">
        <f t="shared" si="8"/>
        <v>64538.505833039984</v>
      </c>
      <c r="BE41" s="2">
        <f t="shared" si="8"/>
        <v>0</v>
      </c>
      <c r="BF41" s="2"/>
      <c r="BG41" s="2"/>
      <c r="BH41" s="2">
        <f t="shared" si="9"/>
        <v>0</v>
      </c>
      <c r="BI41" s="2"/>
      <c r="BJ41" s="2">
        <f t="shared" si="10"/>
        <v>43025.670555359997</v>
      </c>
      <c r="BK41" s="2">
        <f t="shared" ref="BK41:BK64" si="39">Z41</f>
        <v>107564.17638839998</v>
      </c>
      <c r="BL41" s="2">
        <f t="shared" ref="BL41:BL64" si="40">SUM(BD41:BJ41)-Z41</f>
        <v>0</v>
      </c>
      <c r="BM41" s="2"/>
    </row>
    <row r="42" spans="1:65" x14ac:dyDescent="0.25">
      <c r="A42">
        <f t="shared" si="6"/>
        <v>1994</v>
      </c>
      <c r="B42" s="2">
        <f t="shared" si="11"/>
        <v>65300.060201869856</v>
      </c>
      <c r="C42" s="2">
        <f t="shared" si="11"/>
        <v>0</v>
      </c>
      <c r="D42" s="2"/>
      <c r="E42" s="2"/>
      <c r="F42" s="2">
        <f t="shared" si="12"/>
        <v>0</v>
      </c>
      <c r="G42" s="2"/>
      <c r="H42" s="2">
        <f t="shared" si="13"/>
        <v>41881.187718587425</v>
      </c>
      <c r="I42" s="2">
        <f t="shared" ref="I42:I64" si="41">SUM(B42:H42)</f>
        <v>107181.24792045727</v>
      </c>
      <c r="J42" s="2">
        <f t="shared" si="14"/>
        <v>-5346.9965479427046</v>
      </c>
      <c r="K42" s="6">
        <f t="shared" si="15"/>
        <v>-4.7516928511616839E-2</v>
      </c>
      <c r="L42" s="7">
        <f t="shared" si="16"/>
        <v>0.95248307148838318</v>
      </c>
      <c r="N42">
        <f t="shared" si="17"/>
        <v>1994</v>
      </c>
      <c r="O42" s="2">
        <f t="shared" si="18"/>
        <v>5093.1338500800002</v>
      </c>
      <c r="P42" s="2"/>
      <c r="Q42" s="2"/>
      <c r="R42">
        <f t="shared" si="19"/>
        <v>1994</v>
      </c>
      <c r="S42" s="2">
        <f t="shared" si="20"/>
        <v>62244.179891821856</v>
      </c>
      <c r="T42" s="2"/>
      <c r="U42" s="2"/>
      <c r="V42" s="2"/>
      <c r="W42" s="2"/>
      <c r="X42" s="2"/>
      <c r="Y42" s="2">
        <f t="shared" si="21"/>
        <v>39843.934178555428</v>
      </c>
      <c r="Z42" s="2">
        <f t="shared" si="22"/>
        <v>102088.11407037728</v>
      </c>
      <c r="AA42" s="2">
        <f t="shared" si="23"/>
        <v>-5476.0623180226976</v>
      </c>
      <c r="AB42" s="6">
        <f t="shared" si="24"/>
        <v>-5.0909722008648704E-2</v>
      </c>
      <c r="AC42" s="7">
        <f t="shared" si="25"/>
        <v>0.94909027799135126</v>
      </c>
      <c r="AD42" s="2">
        <f t="shared" si="26"/>
        <v>0</v>
      </c>
      <c r="AE42" s="2"/>
      <c r="AG42">
        <f t="shared" si="27"/>
        <v>1994</v>
      </c>
      <c r="AH42" s="6">
        <f t="shared" si="5"/>
        <v>0.60971035128450013</v>
      </c>
      <c r="AI42" s="6">
        <f t="shared" si="5"/>
        <v>0</v>
      </c>
      <c r="AJ42" s="7"/>
      <c r="AK42" s="7"/>
      <c r="AL42" s="6">
        <f t="shared" si="28"/>
        <v>0</v>
      </c>
      <c r="AM42" s="7"/>
      <c r="AN42" s="6">
        <f t="shared" si="29"/>
        <v>0.39028964871549987</v>
      </c>
      <c r="AO42" s="6">
        <f t="shared" si="30"/>
        <v>1</v>
      </c>
      <c r="AP42" s="7">
        <f t="shared" si="31"/>
        <v>0.60971035128450013</v>
      </c>
      <c r="AQ42" s="7">
        <f t="shared" si="32"/>
        <v>0</v>
      </c>
      <c r="AR42" s="24"/>
      <c r="AS42">
        <f t="shared" si="33"/>
        <v>1994</v>
      </c>
      <c r="AT42" s="1" t="b">
        <f t="shared" si="34"/>
        <v>0</v>
      </c>
      <c r="AU42" s="1" t="b">
        <f t="shared" si="35"/>
        <v>0</v>
      </c>
      <c r="AX42" s="1" t="b">
        <f t="shared" si="7"/>
        <v>0</v>
      </c>
      <c r="AZ42" s="1" t="b">
        <f t="shared" si="36"/>
        <v>0</v>
      </c>
      <c r="BA42" s="1" t="b">
        <f t="shared" si="37"/>
        <v>1</v>
      </c>
      <c r="BC42">
        <f t="shared" si="38"/>
        <v>1994</v>
      </c>
      <c r="BD42" s="2">
        <f t="shared" si="8"/>
        <v>61252.868442226369</v>
      </c>
      <c r="BE42" s="2">
        <f t="shared" si="8"/>
        <v>0</v>
      </c>
      <c r="BF42" s="2"/>
      <c r="BG42" s="2"/>
      <c r="BH42" s="2">
        <f t="shared" si="9"/>
        <v>0</v>
      </c>
      <c r="BI42" s="2"/>
      <c r="BJ42" s="2">
        <f t="shared" si="10"/>
        <v>40835.245628150915</v>
      </c>
      <c r="BK42" s="2">
        <f t="shared" si="39"/>
        <v>102088.11407037728</v>
      </c>
      <c r="BL42" s="2">
        <f t="shared" si="40"/>
        <v>0</v>
      </c>
      <c r="BM42" s="2"/>
    </row>
    <row r="43" spans="1:65" x14ac:dyDescent="0.25">
      <c r="A43">
        <f t="shared" si="6"/>
        <v>1995</v>
      </c>
      <c r="B43" s="2">
        <f t="shared" si="11"/>
        <v>84192.067673840153</v>
      </c>
      <c r="C43" s="2">
        <f t="shared" si="11"/>
        <v>0</v>
      </c>
      <c r="D43" s="2"/>
      <c r="E43" s="2"/>
      <c r="F43" s="2">
        <f t="shared" si="12"/>
        <v>0</v>
      </c>
      <c r="G43" s="2"/>
      <c r="H43" s="2">
        <f t="shared" si="13"/>
        <v>48259.093283348753</v>
      </c>
      <c r="I43" s="2">
        <f t="shared" si="41"/>
        <v>132451.1609571889</v>
      </c>
      <c r="J43" s="2">
        <f t="shared" si="14"/>
        <v>25269.913036731625</v>
      </c>
      <c r="K43" s="6">
        <f t="shared" si="15"/>
        <v>0.23576804270356375</v>
      </c>
      <c r="L43" s="7">
        <f t="shared" si="16"/>
        <v>1.2357680427035638</v>
      </c>
      <c r="N43">
        <f t="shared" si="17"/>
        <v>1995</v>
      </c>
      <c r="O43" s="2">
        <f t="shared" si="18"/>
        <v>5220.4621963319996</v>
      </c>
      <c r="P43" s="2"/>
      <c r="Q43" s="2"/>
      <c r="R43">
        <f t="shared" si="19"/>
        <v>1995</v>
      </c>
      <c r="S43" s="2">
        <f t="shared" si="20"/>
        <v>81059.790356040947</v>
      </c>
      <c r="T43" s="2"/>
      <c r="U43" s="2"/>
      <c r="V43" s="2"/>
      <c r="W43" s="2"/>
      <c r="X43" s="2"/>
      <c r="Y43" s="2">
        <f t="shared" si="21"/>
        <v>46170.908404815957</v>
      </c>
      <c r="Z43" s="2">
        <f t="shared" si="22"/>
        <v>127230.6987608569</v>
      </c>
      <c r="AA43" s="2">
        <f t="shared" si="23"/>
        <v>25142.58469047962</v>
      </c>
      <c r="AB43" s="6">
        <f t="shared" si="24"/>
        <v>0.24628317330993968</v>
      </c>
      <c r="AC43" s="7">
        <f t="shared" si="25"/>
        <v>1.2462831733099398</v>
      </c>
      <c r="AD43" s="2">
        <f t="shared" si="26"/>
        <v>0</v>
      </c>
      <c r="AE43" s="2"/>
      <c r="AG43">
        <f t="shared" si="27"/>
        <v>1995</v>
      </c>
      <c r="AH43" s="6">
        <f t="shared" si="5"/>
        <v>0.63710874140840101</v>
      </c>
      <c r="AI43" s="6">
        <f t="shared" si="5"/>
        <v>0</v>
      </c>
      <c r="AJ43" s="7"/>
      <c r="AK43" s="7"/>
      <c r="AL43" s="6">
        <f t="shared" si="28"/>
        <v>0</v>
      </c>
      <c r="AM43" s="7"/>
      <c r="AN43" s="6">
        <f t="shared" si="29"/>
        <v>0.36289125859159899</v>
      </c>
      <c r="AO43" s="6">
        <f t="shared" si="30"/>
        <v>1</v>
      </c>
      <c r="AP43" s="7">
        <f t="shared" si="31"/>
        <v>0.63710874140840101</v>
      </c>
      <c r="AQ43" s="7">
        <f t="shared" si="32"/>
        <v>0</v>
      </c>
      <c r="AR43" s="24"/>
      <c r="AS43">
        <f t="shared" si="33"/>
        <v>1995</v>
      </c>
      <c r="AT43" s="1" t="b">
        <f t="shared" si="34"/>
        <v>0</v>
      </c>
      <c r="AU43" s="1" t="b">
        <f t="shared" si="35"/>
        <v>0</v>
      </c>
      <c r="AX43" s="1" t="b">
        <f t="shared" si="7"/>
        <v>0</v>
      </c>
      <c r="AZ43" s="1" t="b">
        <f t="shared" si="36"/>
        <v>0</v>
      </c>
      <c r="BA43" s="1" t="b">
        <f t="shared" si="37"/>
        <v>1</v>
      </c>
      <c r="BC43">
        <f t="shared" si="38"/>
        <v>1995</v>
      </c>
      <c r="BD43" s="2">
        <f t="shared" si="8"/>
        <v>76338.419256514142</v>
      </c>
      <c r="BE43" s="2">
        <f t="shared" si="8"/>
        <v>0</v>
      </c>
      <c r="BF43" s="2"/>
      <c r="BG43" s="2"/>
      <c r="BH43" s="2">
        <f t="shared" si="9"/>
        <v>0</v>
      </c>
      <c r="BI43" s="2"/>
      <c r="BJ43" s="2">
        <f t="shared" si="10"/>
        <v>50892.279504342761</v>
      </c>
      <c r="BK43" s="2">
        <f t="shared" si="39"/>
        <v>127230.6987608569</v>
      </c>
      <c r="BL43" s="2">
        <f t="shared" si="40"/>
        <v>0</v>
      </c>
      <c r="BM43" s="2"/>
    </row>
    <row r="44" spans="1:65" x14ac:dyDescent="0.25">
      <c r="A44">
        <f t="shared" si="6"/>
        <v>1996</v>
      </c>
      <c r="B44" s="2">
        <f t="shared" si="11"/>
        <v>93804.649582404585</v>
      </c>
      <c r="C44" s="2">
        <f t="shared" si="11"/>
        <v>0</v>
      </c>
      <c r="D44" s="2"/>
      <c r="E44" s="2"/>
      <c r="F44" s="2">
        <f t="shared" si="12"/>
        <v>0</v>
      </c>
      <c r="G44" s="2"/>
      <c r="H44" s="2">
        <f t="shared" si="13"/>
        <v>52714.223110598236</v>
      </c>
      <c r="I44" s="2">
        <f t="shared" si="41"/>
        <v>146518.87269300281</v>
      </c>
      <c r="J44" s="2">
        <f t="shared" si="14"/>
        <v>14067.711735813908</v>
      </c>
      <c r="K44" s="6">
        <f t="shared" si="15"/>
        <v>0.10621055817216203</v>
      </c>
      <c r="L44" s="7">
        <f t="shared" si="16"/>
        <v>1.106210558172162</v>
      </c>
      <c r="N44">
        <f t="shared" si="17"/>
        <v>1996</v>
      </c>
      <c r="O44" s="2">
        <f t="shared" si="18"/>
        <v>5397.9579110072882</v>
      </c>
      <c r="P44" s="2"/>
      <c r="Q44" s="2"/>
      <c r="R44">
        <f t="shared" si="19"/>
        <v>1996</v>
      </c>
      <c r="S44" s="2">
        <f t="shared" si="20"/>
        <v>90565.874835800205</v>
      </c>
      <c r="T44" s="2"/>
      <c r="U44" s="2"/>
      <c r="V44" s="2"/>
      <c r="W44" s="2"/>
      <c r="X44" s="2"/>
      <c r="Y44" s="2">
        <f t="shared" si="21"/>
        <v>50555.03994619532</v>
      </c>
      <c r="Z44" s="2">
        <f t="shared" si="22"/>
        <v>141120.91478199553</v>
      </c>
      <c r="AA44" s="2">
        <f t="shared" si="23"/>
        <v>13890.216021138622</v>
      </c>
      <c r="AB44" s="6">
        <f t="shared" si="24"/>
        <v>0.10917346329478786</v>
      </c>
      <c r="AC44" s="7">
        <f t="shared" si="25"/>
        <v>1.1091734632947878</v>
      </c>
      <c r="AD44" s="2">
        <f t="shared" si="26"/>
        <v>0</v>
      </c>
      <c r="AE44" s="2"/>
      <c r="AG44">
        <f t="shared" si="27"/>
        <v>1996</v>
      </c>
      <c r="AH44" s="6">
        <f t="shared" si="5"/>
        <v>0.64176082599596906</v>
      </c>
      <c r="AI44" s="38">
        <f t="shared" si="5"/>
        <v>0</v>
      </c>
      <c r="AJ44" s="7"/>
      <c r="AK44" s="7"/>
      <c r="AL44" s="38">
        <f t="shared" si="28"/>
        <v>0</v>
      </c>
      <c r="AM44" s="7"/>
      <c r="AN44" s="6">
        <f t="shared" si="29"/>
        <v>0.35823917400403094</v>
      </c>
      <c r="AO44" s="6">
        <f t="shared" si="30"/>
        <v>1</v>
      </c>
      <c r="AP44" s="7">
        <f t="shared" si="31"/>
        <v>0.64176082599596906</v>
      </c>
      <c r="AQ44" s="7">
        <f t="shared" si="32"/>
        <v>0</v>
      </c>
      <c r="AR44" s="24"/>
      <c r="AS44">
        <f t="shared" si="33"/>
        <v>1996</v>
      </c>
      <c r="AT44" s="1" t="b">
        <f t="shared" si="34"/>
        <v>0</v>
      </c>
      <c r="AU44" s="1" t="b">
        <f t="shared" si="35"/>
        <v>0</v>
      </c>
      <c r="AV44" s="1"/>
      <c r="AW44" s="1"/>
      <c r="AX44" s="1" t="b">
        <f t="shared" si="7"/>
        <v>0</v>
      </c>
      <c r="AY44" s="1"/>
      <c r="AZ44" s="1" t="b">
        <f t="shared" si="36"/>
        <v>0</v>
      </c>
      <c r="BA44" s="1" t="b">
        <f t="shared" si="37"/>
        <v>1</v>
      </c>
      <c r="BC44">
        <f t="shared" si="38"/>
        <v>1996</v>
      </c>
      <c r="BD44" s="2">
        <f t="shared" si="8"/>
        <v>84672.548869197315</v>
      </c>
      <c r="BE44" s="2">
        <f t="shared" si="8"/>
        <v>0</v>
      </c>
      <c r="BF44" s="2"/>
      <c r="BG44" s="2"/>
      <c r="BH44" s="2">
        <f t="shared" si="9"/>
        <v>0</v>
      </c>
      <c r="BI44" s="2"/>
      <c r="BJ44" s="2">
        <f t="shared" si="10"/>
        <v>56448.36591279821</v>
      </c>
      <c r="BK44" s="2">
        <f t="shared" si="39"/>
        <v>141120.91478199553</v>
      </c>
      <c r="BL44" s="2">
        <f t="shared" si="40"/>
        <v>0</v>
      </c>
      <c r="BM44" s="2"/>
    </row>
    <row r="45" spans="1:65" x14ac:dyDescent="0.25">
      <c r="A45">
        <f t="shared" si="6"/>
        <v>1997</v>
      </c>
      <c r="B45" s="2">
        <f t="shared" si="11"/>
        <v>112775.36783888392</v>
      </c>
      <c r="C45" s="2">
        <f t="shared" si="11"/>
        <v>0</v>
      </c>
      <c r="D45" s="2"/>
      <c r="E45" s="2"/>
      <c r="F45" s="2">
        <f t="shared" si="12"/>
        <v>0</v>
      </c>
      <c r="G45" s="2"/>
      <c r="H45" s="2">
        <f t="shared" si="13"/>
        <v>61777.09165496636</v>
      </c>
      <c r="I45" s="2">
        <f t="shared" si="41"/>
        <v>174552.45949385027</v>
      </c>
      <c r="J45" s="2">
        <f t="shared" si="14"/>
        <v>28033.586800847464</v>
      </c>
      <c r="K45" s="6">
        <f t="shared" si="15"/>
        <v>0.19133089332174641</v>
      </c>
      <c r="L45" s="7">
        <f t="shared" si="16"/>
        <v>1.1913308933217464</v>
      </c>
      <c r="N45">
        <f t="shared" si="17"/>
        <v>1997</v>
      </c>
      <c r="O45" s="2">
        <f t="shared" si="18"/>
        <v>5489.7231954944118</v>
      </c>
      <c r="P45" s="2"/>
      <c r="Q45" s="2"/>
      <c r="R45">
        <f t="shared" si="19"/>
        <v>1997</v>
      </c>
      <c r="S45" s="2">
        <f t="shared" si="20"/>
        <v>109481.53392158727</v>
      </c>
      <c r="T45" s="2"/>
      <c r="U45" s="2"/>
      <c r="V45" s="2"/>
      <c r="W45" s="2"/>
      <c r="X45" s="2"/>
      <c r="Y45" s="2">
        <f t="shared" si="21"/>
        <v>59581.202376768597</v>
      </c>
      <c r="Z45" s="2">
        <f t="shared" si="22"/>
        <v>169062.73629835586</v>
      </c>
      <c r="AA45" s="2">
        <f t="shared" si="23"/>
        <v>27941.821516360331</v>
      </c>
      <c r="AB45" s="6">
        <f t="shared" si="24"/>
        <v>0.19799915242559923</v>
      </c>
      <c r="AC45" s="7">
        <f t="shared" si="25"/>
        <v>1.1979991524255993</v>
      </c>
      <c r="AD45" s="2">
        <f t="shared" si="26"/>
        <v>0</v>
      </c>
      <c r="AE45" s="2"/>
      <c r="AG45">
        <f t="shared" si="27"/>
        <v>1997</v>
      </c>
      <c r="AH45" s="6">
        <f t="shared" si="5"/>
        <v>0.64757933249334243</v>
      </c>
      <c r="AI45" s="6">
        <f t="shared" si="5"/>
        <v>0</v>
      </c>
      <c r="AJ45" s="7"/>
      <c r="AK45" s="7"/>
      <c r="AL45" s="6">
        <f t="shared" si="28"/>
        <v>0</v>
      </c>
      <c r="AM45" s="7"/>
      <c r="AN45" s="6">
        <f t="shared" si="29"/>
        <v>0.35242066750665757</v>
      </c>
      <c r="AO45" s="6">
        <f t="shared" si="30"/>
        <v>1</v>
      </c>
      <c r="AP45" s="7">
        <f t="shared" si="31"/>
        <v>0.64757933249334243</v>
      </c>
      <c r="AQ45" s="7">
        <f t="shared" si="32"/>
        <v>0</v>
      </c>
      <c r="AR45" s="24"/>
      <c r="AS45">
        <f t="shared" si="33"/>
        <v>1997</v>
      </c>
      <c r="AT45" s="1" t="b">
        <f t="shared" si="34"/>
        <v>0</v>
      </c>
      <c r="AU45" s="1" t="b">
        <f t="shared" si="35"/>
        <v>0</v>
      </c>
      <c r="AV45" s="1"/>
      <c r="AW45" s="1"/>
      <c r="AX45" s="1" t="b">
        <f t="shared" si="7"/>
        <v>0</v>
      </c>
      <c r="AY45" s="1"/>
      <c r="AZ45" s="1" t="b">
        <f t="shared" si="36"/>
        <v>0</v>
      </c>
      <c r="BA45" s="1" t="b">
        <f t="shared" si="37"/>
        <v>1</v>
      </c>
      <c r="BC45">
        <f t="shared" si="38"/>
        <v>1997</v>
      </c>
      <c r="BD45" s="2">
        <f t="shared" si="8"/>
        <v>101437.64177901352</v>
      </c>
      <c r="BE45" s="2">
        <f t="shared" si="8"/>
        <v>0</v>
      </c>
      <c r="BF45" s="2"/>
      <c r="BG45" s="2"/>
      <c r="BH45" s="2">
        <f t="shared" si="9"/>
        <v>0</v>
      </c>
      <c r="BI45" s="2"/>
      <c r="BJ45" s="2">
        <f t="shared" si="10"/>
        <v>67625.094519342339</v>
      </c>
      <c r="BK45" s="2">
        <f t="shared" si="39"/>
        <v>169062.73629835586</v>
      </c>
      <c r="BL45" s="2">
        <f t="shared" si="40"/>
        <v>0</v>
      </c>
      <c r="BM45" s="2"/>
    </row>
    <row r="46" spans="1:65" x14ac:dyDescent="0.25">
      <c r="A46">
        <f t="shared" si="6"/>
        <v>1998</v>
      </c>
      <c r="B46" s="2">
        <f t="shared" si="11"/>
        <v>130509.66991287879</v>
      </c>
      <c r="C46" s="2">
        <f t="shared" si="11"/>
        <v>0</v>
      </c>
      <c r="D46" s="2"/>
      <c r="E46" s="2"/>
      <c r="F46" s="2">
        <f t="shared" si="12"/>
        <v>0</v>
      </c>
      <c r="G46" s="2"/>
      <c r="H46" s="2">
        <f t="shared" si="13"/>
        <v>73427.327629101914</v>
      </c>
      <c r="I46" s="2">
        <f t="shared" si="41"/>
        <v>203936.9975419807</v>
      </c>
      <c r="J46" s="2">
        <f t="shared" si="14"/>
        <v>29384.538048130431</v>
      </c>
      <c r="K46" s="6">
        <f t="shared" si="15"/>
        <v>0.16834215990617818</v>
      </c>
      <c r="L46" s="7">
        <f t="shared" si="16"/>
        <v>1.1683421599061781</v>
      </c>
      <c r="N46">
        <f t="shared" si="17"/>
        <v>1998</v>
      </c>
      <c r="O46" s="2">
        <f t="shared" si="18"/>
        <v>5577.5587666223228</v>
      </c>
      <c r="P46" s="2"/>
      <c r="Q46" s="2"/>
      <c r="R46">
        <f t="shared" si="19"/>
        <v>1998</v>
      </c>
      <c r="S46" s="2">
        <f t="shared" si="20"/>
        <v>127163.1346529054</v>
      </c>
      <c r="T46" s="2"/>
      <c r="U46" s="2"/>
      <c r="V46" s="2"/>
      <c r="W46" s="2"/>
      <c r="X46" s="2"/>
      <c r="Y46" s="2">
        <f t="shared" si="21"/>
        <v>71196.304122452988</v>
      </c>
      <c r="Z46" s="2">
        <f t="shared" si="22"/>
        <v>198359.43877535837</v>
      </c>
      <c r="AA46" s="2">
        <f t="shared" si="23"/>
        <v>29296.702477002516</v>
      </c>
      <c r="AB46" s="6">
        <f t="shared" si="24"/>
        <v>0.17328894065278078</v>
      </c>
      <c r="AC46" s="7">
        <f t="shared" si="25"/>
        <v>1.1732889406527809</v>
      </c>
      <c r="AD46" s="2">
        <f t="shared" si="26"/>
        <v>0</v>
      </c>
      <c r="AE46" s="2"/>
      <c r="AG46">
        <f t="shared" si="27"/>
        <v>1998</v>
      </c>
      <c r="AH46" s="6">
        <f t="shared" si="5"/>
        <v>0.64107428130464394</v>
      </c>
      <c r="AI46" s="6">
        <f t="shared" si="5"/>
        <v>0</v>
      </c>
      <c r="AJ46" s="7"/>
      <c r="AK46" s="7"/>
      <c r="AL46" s="6">
        <f t="shared" si="28"/>
        <v>0</v>
      </c>
      <c r="AM46" s="7"/>
      <c r="AN46" s="6">
        <f t="shared" si="29"/>
        <v>0.35892571869535611</v>
      </c>
      <c r="AO46" s="6">
        <f t="shared" si="30"/>
        <v>1</v>
      </c>
      <c r="AP46" s="7">
        <f t="shared" si="31"/>
        <v>0.64107428130464394</v>
      </c>
      <c r="AQ46" s="7">
        <f t="shared" si="32"/>
        <v>0</v>
      </c>
      <c r="AR46" s="24"/>
      <c r="AS46">
        <f t="shared" si="33"/>
        <v>1998</v>
      </c>
      <c r="AT46" s="1" t="b">
        <f t="shared" si="34"/>
        <v>0</v>
      </c>
      <c r="AU46" s="1" t="b">
        <f t="shared" si="35"/>
        <v>0</v>
      </c>
      <c r="AV46" s="1"/>
      <c r="AW46" s="1"/>
      <c r="AX46" s="1" t="b">
        <f t="shared" si="7"/>
        <v>0</v>
      </c>
      <c r="AY46" s="1"/>
      <c r="AZ46" s="1" t="b">
        <f t="shared" si="36"/>
        <v>0</v>
      </c>
      <c r="BA46" s="1" t="b">
        <f t="shared" si="37"/>
        <v>1</v>
      </c>
      <c r="BC46">
        <f t="shared" si="38"/>
        <v>1998</v>
      </c>
      <c r="BD46" s="2">
        <f t="shared" si="8"/>
        <v>119015.66326521501</v>
      </c>
      <c r="BE46" s="2">
        <f t="shared" si="8"/>
        <v>0</v>
      </c>
      <c r="BF46" s="2"/>
      <c r="BG46" s="2"/>
      <c r="BH46" s="2">
        <f t="shared" si="9"/>
        <v>0</v>
      </c>
      <c r="BI46" s="2"/>
      <c r="BJ46" s="2">
        <f t="shared" si="10"/>
        <v>79343.775510143358</v>
      </c>
      <c r="BK46" s="2">
        <f t="shared" si="39"/>
        <v>198359.43877535837</v>
      </c>
      <c r="BL46" s="2">
        <f t="shared" si="40"/>
        <v>0</v>
      </c>
      <c r="BM46" s="2"/>
    </row>
    <row r="47" spans="1:65" x14ac:dyDescent="0.25">
      <c r="A47">
        <f t="shared" si="6"/>
        <v>1999</v>
      </c>
      <c r="B47" s="2">
        <f t="shared" si="11"/>
        <v>144092.26351519584</v>
      </c>
      <c r="C47" s="2">
        <f t="shared" si="11"/>
        <v>0</v>
      </c>
      <c r="D47" s="2"/>
      <c r="E47" s="2"/>
      <c r="F47" s="2">
        <f t="shared" si="12"/>
        <v>0</v>
      </c>
      <c r="G47" s="2"/>
      <c r="H47" s="2">
        <f t="shared" si="13"/>
        <v>78740.762816266259</v>
      </c>
      <c r="I47" s="2">
        <f t="shared" si="41"/>
        <v>222833.02633146208</v>
      </c>
      <c r="J47" s="2">
        <f t="shared" si="14"/>
        <v>18896.028789481381</v>
      </c>
      <c r="K47" s="6">
        <f t="shared" si="15"/>
        <v>9.2656207638791038E-2</v>
      </c>
      <c r="L47" s="7">
        <f t="shared" si="16"/>
        <v>1.0926562076387911</v>
      </c>
      <c r="N47">
        <f t="shared" si="17"/>
        <v>1999</v>
      </c>
      <c r="O47" s="2">
        <f t="shared" si="18"/>
        <v>5728.1528533211249</v>
      </c>
      <c r="P47" s="2"/>
      <c r="Q47" s="2"/>
      <c r="R47">
        <f t="shared" si="19"/>
        <v>1999</v>
      </c>
      <c r="S47" s="2">
        <f t="shared" si="20"/>
        <v>140655.37180320316</v>
      </c>
      <c r="T47" s="2"/>
      <c r="U47" s="2"/>
      <c r="V47" s="2"/>
      <c r="W47" s="2"/>
      <c r="X47" s="2"/>
      <c r="Y47" s="2">
        <f t="shared" si="21"/>
        <v>76449.501674937812</v>
      </c>
      <c r="Z47" s="2">
        <f t="shared" si="22"/>
        <v>217104.87347814097</v>
      </c>
      <c r="AA47" s="2">
        <f t="shared" si="23"/>
        <v>18745.434702782601</v>
      </c>
      <c r="AB47" s="6">
        <f t="shared" si="24"/>
        <v>9.4502358035060602E-2</v>
      </c>
      <c r="AC47" s="7">
        <f t="shared" si="25"/>
        <v>1.0945023580350606</v>
      </c>
      <c r="AD47" s="2">
        <f t="shared" si="26"/>
        <v>0</v>
      </c>
      <c r="AE47" s="2"/>
      <c r="AG47">
        <f t="shared" si="27"/>
        <v>1999</v>
      </c>
      <c r="AH47" s="6">
        <f t="shared" si="5"/>
        <v>0.64786832994499743</v>
      </c>
      <c r="AI47" s="6">
        <f t="shared" si="5"/>
        <v>0</v>
      </c>
      <c r="AJ47" s="7"/>
      <c r="AK47" s="7"/>
      <c r="AL47" s="6">
        <f t="shared" si="28"/>
        <v>0</v>
      </c>
      <c r="AM47" s="7"/>
      <c r="AN47" s="6">
        <f t="shared" si="29"/>
        <v>0.35213167005500257</v>
      </c>
      <c r="AO47" s="6">
        <f t="shared" si="30"/>
        <v>1</v>
      </c>
      <c r="AP47" s="7">
        <f t="shared" si="31"/>
        <v>0.64786832994499743</v>
      </c>
      <c r="AQ47" s="7">
        <f t="shared" si="32"/>
        <v>0</v>
      </c>
      <c r="AR47" s="24"/>
      <c r="AS47">
        <f t="shared" si="33"/>
        <v>1999</v>
      </c>
      <c r="AT47" s="1" t="b">
        <f t="shared" si="34"/>
        <v>0</v>
      </c>
      <c r="AU47" s="1" t="b">
        <f t="shared" si="35"/>
        <v>0</v>
      </c>
      <c r="AV47" s="1"/>
      <c r="AW47" s="1"/>
      <c r="AX47" s="1" t="b">
        <f t="shared" si="7"/>
        <v>0</v>
      </c>
      <c r="AY47" s="1"/>
      <c r="AZ47" s="1" t="b">
        <f t="shared" si="36"/>
        <v>0</v>
      </c>
      <c r="BA47" s="1" t="b">
        <f t="shared" si="37"/>
        <v>1</v>
      </c>
      <c r="BC47">
        <f t="shared" si="38"/>
        <v>1999</v>
      </c>
      <c r="BD47" s="2">
        <f t="shared" si="8"/>
        <v>130262.92408688458</v>
      </c>
      <c r="BE47" s="2">
        <f t="shared" si="8"/>
        <v>0</v>
      </c>
      <c r="BF47" s="2"/>
      <c r="BG47" s="2"/>
      <c r="BH47" s="2">
        <f t="shared" si="9"/>
        <v>0</v>
      </c>
      <c r="BI47" s="2"/>
      <c r="BJ47" s="2">
        <f t="shared" si="10"/>
        <v>86841.949391256392</v>
      </c>
      <c r="BK47" s="2">
        <f t="shared" si="39"/>
        <v>217104.87347814097</v>
      </c>
      <c r="BL47" s="2">
        <f t="shared" si="40"/>
        <v>0</v>
      </c>
      <c r="BM47" s="2"/>
    </row>
    <row r="48" spans="1:65" x14ac:dyDescent="0.25">
      <c r="A48">
        <f t="shared" si="6"/>
        <v>2000</v>
      </c>
      <c r="B48" s="2">
        <f t="shared" si="11"/>
        <v>118461.10316461284</v>
      </c>
      <c r="C48" s="2">
        <f t="shared" si="11"/>
        <v>0</v>
      </c>
      <c r="D48" s="2"/>
      <c r="E48" s="2"/>
      <c r="F48" s="2">
        <f t="shared" si="12"/>
        <v>0</v>
      </c>
      <c r="G48" s="2"/>
      <c r="H48" s="2">
        <f t="shared" si="13"/>
        <v>96733.247426920498</v>
      </c>
      <c r="I48" s="2">
        <f t="shared" si="41"/>
        <v>215194.35059153335</v>
      </c>
      <c r="J48" s="2">
        <f t="shared" si="14"/>
        <v>-7638.6757399287308</v>
      </c>
      <c r="K48" s="6">
        <f t="shared" si="15"/>
        <v>-3.427981868615055E-2</v>
      </c>
      <c r="L48" s="7">
        <f t="shared" si="16"/>
        <v>0.9657201813138494</v>
      </c>
      <c r="N48">
        <f t="shared" si="17"/>
        <v>2000</v>
      </c>
      <c r="O48" s="2">
        <f t="shared" si="18"/>
        <v>5922.9100503340433</v>
      </c>
      <c r="P48" s="2"/>
      <c r="Q48" s="2"/>
      <c r="R48">
        <f t="shared" si="19"/>
        <v>2000</v>
      </c>
      <c r="S48" s="2">
        <f t="shared" si="20"/>
        <v>114907.35713441241</v>
      </c>
      <c r="T48" s="2"/>
      <c r="U48" s="2"/>
      <c r="V48" s="2"/>
      <c r="W48" s="2"/>
      <c r="X48" s="2"/>
      <c r="Y48" s="2">
        <f t="shared" si="21"/>
        <v>94364.083406786885</v>
      </c>
      <c r="Z48" s="2">
        <f t="shared" si="22"/>
        <v>209271.44054119929</v>
      </c>
      <c r="AA48" s="2">
        <f t="shared" si="23"/>
        <v>-7833.432936941681</v>
      </c>
      <c r="AB48" s="6">
        <f t="shared" si="24"/>
        <v>-3.6081331623034174E-2</v>
      </c>
      <c r="AC48" s="7">
        <f t="shared" si="25"/>
        <v>0.96391866837696583</v>
      </c>
      <c r="AD48" s="2">
        <f t="shared" si="26"/>
        <v>0</v>
      </c>
      <c r="AE48" s="2"/>
      <c r="AG48">
        <f t="shared" si="27"/>
        <v>2000</v>
      </c>
      <c r="AH48" s="6">
        <f t="shared" si="5"/>
        <v>0.54908284110459205</v>
      </c>
      <c r="AI48" s="6">
        <f t="shared" si="5"/>
        <v>0</v>
      </c>
      <c r="AJ48" s="7"/>
      <c r="AK48" s="7"/>
      <c r="AL48" s="6">
        <f t="shared" si="28"/>
        <v>0</v>
      </c>
      <c r="AM48" s="6"/>
      <c r="AN48" s="38">
        <f t="shared" si="29"/>
        <v>0.45091715889540801</v>
      </c>
      <c r="AO48" s="6">
        <f t="shared" si="30"/>
        <v>1</v>
      </c>
      <c r="AP48" s="7">
        <f t="shared" si="31"/>
        <v>0.54908284110459205</v>
      </c>
      <c r="AQ48" s="7">
        <f t="shared" si="32"/>
        <v>0</v>
      </c>
      <c r="AR48" s="24"/>
      <c r="AS48">
        <f t="shared" si="33"/>
        <v>2000</v>
      </c>
      <c r="AT48" s="1" t="b">
        <f t="shared" si="34"/>
        <v>0</v>
      </c>
      <c r="AU48" s="1" t="b">
        <f t="shared" si="35"/>
        <v>0</v>
      </c>
      <c r="AV48" s="1"/>
      <c r="AW48" s="1"/>
      <c r="AX48" s="1" t="b">
        <f t="shared" si="7"/>
        <v>0</v>
      </c>
      <c r="AY48" s="1"/>
      <c r="AZ48" s="1" t="b">
        <f t="shared" si="36"/>
        <v>0</v>
      </c>
      <c r="BA48" s="1" t="b">
        <f t="shared" si="37"/>
        <v>1</v>
      </c>
      <c r="BC48">
        <f t="shared" si="38"/>
        <v>2000</v>
      </c>
      <c r="BD48" s="2">
        <f t="shared" si="8"/>
        <v>125562.86432471957</v>
      </c>
      <c r="BE48" s="2">
        <f t="shared" si="8"/>
        <v>0</v>
      </c>
      <c r="BF48" s="2"/>
      <c r="BG48" s="2"/>
      <c r="BH48" s="2">
        <f t="shared" si="9"/>
        <v>0</v>
      </c>
      <c r="BI48" s="2"/>
      <c r="BJ48" s="2">
        <f t="shared" si="10"/>
        <v>83708.57621647972</v>
      </c>
      <c r="BK48" s="2">
        <f t="shared" si="39"/>
        <v>209271.44054119929</v>
      </c>
      <c r="BL48" s="2">
        <f t="shared" si="40"/>
        <v>0</v>
      </c>
      <c r="BM48" s="2"/>
    </row>
    <row r="49" spans="1:65" x14ac:dyDescent="0.25">
      <c r="A49">
        <f t="shared" si="6"/>
        <v>2001</v>
      </c>
      <c r="B49" s="2">
        <f t="shared" si="11"/>
        <v>110470.20803288829</v>
      </c>
      <c r="C49" s="2">
        <f t="shared" si="11"/>
        <v>0</v>
      </c>
      <c r="D49" s="2"/>
      <c r="E49" s="2"/>
      <c r="F49" s="2"/>
      <c r="G49" s="2">
        <f>BH48*(1+(G13/100))</f>
        <v>0</v>
      </c>
      <c r="H49" s="2">
        <f t="shared" si="13"/>
        <v>90765.209191528964</v>
      </c>
      <c r="I49" s="2">
        <f t="shared" si="41"/>
        <v>201235.41722441727</v>
      </c>
      <c r="J49" s="2">
        <f t="shared" si="14"/>
        <v>-13958.933367116086</v>
      </c>
      <c r="K49" s="6">
        <f t="shared" si="15"/>
        <v>-6.4866634875615031E-2</v>
      </c>
      <c r="L49" s="7">
        <f t="shared" si="16"/>
        <v>0.93513336512438494</v>
      </c>
      <c r="N49">
        <f t="shared" si="17"/>
        <v>2001</v>
      </c>
      <c r="O49" s="2">
        <f t="shared" si="18"/>
        <v>6017.6766111393881</v>
      </c>
      <c r="P49" s="2"/>
      <c r="Q49" s="2"/>
      <c r="R49">
        <f t="shared" si="19"/>
        <v>2001</v>
      </c>
      <c r="S49" s="2">
        <f t="shared" si="20"/>
        <v>106859.60206620465</v>
      </c>
      <c r="T49" s="2"/>
      <c r="U49" s="2"/>
      <c r="V49" s="2"/>
      <c r="W49" s="2"/>
      <c r="X49" s="2"/>
      <c r="Y49" s="2">
        <f t="shared" si="21"/>
        <v>88358.138547073206</v>
      </c>
      <c r="Z49" s="2">
        <f t="shared" si="22"/>
        <v>195217.74061327786</v>
      </c>
      <c r="AA49" s="2">
        <f t="shared" si="23"/>
        <v>-14053.699927921436</v>
      </c>
      <c r="AB49" s="6">
        <f t="shared" si="24"/>
        <v>-6.715536478163002E-2</v>
      </c>
      <c r="AC49" s="7">
        <f t="shared" si="25"/>
        <v>0.93284463521837002</v>
      </c>
      <c r="AD49" s="2">
        <f t="shared" si="26"/>
        <v>0</v>
      </c>
      <c r="AE49" s="2"/>
      <c r="AG49">
        <f t="shared" si="27"/>
        <v>2001</v>
      </c>
      <c r="AH49" s="6">
        <f t="shared" si="5"/>
        <v>0.54738673714030539</v>
      </c>
      <c r="AI49" s="6">
        <f t="shared" si="5"/>
        <v>0</v>
      </c>
      <c r="AJ49" s="7"/>
      <c r="AK49" s="7"/>
      <c r="AL49" s="6"/>
      <c r="AM49" s="6">
        <f t="shared" si="28"/>
        <v>0</v>
      </c>
      <c r="AN49" s="6">
        <f t="shared" si="29"/>
        <v>0.45261326285969461</v>
      </c>
      <c r="AO49" s="6">
        <f t="shared" si="30"/>
        <v>1</v>
      </c>
      <c r="AP49" s="7">
        <f t="shared" si="31"/>
        <v>0.54738673714030539</v>
      </c>
      <c r="AQ49" s="7">
        <f t="shared" si="32"/>
        <v>0</v>
      </c>
      <c r="AR49" s="24"/>
      <c r="AS49">
        <f t="shared" si="33"/>
        <v>2001</v>
      </c>
      <c r="AT49" s="1" t="b">
        <f t="shared" si="34"/>
        <v>0</v>
      </c>
      <c r="AU49" s="1" t="b">
        <f t="shared" si="35"/>
        <v>0</v>
      </c>
      <c r="AV49" s="1"/>
      <c r="AW49" s="1"/>
      <c r="AX49" s="1"/>
      <c r="AY49" s="1" t="b">
        <f t="shared" ref="AY49:AY64" si="42">AND((X49/$Z49)&gt;0.15,(X49/$Z49)&lt;0.25)</f>
        <v>0</v>
      </c>
      <c r="AZ49" s="1" t="b">
        <f t="shared" si="36"/>
        <v>0</v>
      </c>
      <c r="BA49" s="1" t="b">
        <f t="shared" si="37"/>
        <v>1</v>
      </c>
      <c r="BC49">
        <f t="shared" si="38"/>
        <v>2001</v>
      </c>
      <c r="BD49" s="2">
        <f t="shared" si="8"/>
        <v>117130.64436796671</v>
      </c>
      <c r="BE49" s="2">
        <f t="shared" si="8"/>
        <v>0</v>
      </c>
      <c r="BF49" s="2"/>
      <c r="BG49" s="2"/>
      <c r="BH49" s="2"/>
      <c r="BI49" s="2">
        <f>$BK49*BI$39</f>
        <v>0</v>
      </c>
      <c r="BJ49" s="2">
        <f t="shared" si="10"/>
        <v>78087.096245311142</v>
      </c>
      <c r="BK49" s="2">
        <f t="shared" si="39"/>
        <v>195217.74061327786</v>
      </c>
      <c r="BL49" s="2">
        <f t="shared" si="40"/>
        <v>0</v>
      </c>
      <c r="BM49" s="2"/>
    </row>
    <row r="50" spans="1:65" x14ac:dyDescent="0.25">
      <c r="A50">
        <f t="shared" si="6"/>
        <v>2002</v>
      </c>
      <c r="B50" s="2">
        <f t="shared" si="11"/>
        <v>91186.206640462085</v>
      </c>
      <c r="C50" s="2">
        <f t="shared" si="11"/>
        <v>0</v>
      </c>
      <c r="D50" s="2"/>
      <c r="E50" s="2"/>
      <c r="F50" s="2"/>
      <c r="G50" s="2">
        <f t="shared" ref="G50:G64" si="43">BI49*(1+(G14/100))</f>
        <v>0</v>
      </c>
      <c r="H50" s="2">
        <f t="shared" si="13"/>
        <v>84537.090395173844</v>
      </c>
      <c r="I50" s="2">
        <f t="shared" si="41"/>
        <v>175723.29703563591</v>
      </c>
      <c r="J50" s="2">
        <f t="shared" si="14"/>
        <v>-25512.120188781351</v>
      </c>
      <c r="K50" s="6">
        <f t="shared" si="15"/>
        <v>-0.12677748549764625</v>
      </c>
      <c r="L50" s="7">
        <f t="shared" si="16"/>
        <v>0.87322251450235377</v>
      </c>
      <c r="N50">
        <f t="shared" si="17"/>
        <v>2002</v>
      </c>
      <c r="O50" s="2">
        <f t="shared" si="18"/>
        <v>6168.1185264178721</v>
      </c>
      <c r="P50" s="2"/>
      <c r="Q50" s="2"/>
      <c r="R50">
        <f t="shared" si="19"/>
        <v>2002</v>
      </c>
      <c r="S50" s="2">
        <f t="shared" si="20"/>
        <v>87485.335524611364</v>
      </c>
      <c r="T50" s="2"/>
      <c r="U50" s="2"/>
      <c r="V50" s="2"/>
      <c r="W50" s="2"/>
      <c r="X50" s="2"/>
      <c r="Y50" s="2">
        <f t="shared" si="21"/>
        <v>82069.842984606701</v>
      </c>
      <c r="Z50" s="2">
        <f t="shared" si="22"/>
        <v>169555.17850921807</v>
      </c>
      <c r="AA50" s="2">
        <f t="shared" si="23"/>
        <v>-25662.562104059791</v>
      </c>
      <c r="AB50" s="6">
        <f t="shared" si="24"/>
        <v>-0.13145609627199187</v>
      </c>
      <c r="AC50" s="7">
        <f t="shared" si="25"/>
        <v>0.86854390372800816</v>
      </c>
      <c r="AD50" s="2">
        <f t="shared" si="26"/>
        <v>0</v>
      </c>
      <c r="AE50" s="2"/>
      <c r="AG50">
        <f t="shared" si="27"/>
        <v>2002</v>
      </c>
      <c r="AH50" s="38">
        <f t="shared" si="5"/>
        <v>0.51596970551893306</v>
      </c>
      <c r="AI50" s="6">
        <f t="shared" si="5"/>
        <v>0</v>
      </c>
      <c r="AJ50" s="7"/>
      <c r="AK50" s="7"/>
      <c r="AL50" s="7"/>
      <c r="AM50" s="6">
        <f t="shared" si="28"/>
        <v>0</v>
      </c>
      <c r="AN50" s="6">
        <f t="shared" si="29"/>
        <v>0.48403029448106699</v>
      </c>
      <c r="AO50" s="6">
        <f t="shared" si="30"/>
        <v>1</v>
      </c>
      <c r="AP50" s="7">
        <f t="shared" si="31"/>
        <v>0.51596970551893306</v>
      </c>
      <c r="AQ50" s="7">
        <f t="shared" si="32"/>
        <v>0</v>
      </c>
      <c r="AR50" s="24"/>
      <c r="AS50">
        <f t="shared" si="33"/>
        <v>2002</v>
      </c>
      <c r="AT50" s="1" t="b">
        <f t="shared" si="34"/>
        <v>0</v>
      </c>
      <c r="AU50" s="1" t="b">
        <f t="shared" si="35"/>
        <v>0</v>
      </c>
      <c r="AV50" s="1"/>
      <c r="AW50" s="1"/>
      <c r="AX50" s="1"/>
      <c r="AY50" s="1" t="b">
        <f t="shared" si="42"/>
        <v>0</v>
      </c>
      <c r="AZ50" s="1" t="b">
        <f t="shared" si="36"/>
        <v>0</v>
      </c>
      <c r="BA50" s="1" t="b">
        <f t="shared" si="37"/>
        <v>1</v>
      </c>
      <c r="BC50">
        <f t="shared" si="38"/>
        <v>2002</v>
      </c>
      <c r="BD50" s="2">
        <f t="shared" si="8"/>
        <v>101733.10710553084</v>
      </c>
      <c r="BE50" s="2">
        <f t="shared" si="8"/>
        <v>0</v>
      </c>
      <c r="BF50" s="2"/>
      <c r="BG50" s="2"/>
      <c r="BH50" s="2"/>
      <c r="BI50" s="2">
        <f>$BK50*BI$39</f>
        <v>0</v>
      </c>
      <c r="BJ50" s="2">
        <f t="shared" si="10"/>
        <v>67822.071403687223</v>
      </c>
      <c r="BK50" s="2">
        <f t="shared" si="39"/>
        <v>169555.17850921807</v>
      </c>
      <c r="BL50" s="2">
        <f t="shared" si="40"/>
        <v>0</v>
      </c>
      <c r="BM50" s="2"/>
    </row>
    <row r="51" spans="1:65" x14ac:dyDescent="0.25">
      <c r="A51">
        <f t="shared" si="6"/>
        <v>2003</v>
      </c>
      <c r="B51" s="2">
        <f t="shared" si="11"/>
        <v>130727.04263060712</v>
      </c>
      <c r="C51" s="2"/>
      <c r="D51" s="2">
        <f>($BE50*0.67)*(1+(D15/100))</f>
        <v>0</v>
      </c>
      <c r="E51" s="2">
        <f>($BE50*0.33)*(1+(E15/100))</f>
        <v>0</v>
      </c>
      <c r="F51" s="2"/>
      <c r="G51" s="2">
        <f t="shared" si="43"/>
        <v>0</v>
      </c>
      <c r="H51" s="2">
        <f t="shared" si="13"/>
        <v>70514.60763841361</v>
      </c>
      <c r="I51" s="2">
        <f t="shared" si="41"/>
        <v>201241.65026902073</v>
      </c>
      <c r="J51" s="2">
        <f t="shared" si="14"/>
        <v>25518.353233384812</v>
      </c>
      <c r="K51" s="6">
        <f t="shared" si="15"/>
        <v>0.14521895311473584</v>
      </c>
      <c r="L51" s="7">
        <f t="shared" si="16"/>
        <v>1.1452189531147359</v>
      </c>
      <c r="N51">
        <f t="shared" si="17"/>
        <v>2003</v>
      </c>
      <c r="O51" s="2">
        <f t="shared" si="18"/>
        <v>6291.4808969462292</v>
      </c>
      <c r="P51" s="2"/>
      <c r="Q51" s="2"/>
      <c r="R51">
        <f t="shared" si="19"/>
        <v>2003</v>
      </c>
      <c r="S51" s="2">
        <f t="shared" si="20"/>
        <v>126952.15409243938</v>
      </c>
      <c r="T51" s="2"/>
      <c r="U51" s="2"/>
      <c r="V51" s="2"/>
      <c r="W51" s="2"/>
      <c r="X51" s="2"/>
      <c r="Y51" s="2">
        <f t="shared" si="21"/>
        <v>67998.015279635118</v>
      </c>
      <c r="Z51" s="2">
        <f t="shared" si="22"/>
        <v>194950.16937207448</v>
      </c>
      <c r="AA51" s="2">
        <f t="shared" si="23"/>
        <v>25394.990862856415</v>
      </c>
      <c r="AB51" s="6">
        <f t="shared" si="24"/>
        <v>0.149774197910893</v>
      </c>
      <c r="AC51" s="7">
        <f t="shared" si="25"/>
        <v>1.1497741979108931</v>
      </c>
      <c r="AD51" s="2">
        <f t="shared" si="26"/>
        <v>0</v>
      </c>
      <c r="AE51" s="2"/>
      <c r="AG51">
        <f t="shared" si="27"/>
        <v>2003</v>
      </c>
      <c r="AH51" s="6">
        <f t="shared" si="5"/>
        <v>0.65120309718809899</v>
      </c>
      <c r="AI51" s="7"/>
      <c r="AJ51" s="6">
        <f t="shared" ref="AJ51:AK64" si="44">U51/$Z51</f>
        <v>0</v>
      </c>
      <c r="AK51" s="6">
        <f t="shared" si="44"/>
        <v>0</v>
      </c>
      <c r="AL51" s="7"/>
      <c r="AM51" s="6">
        <f t="shared" si="28"/>
        <v>0</v>
      </c>
      <c r="AN51" s="6">
        <f t="shared" si="29"/>
        <v>0.34879690281190107</v>
      </c>
      <c r="AO51" s="6">
        <f t="shared" si="30"/>
        <v>1</v>
      </c>
      <c r="AP51" s="7">
        <f t="shared" si="31"/>
        <v>0.65120309718809899</v>
      </c>
      <c r="AQ51" s="7">
        <f t="shared" si="32"/>
        <v>0</v>
      </c>
      <c r="AR51" s="24"/>
      <c r="AS51">
        <f t="shared" si="33"/>
        <v>2003</v>
      </c>
      <c r="AT51" s="1" t="b">
        <f t="shared" si="34"/>
        <v>0</v>
      </c>
      <c r="AU51" s="1"/>
      <c r="AV51" s="1" t="b">
        <f>AND((U51/$Z51)&gt;0.15,(U51/$Z51)&lt;0.25)</f>
        <v>0</v>
      </c>
      <c r="AW51" s="1" t="b">
        <f>AND((V51/$Z51)&gt;0.05,(V51/$Z51)&lt;0.15)</f>
        <v>0</v>
      </c>
      <c r="AX51" s="1"/>
      <c r="AY51" s="1" t="b">
        <f t="shared" si="42"/>
        <v>0</v>
      </c>
      <c r="AZ51" s="1" t="b">
        <f t="shared" si="36"/>
        <v>1</v>
      </c>
      <c r="BA51" s="1" t="b">
        <f t="shared" si="37"/>
        <v>1</v>
      </c>
      <c r="BC51">
        <f t="shared" si="38"/>
        <v>2003</v>
      </c>
      <c r="BD51" s="2">
        <f>$BK51*BD$39</f>
        <v>116970.10162324469</v>
      </c>
      <c r="BE51" s="2"/>
      <c r="BF51" s="2">
        <f t="shared" ref="BF51:BG64" si="45">$BK51*BF$39</f>
        <v>0</v>
      </c>
      <c r="BG51" s="2">
        <f t="shared" si="45"/>
        <v>0</v>
      </c>
      <c r="BH51" s="2"/>
      <c r="BI51" s="2">
        <f>$BK51*BI$39</f>
        <v>0</v>
      </c>
      <c r="BJ51" s="2">
        <f t="shared" si="10"/>
        <v>77980.067748829795</v>
      </c>
      <c r="BK51" s="2">
        <f t="shared" si="39"/>
        <v>194950.16937207448</v>
      </c>
      <c r="BL51" s="2">
        <f t="shared" si="40"/>
        <v>0</v>
      </c>
      <c r="BM51" s="2"/>
    </row>
    <row r="52" spans="1:65" x14ac:dyDescent="0.25">
      <c r="A52">
        <f t="shared" si="6"/>
        <v>2004</v>
      </c>
      <c r="B52" s="2">
        <f t="shared" si="11"/>
        <v>129532.69053758116</v>
      </c>
      <c r="C52" s="2"/>
      <c r="D52" s="2">
        <f t="shared" ref="D52:E64" si="46">BF51*(1+(D16/100))</f>
        <v>0</v>
      </c>
      <c r="E52" s="2">
        <f t="shared" si="46"/>
        <v>0</v>
      </c>
      <c r="F52" s="2"/>
      <c r="G52" s="2">
        <f t="shared" si="43"/>
        <v>0</v>
      </c>
      <c r="H52" s="2">
        <f t="shared" si="13"/>
        <v>81286.422621380174</v>
      </c>
      <c r="I52" s="2">
        <f t="shared" si="41"/>
        <v>210819.11315896135</v>
      </c>
      <c r="J52" s="2">
        <f t="shared" si="14"/>
        <v>9577.4628899406234</v>
      </c>
      <c r="K52" s="6">
        <f t="shared" si="15"/>
        <v>4.7591852268839122E-2</v>
      </c>
      <c r="L52" s="7">
        <f t="shared" si="16"/>
        <v>1.0475918522688392</v>
      </c>
      <c r="N52">
        <f t="shared" si="17"/>
        <v>2004</v>
      </c>
      <c r="O52" s="2">
        <f t="shared" si="18"/>
        <v>6499.0997665454543</v>
      </c>
      <c r="P52" s="2"/>
      <c r="Q52" s="2"/>
      <c r="R52">
        <f t="shared" si="19"/>
        <v>2004</v>
      </c>
      <c r="S52" s="2">
        <f t="shared" si="20"/>
        <v>125633.23067765389</v>
      </c>
      <c r="T52" s="2"/>
      <c r="U52" s="2"/>
      <c r="V52" s="2"/>
      <c r="W52" s="2"/>
      <c r="X52" s="2"/>
      <c r="Y52" s="2">
        <f t="shared" si="21"/>
        <v>78686.782714761997</v>
      </c>
      <c r="Z52" s="2">
        <f t="shared" si="22"/>
        <v>204320.01339241589</v>
      </c>
      <c r="AA52" s="2">
        <f t="shared" si="23"/>
        <v>9369.8440203414066</v>
      </c>
      <c r="AB52" s="6">
        <f t="shared" si="24"/>
        <v>4.806276419518507E-2</v>
      </c>
      <c r="AC52" s="7">
        <f t="shared" si="25"/>
        <v>1.0480627641951852</v>
      </c>
      <c r="AD52" s="2">
        <f t="shared" si="26"/>
        <v>0</v>
      </c>
      <c r="AE52" s="2"/>
      <c r="AG52">
        <f t="shared" si="27"/>
        <v>2004</v>
      </c>
      <c r="AH52" s="6">
        <f t="shared" si="5"/>
        <v>0.61488460475168139</v>
      </c>
      <c r="AI52" s="7"/>
      <c r="AJ52" s="6">
        <f t="shared" si="44"/>
        <v>0</v>
      </c>
      <c r="AK52" s="6">
        <f t="shared" si="44"/>
        <v>0</v>
      </c>
      <c r="AL52" s="7"/>
      <c r="AM52" s="6">
        <f t="shared" si="28"/>
        <v>0</v>
      </c>
      <c r="AN52" s="6">
        <f t="shared" si="29"/>
        <v>0.38511539524831861</v>
      </c>
      <c r="AO52" s="6">
        <f t="shared" si="30"/>
        <v>1</v>
      </c>
      <c r="AP52" s="7">
        <f t="shared" si="31"/>
        <v>0.61488460475168139</v>
      </c>
      <c r="AQ52" s="7">
        <f t="shared" si="32"/>
        <v>0</v>
      </c>
      <c r="AR52" s="24"/>
      <c r="AS52">
        <f t="shared" si="33"/>
        <v>2004</v>
      </c>
      <c r="AT52" s="1" t="b">
        <f t="shared" si="34"/>
        <v>0</v>
      </c>
      <c r="AU52" s="1"/>
      <c r="AV52" s="1" t="b">
        <f t="shared" ref="AV52:AV64" si="47">AND((U52/$Z52)&gt;0.15,(U52/$Z52)&lt;0.25)</f>
        <v>0</v>
      </c>
      <c r="AW52" s="1" t="b">
        <f t="shared" ref="AW52:AW64" si="48">AND((V52/$Z52)&gt;0.05,(V52/$Z52)&lt;0.15)</f>
        <v>0</v>
      </c>
      <c r="AX52" s="1"/>
      <c r="AY52" s="1" t="b">
        <f t="shared" si="42"/>
        <v>0</v>
      </c>
      <c r="AZ52" s="1" t="b">
        <f t="shared" si="36"/>
        <v>0</v>
      </c>
      <c r="BA52" s="1" t="b">
        <f t="shared" si="37"/>
        <v>1</v>
      </c>
      <c r="BC52">
        <f t="shared" si="38"/>
        <v>2004</v>
      </c>
      <c r="BD52" s="2">
        <f>$BK52*BD$39</f>
        <v>122592.00803544953</v>
      </c>
      <c r="BE52" s="2"/>
      <c r="BF52" s="2">
        <f t="shared" si="45"/>
        <v>0</v>
      </c>
      <c r="BG52" s="2">
        <f t="shared" si="45"/>
        <v>0</v>
      </c>
      <c r="BH52" s="2"/>
      <c r="BI52" s="2">
        <f>$BK52*BI$39</f>
        <v>0</v>
      </c>
      <c r="BJ52" s="2">
        <f t="shared" si="10"/>
        <v>81728.005356966358</v>
      </c>
      <c r="BK52" s="2">
        <f t="shared" si="39"/>
        <v>204320.01339241589</v>
      </c>
      <c r="BL52" s="2">
        <f t="shared" si="40"/>
        <v>0</v>
      </c>
      <c r="BM52" s="2"/>
    </row>
    <row r="53" spans="1:65" x14ac:dyDescent="0.25">
      <c r="A53">
        <f t="shared" si="6"/>
        <v>2005</v>
      </c>
      <c r="B53" s="2">
        <f t="shared" si="11"/>
        <v>128439.64681874048</v>
      </c>
      <c r="C53" s="2"/>
      <c r="D53" s="2">
        <f t="shared" si="46"/>
        <v>0</v>
      </c>
      <c r="E53" s="2">
        <f t="shared" si="46"/>
        <v>0</v>
      </c>
      <c r="F53" s="2"/>
      <c r="G53" s="2">
        <f t="shared" si="43"/>
        <v>0</v>
      </c>
      <c r="H53" s="2">
        <f t="shared" si="13"/>
        <v>83689.477485533556</v>
      </c>
      <c r="I53" s="2">
        <f t="shared" si="41"/>
        <v>212129.12430427404</v>
      </c>
      <c r="J53" s="2">
        <f t="shared" si="14"/>
        <v>1310.0111453126883</v>
      </c>
      <c r="K53" s="6">
        <f t="shared" si="15"/>
        <v>6.2139107108610059E-3</v>
      </c>
      <c r="L53" s="7">
        <f t="shared" si="16"/>
        <v>1.006213910710861</v>
      </c>
      <c r="N53">
        <f t="shared" si="17"/>
        <v>2005</v>
      </c>
      <c r="O53" s="2">
        <f t="shared" si="18"/>
        <v>6713.5700588414538</v>
      </c>
      <c r="P53" s="2"/>
      <c r="Q53" s="2"/>
      <c r="R53">
        <f t="shared" si="19"/>
        <v>2005</v>
      </c>
      <c r="S53" s="2">
        <f t="shared" si="20"/>
        <v>124411.50478343561</v>
      </c>
      <c r="T53" s="2"/>
      <c r="U53" s="2"/>
      <c r="V53" s="2"/>
      <c r="W53" s="2"/>
      <c r="X53" s="2"/>
      <c r="Y53" s="2">
        <f t="shared" si="21"/>
        <v>81004.049461996969</v>
      </c>
      <c r="Z53" s="2">
        <f t="shared" si="22"/>
        <v>205415.55424543258</v>
      </c>
      <c r="AA53" s="2">
        <f t="shared" si="23"/>
        <v>1095.5408530166897</v>
      </c>
      <c r="AB53" s="6">
        <f t="shared" si="24"/>
        <v>5.3618871437356459E-3</v>
      </c>
      <c r="AC53" s="7">
        <f t="shared" si="25"/>
        <v>1.0053618871437358</v>
      </c>
      <c r="AD53" s="2">
        <f t="shared" si="26"/>
        <v>0</v>
      </c>
      <c r="AE53" s="2"/>
      <c r="AG53">
        <f t="shared" si="27"/>
        <v>2005</v>
      </c>
      <c r="AH53" s="6">
        <f t="shared" si="5"/>
        <v>0.60565766424283274</v>
      </c>
      <c r="AI53" s="7"/>
      <c r="AJ53" s="6">
        <f t="shared" si="44"/>
        <v>0</v>
      </c>
      <c r="AK53" s="6">
        <f t="shared" si="44"/>
        <v>0</v>
      </c>
      <c r="AL53" s="7"/>
      <c r="AM53" s="6">
        <f t="shared" si="28"/>
        <v>0</v>
      </c>
      <c r="AN53" s="59">
        <f t="shared" si="29"/>
        <v>0.39434233575716721</v>
      </c>
      <c r="AO53" s="6">
        <f t="shared" si="30"/>
        <v>1</v>
      </c>
      <c r="AP53" s="7">
        <f t="shared" si="31"/>
        <v>0.60565766424283274</v>
      </c>
      <c r="AQ53" s="7">
        <f t="shared" si="32"/>
        <v>0</v>
      </c>
      <c r="AR53" s="24"/>
      <c r="AS53">
        <f t="shared" si="33"/>
        <v>2005</v>
      </c>
      <c r="AT53" s="1" t="b">
        <f t="shared" si="34"/>
        <v>0</v>
      </c>
      <c r="AU53" s="1"/>
      <c r="AV53" s="1" t="b">
        <f t="shared" si="47"/>
        <v>0</v>
      </c>
      <c r="AW53" s="1" t="b">
        <f t="shared" si="48"/>
        <v>0</v>
      </c>
      <c r="AX53" s="1"/>
      <c r="AY53" s="1" t="b">
        <f t="shared" si="42"/>
        <v>0</v>
      </c>
      <c r="AZ53" s="1" t="b">
        <f t="shared" si="36"/>
        <v>0</v>
      </c>
      <c r="BA53" s="1" t="b">
        <f t="shared" si="37"/>
        <v>1</v>
      </c>
      <c r="BC53">
        <f t="shared" si="38"/>
        <v>2005</v>
      </c>
      <c r="BD53" s="2">
        <f t="shared" ref="BD53:BD64" si="49">$BK53*BD$39</f>
        <v>123249.33254725955</v>
      </c>
      <c r="BE53" s="2"/>
      <c r="BF53" s="2">
        <f t="shared" si="45"/>
        <v>0</v>
      </c>
      <c r="BG53" s="2">
        <f t="shared" si="45"/>
        <v>0</v>
      </c>
      <c r="BH53" s="2"/>
      <c r="BI53" s="2">
        <f t="shared" ref="BI53:BI64" si="50">$BK53*BI$39</f>
        <v>0</v>
      </c>
      <c r="BJ53" s="2">
        <f t="shared" si="10"/>
        <v>82166.221698173031</v>
      </c>
      <c r="BK53" s="2">
        <f t="shared" si="39"/>
        <v>205415.55424543258</v>
      </c>
      <c r="BL53" s="2">
        <f t="shared" si="40"/>
        <v>0</v>
      </c>
      <c r="BM53" s="2"/>
    </row>
    <row r="54" spans="1:65" x14ac:dyDescent="0.25">
      <c r="A54">
        <f t="shared" si="6"/>
        <v>2006</v>
      </c>
      <c r="B54" s="2">
        <f t="shared" si="11"/>
        <v>142525.52815765096</v>
      </c>
      <c r="C54" s="2"/>
      <c r="D54" s="2">
        <f t="shared" si="46"/>
        <v>0</v>
      </c>
      <c r="E54" s="2">
        <f t="shared" si="46"/>
        <v>0</v>
      </c>
      <c r="F54" s="2"/>
      <c r="G54" s="2">
        <f t="shared" si="43"/>
        <v>0</v>
      </c>
      <c r="H54" s="2">
        <f t="shared" si="13"/>
        <v>85674.719364685021</v>
      </c>
      <c r="I54" s="2">
        <f t="shared" si="41"/>
        <v>228200.24752233597</v>
      </c>
      <c r="J54" s="2">
        <f t="shared" si="14"/>
        <v>16071.123218061926</v>
      </c>
      <c r="K54" s="6">
        <f t="shared" si="15"/>
        <v>7.5761040690526818E-2</v>
      </c>
      <c r="L54" s="7">
        <f t="shared" si="16"/>
        <v>1.0757610406905269</v>
      </c>
      <c r="N54">
        <f t="shared" si="17"/>
        <v>2006</v>
      </c>
      <c r="O54" s="2">
        <f t="shared" si="18"/>
        <v>6881.4093103124897</v>
      </c>
      <c r="P54" s="2"/>
      <c r="Q54" s="2"/>
      <c r="R54">
        <f t="shared" si="19"/>
        <v>2006</v>
      </c>
      <c r="S54" s="2">
        <f t="shared" si="20"/>
        <v>138396.68257146346</v>
      </c>
      <c r="T54" s="2"/>
      <c r="U54" s="2"/>
      <c r="V54" s="2"/>
      <c r="W54" s="2"/>
      <c r="X54" s="2"/>
      <c r="Y54" s="2">
        <f t="shared" si="21"/>
        <v>82922.155640560028</v>
      </c>
      <c r="Z54" s="2">
        <f t="shared" si="22"/>
        <v>221318.83821202349</v>
      </c>
      <c r="AA54" s="2">
        <f t="shared" si="23"/>
        <v>15903.283966590912</v>
      </c>
      <c r="AB54" s="6">
        <f t="shared" si="24"/>
        <v>7.7420057234757936E-2</v>
      </c>
      <c r="AC54" s="7">
        <f t="shared" si="25"/>
        <v>1.0774200572347579</v>
      </c>
      <c r="AD54" s="2">
        <f t="shared" si="26"/>
        <v>0</v>
      </c>
      <c r="AE54" s="2"/>
      <c r="AG54">
        <f t="shared" si="27"/>
        <v>2006</v>
      </c>
      <c r="AH54" s="6">
        <f t="shared" si="5"/>
        <v>0.6253271691173411</v>
      </c>
      <c r="AI54" s="7"/>
      <c r="AJ54" s="6">
        <f t="shared" si="44"/>
        <v>0</v>
      </c>
      <c r="AK54" s="6">
        <f t="shared" si="44"/>
        <v>0</v>
      </c>
      <c r="AL54" s="7"/>
      <c r="AM54" s="38">
        <f t="shared" si="28"/>
        <v>0</v>
      </c>
      <c r="AN54" s="38">
        <f t="shared" si="29"/>
        <v>0.3746728308826589</v>
      </c>
      <c r="AO54" s="6">
        <f t="shared" si="30"/>
        <v>1</v>
      </c>
      <c r="AP54" s="7">
        <f t="shared" si="31"/>
        <v>0.6253271691173411</v>
      </c>
      <c r="AQ54" s="7">
        <f t="shared" si="32"/>
        <v>0</v>
      </c>
      <c r="AR54" s="24"/>
      <c r="AS54">
        <f t="shared" si="33"/>
        <v>2006</v>
      </c>
      <c r="AT54" s="1" t="b">
        <f t="shared" si="34"/>
        <v>0</v>
      </c>
      <c r="AU54" s="1"/>
      <c r="AV54" s="1" t="b">
        <f t="shared" si="47"/>
        <v>0</v>
      </c>
      <c r="AW54" s="1" t="b">
        <f t="shared" si="48"/>
        <v>0</v>
      </c>
      <c r="AX54" s="1"/>
      <c r="AY54" s="1" t="b">
        <f t="shared" si="42"/>
        <v>0</v>
      </c>
      <c r="AZ54" s="39" t="b">
        <f t="shared" si="36"/>
        <v>0</v>
      </c>
      <c r="BA54" s="1" t="b">
        <f t="shared" si="37"/>
        <v>1</v>
      </c>
      <c r="BC54">
        <f t="shared" si="38"/>
        <v>2006</v>
      </c>
      <c r="BD54" s="2">
        <f t="shared" si="49"/>
        <v>132791.3029272141</v>
      </c>
      <c r="BE54" s="2"/>
      <c r="BF54" s="2">
        <f t="shared" si="45"/>
        <v>0</v>
      </c>
      <c r="BG54" s="2">
        <f t="shared" si="45"/>
        <v>0</v>
      </c>
      <c r="BH54" s="2"/>
      <c r="BI54" s="2">
        <f t="shared" si="50"/>
        <v>0</v>
      </c>
      <c r="BJ54" s="2">
        <f t="shared" si="10"/>
        <v>88527.535284809404</v>
      </c>
      <c r="BK54" s="2">
        <f t="shared" si="39"/>
        <v>221318.83821202349</v>
      </c>
      <c r="BL54" s="2">
        <f t="shared" si="40"/>
        <v>0</v>
      </c>
      <c r="BM54" s="2"/>
    </row>
    <row r="55" spans="1:65" x14ac:dyDescent="0.25">
      <c r="A55">
        <f t="shared" si="6"/>
        <v>2007</v>
      </c>
      <c r="B55" s="2">
        <f t="shared" si="11"/>
        <v>139948.75415499095</v>
      </c>
      <c r="C55" s="2"/>
      <c r="D55" s="2">
        <f t="shared" si="46"/>
        <v>0</v>
      </c>
      <c r="E55" s="2">
        <f t="shared" si="46"/>
        <v>0</v>
      </c>
      <c r="F55" s="2"/>
      <c r="G55" s="2">
        <f t="shared" si="43"/>
        <v>0</v>
      </c>
      <c r="H55" s="2">
        <f t="shared" si="13"/>
        <v>94653.640726518206</v>
      </c>
      <c r="I55" s="2">
        <f t="shared" si="41"/>
        <v>234602.39488150916</v>
      </c>
      <c r="J55" s="2">
        <f t="shared" si="14"/>
        <v>6402.1473591731919</v>
      </c>
      <c r="K55" s="6">
        <f t="shared" si="15"/>
        <v>2.8054953615011122E-2</v>
      </c>
      <c r="L55" s="7">
        <f t="shared" si="16"/>
        <v>1.0280549536150112</v>
      </c>
      <c r="N55">
        <f t="shared" si="17"/>
        <v>2007</v>
      </c>
      <c r="O55" s="2">
        <f t="shared" si="18"/>
        <v>7163.5470920353009</v>
      </c>
      <c r="P55" s="2"/>
      <c r="Q55" s="2"/>
      <c r="R55">
        <f t="shared" si="19"/>
        <v>2007</v>
      </c>
      <c r="S55" s="2">
        <f t="shared" si="20"/>
        <v>135650.62589976977</v>
      </c>
      <c r="T55" s="2"/>
      <c r="U55" s="2"/>
      <c r="V55" s="2"/>
      <c r="W55" s="2"/>
      <c r="X55" s="2"/>
      <c r="Y55" s="2">
        <f t="shared" si="21"/>
        <v>91788.221889704088</v>
      </c>
      <c r="Z55" s="2">
        <f t="shared" si="22"/>
        <v>227438.84778947386</v>
      </c>
      <c r="AA55" s="2">
        <f t="shared" si="23"/>
        <v>6120.0095774503716</v>
      </c>
      <c r="AB55" s="6">
        <f t="shared" si="24"/>
        <v>2.7652456640800731E-2</v>
      </c>
      <c r="AC55" s="7">
        <f t="shared" si="25"/>
        <v>1.0276524566408007</v>
      </c>
      <c r="AD55" s="2">
        <f t="shared" si="26"/>
        <v>0</v>
      </c>
      <c r="AE55" s="2"/>
      <c r="AG55">
        <f t="shared" si="27"/>
        <v>2007</v>
      </c>
      <c r="AH55" s="6">
        <f t="shared" ref="AH55:AH64" si="51">S55/$Z55</f>
        <v>0.59642680754931188</v>
      </c>
      <c r="AI55" s="7"/>
      <c r="AJ55" s="6">
        <f t="shared" si="44"/>
        <v>0</v>
      </c>
      <c r="AK55" s="6">
        <f t="shared" si="44"/>
        <v>0</v>
      </c>
      <c r="AL55" s="7"/>
      <c r="AM55" s="6">
        <f t="shared" si="28"/>
        <v>0</v>
      </c>
      <c r="AN55" s="38">
        <f t="shared" si="29"/>
        <v>0.40357319245068807</v>
      </c>
      <c r="AO55" s="6">
        <f t="shared" si="30"/>
        <v>1</v>
      </c>
      <c r="AP55" s="7">
        <f t="shared" si="31"/>
        <v>0.59642680754931188</v>
      </c>
      <c r="AQ55" s="7">
        <f t="shared" si="32"/>
        <v>0</v>
      </c>
      <c r="AR55" s="24"/>
      <c r="AS55">
        <f t="shared" si="33"/>
        <v>2007</v>
      </c>
      <c r="AT55" s="1" t="b">
        <f t="shared" si="34"/>
        <v>0</v>
      </c>
      <c r="AV55" s="1" t="b">
        <f t="shared" si="47"/>
        <v>0</v>
      </c>
      <c r="AW55" s="1" t="b">
        <f t="shared" si="48"/>
        <v>0</v>
      </c>
      <c r="AY55" s="1" t="b">
        <f t="shared" si="42"/>
        <v>0</v>
      </c>
      <c r="AZ55" s="39" t="b">
        <f t="shared" si="36"/>
        <v>0</v>
      </c>
      <c r="BA55" s="1" t="b">
        <f t="shared" si="37"/>
        <v>1</v>
      </c>
      <c r="BC55">
        <f t="shared" si="38"/>
        <v>2007</v>
      </c>
      <c r="BD55" s="2">
        <f t="shared" si="49"/>
        <v>136463.30867368431</v>
      </c>
      <c r="BE55" s="2"/>
      <c r="BF55" s="2">
        <f t="shared" si="45"/>
        <v>0</v>
      </c>
      <c r="BG55" s="2">
        <f t="shared" si="45"/>
        <v>0</v>
      </c>
      <c r="BH55" s="2"/>
      <c r="BI55" s="2">
        <f t="shared" si="50"/>
        <v>0</v>
      </c>
      <c r="BJ55" s="2">
        <f t="shared" si="10"/>
        <v>90975.53911578955</v>
      </c>
      <c r="BK55" s="2">
        <f t="shared" si="39"/>
        <v>227438.84778947386</v>
      </c>
      <c r="BL55" s="2">
        <f t="shared" si="40"/>
        <v>0</v>
      </c>
      <c r="BM55" s="2"/>
    </row>
    <row r="56" spans="1:65" x14ac:dyDescent="0.25">
      <c r="A56">
        <f t="shared" si="6"/>
        <v>2008</v>
      </c>
      <c r="B56" s="2">
        <f t="shared" si="11"/>
        <v>85944.591802686366</v>
      </c>
      <c r="C56" s="2"/>
      <c r="D56" s="2">
        <f t="shared" si="46"/>
        <v>0</v>
      </c>
      <c r="E56" s="2">
        <f t="shared" si="46"/>
        <v>0</v>
      </c>
      <c r="F56" s="2"/>
      <c r="G56" s="2">
        <f t="shared" si="43"/>
        <v>0</v>
      </c>
      <c r="H56" s="2">
        <f t="shared" si="13"/>
        <v>95569.80384113692</v>
      </c>
      <c r="I56" s="2">
        <f t="shared" si="41"/>
        <v>181514.39564382329</v>
      </c>
      <c r="J56" s="2">
        <f>I56-I55</f>
        <v>-53087.999237685872</v>
      </c>
      <c r="K56" s="6">
        <f>(J56/I55)</f>
        <v>-0.22628924681054119</v>
      </c>
      <c r="L56" s="7">
        <f t="shared" si="16"/>
        <v>0.77371075318945881</v>
      </c>
      <c r="N56">
        <f t="shared" si="17"/>
        <v>2008</v>
      </c>
      <c r="O56" s="2">
        <f t="shared" si="18"/>
        <v>7163.5470920353009</v>
      </c>
      <c r="P56" s="2"/>
      <c r="Q56" s="2"/>
      <c r="R56">
        <f t="shared" si="19"/>
        <v>2008</v>
      </c>
      <c r="S56" s="2">
        <f t="shared" si="20"/>
        <v>81646.463547465188</v>
      </c>
      <c r="T56" s="2"/>
      <c r="U56" s="2"/>
      <c r="V56" s="2"/>
      <c r="W56" s="2"/>
      <c r="X56" s="2"/>
      <c r="Y56" s="2">
        <f t="shared" si="21"/>
        <v>92704.385004322801</v>
      </c>
      <c r="Z56" s="2">
        <f t="shared" si="22"/>
        <v>174350.84855178799</v>
      </c>
      <c r="AA56" s="2">
        <f>Z56-Z55</f>
        <v>-53087.999237685872</v>
      </c>
      <c r="AB56" s="6">
        <f>(AA56/Z55)</f>
        <v>-0.23341658539717086</v>
      </c>
      <c r="AC56" s="7">
        <f t="shared" si="25"/>
        <v>0.76658341460282919</v>
      </c>
      <c r="AD56" s="2">
        <f t="shared" si="26"/>
        <v>0</v>
      </c>
      <c r="AE56" s="2"/>
      <c r="AG56">
        <f t="shared" si="27"/>
        <v>2008</v>
      </c>
      <c r="AH56" s="6">
        <f t="shared" si="51"/>
        <v>0.46828830616911782</v>
      </c>
      <c r="AI56" s="7"/>
      <c r="AJ56" s="6">
        <f t="shared" si="44"/>
        <v>0</v>
      </c>
      <c r="AK56" s="6">
        <f t="shared" si="44"/>
        <v>0</v>
      </c>
      <c r="AL56" s="7"/>
      <c r="AM56" s="6">
        <f t="shared" si="28"/>
        <v>0</v>
      </c>
      <c r="AN56" s="6">
        <f t="shared" si="29"/>
        <v>0.53171169383088213</v>
      </c>
      <c r="AO56" s="6">
        <f t="shared" si="30"/>
        <v>1</v>
      </c>
      <c r="AP56" s="7">
        <f t="shared" si="31"/>
        <v>0.46828830616911782</v>
      </c>
      <c r="AQ56" s="7">
        <f t="shared" si="32"/>
        <v>0</v>
      </c>
      <c r="AR56" s="24"/>
      <c r="AS56">
        <f t="shared" si="33"/>
        <v>2008</v>
      </c>
      <c r="AT56" s="1" t="b">
        <f t="shared" si="34"/>
        <v>0</v>
      </c>
      <c r="AV56" s="1" t="b">
        <f t="shared" si="47"/>
        <v>0</v>
      </c>
      <c r="AW56" s="1" t="b">
        <f t="shared" si="48"/>
        <v>0</v>
      </c>
      <c r="AY56" s="1" t="b">
        <f t="shared" si="42"/>
        <v>0</v>
      </c>
      <c r="AZ56" s="1" t="b">
        <f t="shared" si="36"/>
        <v>0</v>
      </c>
      <c r="BA56" s="1" t="b">
        <f t="shared" si="37"/>
        <v>1</v>
      </c>
      <c r="BC56">
        <f t="shared" si="38"/>
        <v>2008</v>
      </c>
      <c r="BD56" s="2">
        <f t="shared" si="49"/>
        <v>104610.50913107279</v>
      </c>
      <c r="BE56" s="2"/>
      <c r="BF56" s="2">
        <f t="shared" si="45"/>
        <v>0</v>
      </c>
      <c r="BG56" s="2">
        <f t="shared" si="45"/>
        <v>0</v>
      </c>
      <c r="BH56" s="2"/>
      <c r="BI56" s="2">
        <f t="shared" si="50"/>
        <v>0</v>
      </c>
      <c r="BJ56" s="2">
        <f t="shared" si="10"/>
        <v>69740.339420715201</v>
      </c>
      <c r="BK56" s="2">
        <f t="shared" si="39"/>
        <v>174350.84855178799</v>
      </c>
      <c r="BL56" s="2">
        <f t="shared" si="40"/>
        <v>0</v>
      </c>
      <c r="BM56" s="2"/>
    </row>
    <row r="57" spans="1:65" x14ac:dyDescent="0.25">
      <c r="A57">
        <f t="shared" si="6"/>
        <v>2009</v>
      </c>
      <c r="B57" s="2">
        <f t="shared" ref="B57:B64" si="52">BD56*(1+(B21/100))</f>
        <v>132321.83299989396</v>
      </c>
      <c r="C57" s="2"/>
      <c r="D57" s="2">
        <f t="shared" si="46"/>
        <v>0</v>
      </c>
      <c r="E57" s="2">
        <f t="shared" si="46"/>
        <v>0</v>
      </c>
      <c r="F57" s="2"/>
      <c r="G57" s="2">
        <f t="shared" si="43"/>
        <v>0</v>
      </c>
      <c r="H57" s="2">
        <f t="shared" si="13"/>
        <v>73875.941548363611</v>
      </c>
      <c r="I57" s="2">
        <f t="shared" si="41"/>
        <v>206197.77454825758</v>
      </c>
      <c r="J57" s="2">
        <f t="shared" si="14"/>
        <v>24683.378904434299</v>
      </c>
      <c r="K57" s="6">
        <f t="shared" si="15"/>
        <v>0.13598579229423363</v>
      </c>
      <c r="L57" s="7">
        <f t="shared" si="16"/>
        <v>1.1359857922942336</v>
      </c>
      <c r="N57">
        <f t="shared" si="17"/>
        <v>2009</v>
      </c>
      <c r="O57" s="2">
        <f t="shared" si="18"/>
        <v>7364.1264106122899</v>
      </c>
      <c r="P57" s="2"/>
      <c r="Q57" s="2"/>
      <c r="R57">
        <f t="shared" si="19"/>
        <v>2009</v>
      </c>
      <c r="S57" s="2">
        <f t="shared" si="20"/>
        <v>127903.35715352658</v>
      </c>
      <c r="T57" s="2"/>
      <c r="U57" s="2"/>
      <c r="V57" s="2"/>
      <c r="W57" s="2"/>
      <c r="X57" s="2"/>
      <c r="Y57" s="2">
        <f t="shared" si="21"/>
        <v>70930.290984118692</v>
      </c>
      <c r="Z57" s="2">
        <f t="shared" si="22"/>
        <v>198833.64813764527</v>
      </c>
      <c r="AA57" s="2">
        <f t="shared" ref="AA57:AA64" si="53">Z57-Z56</f>
        <v>24482.799585857283</v>
      </c>
      <c r="AB57" s="6">
        <f t="shared" ref="AB57:AB64" si="54">(AA57/Z56)</f>
        <v>0.14042260068831888</v>
      </c>
      <c r="AC57" s="7">
        <f t="shared" si="25"/>
        <v>1.1404226006883189</v>
      </c>
      <c r="AD57" s="2">
        <f t="shared" si="26"/>
        <v>0</v>
      </c>
      <c r="AE57" s="2"/>
      <c r="AG57">
        <f t="shared" si="27"/>
        <v>2009</v>
      </c>
      <c r="AH57" s="6">
        <f t="shared" si="51"/>
        <v>0.64326817091332422</v>
      </c>
      <c r="AI57" s="7"/>
      <c r="AJ57" s="6">
        <f t="shared" si="44"/>
        <v>0</v>
      </c>
      <c r="AK57" s="6">
        <f t="shared" si="44"/>
        <v>0</v>
      </c>
      <c r="AL57" s="7"/>
      <c r="AM57" s="6">
        <f t="shared" ref="AM57:AM64" si="55">X57/$Z57</f>
        <v>0</v>
      </c>
      <c r="AN57" s="6">
        <f t="shared" si="29"/>
        <v>0.35673182908667572</v>
      </c>
      <c r="AO57" s="6">
        <f t="shared" si="30"/>
        <v>1</v>
      </c>
      <c r="AP57" s="7">
        <f t="shared" si="31"/>
        <v>0.64326817091332422</v>
      </c>
      <c r="AQ57" s="7">
        <f t="shared" si="32"/>
        <v>0</v>
      </c>
      <c r="AR57" s="24"/>
      <c r="AS57">
        <f t="shared" si="33"/>
        <v>2009</v>
      </c>
      <c r="AT57" s="1" t="b">
        <f t="shared" si="34"/>
        <v>0</v>
      </c>
      <c r="AV57" s="1" t="b">
        <f t="shared" si="47"/>
        <v>0</v>
      </c>
      <c r="AW57" s="1" t="b">
        <f t="shared" si="48"/>
        <v>0</v>
      </c>
      <c r="AY57" s="1" t="b">
        <f t="shared" si="42"/>
        <v>0</v>
      </c>
      <c r="AZ57" s="1" t="b">
        <f t="shared" si="36"/>
        <v>0</v>
      </c>
      <c r="BA57" s="1" t="b">
        <f t="shared" si="37"/>
        <v>1</v>
      </c>
      <c r="BC57">
        <f t="shared" si="38"/>
        <v>2009</v>
      </c>
      <c r="BD57" s="2">
        <f t="shared" si="49"/>
        <v>119300.18888258716</v>
      </c>
      <c r="BE57" s="2"/>
      <c r="BF57" s="2">
        <f t="shared" si="45"/>
        <v>0</v>
      </c>
      <c r="BG57" s="2">
        <f t="shared" si="45"/>
        <v>0</v>
      </c>
      <c r="BH57" s="2"/>
      <c r="BI57" s="2">
        <f t="shared" si="50"/>
        <v>0</v>
      </c>
      <c r="BJ57" s="2">
        <f t="shared" si="10"/>
        <v>79533.459255058115</v>
      </c>
      <c r="BK57" s="2">
        <f t="shared" si="39"/>
        <v>198833.64813764527</v>
      </c>
      <c r="BL57" s="2">
        <f t="shared" si="40"/>
        <v>0</v>
      </c>
      <c r="BM57" s="2"/>
    </row>
    <row r="58" spans="1:65" x14ac:dyDescent="0.25">
      <c r="A58">
        <f t="shared" si="6"/>
        <v>2010</v>
      </c>
      <c r="B58" s="2">
        <f t="shared" si="52"/>
        <v>137087.84704498091</v>
      </c>
      <c r="C58" s="2"/>
      <c r="D58" s="2">
        <f t="shared" si="46"/>
        <v>0</v>
      </c>
      <c r="E58" s="2">
        <f t="shared" si="46"/>
        <v>0</v>
      </c>
      <c r="F58" s="2"/>
      <c r="G58" s="2">
        <f t="shared" si="43"/>
        <v>0</v>
      </c>
      <c r="H58" s="2">
        <f t="shared" si="13"/>
        <v>84639.507339232849</v>
      </c>
      <c r="I58" s="2">
        <f t="shared" si="41"/>
        <v>221727.35438421374</v>
      </c>
      <c r="J58" s="2">
        <f t="shared" si="14"/>
        <v>15529.57983595616</v>
      </c>
      <c r="K58" s="6">
        <f t="shared" si="15"/>
        <v>7.5314003121414327E-2</v>
      </c>
      <c r="L58" s="7">
        <f t="shared" si="16"/>
        <v>1.0753140031214143</v>
      </c>
      <c r="N58">
        <f t="shared" si="17"/>
        <v>2010</v>
      </c>
      <c r="O58" s="2">
        <f t="shared" si="18"/>
        <v>7467.2241803608622</v>
      </c>
      <c r="P58" s="2"/>
      <c r="Q58" s="2"/>
      <c r="R58">
        <f t="shared" si="19"/>
        <v>2010</v>
      </c>
      <c r="S58" s="2">
        <f t="shared" si="20"/>
        <v>132607.51253676441</v>
      </c>
      <c r="T58" s="2"/>
      <c r="U58" s="2"/>
      <c r="V58" s="2"/>
      <c r="W58" s="2"/>
      <c r="X58" s="2"/>
      <c r="Y58" s="2">
        <f t="shared" si="21"/>
        <v>81652.617667088503</v>
      </c>
      <c r="Z58" s="2">
        <f t="shared" si="22"/>
        <v>214260.1302038529</v>
      </c>
      <c r="AA58" s="2">
        <f t="shared" si="53"/>
        <v>15426.482066207624</v>
      </c>
      <c r="AB58" s="6">
        <f t="shared" si="54"/>
        <v>7.7584866599281196E-2</v>
      </c>
      <c r="AC58" s="7">
        <f t="shared" si="25"/>
        <v>1.0775848665992811</v>
      </c>
      <c r="AD58" s="2">
        <f t="shared" si="26"/>
        <v>0</v>
      </c>
      <c r="AE58" s="2"/>
      <c r="AG58">
        <f t="shared" si="27"/>
        <v>2010</v>
      </c>
      <c r="AH58" s="6">
        <f t="shared" si="51"/>
        <v>0.61890895151887582</v>
      </c>
      <c r="AI58" s="7"/>
      <c r="AJ58" s="6">
        <f t="shared" si="44"/>
        <v>0</v>
      </c>
      <c r="AK58" s="6">
        <f t="shared" si="44"/>
        <v>0</v>
      </c>
      <c r="AL58" s="7"/>
      <c r="AM58" s="38">
        <f t="shared" si="55"/>
        <v>0</v>
      </c>
      <c r="AN58" s="38">
        <f t="shared" si="29"/>
        <v>0.38109104848112429</v>
      </c>
      <c r="AO58" s="6">
        <f t="shared" si="30"/>
        <v>1</v>
      </c>
      <c r="AP58" s="7">
        <f t="shared" si="31"/>
        <v>0.61890895151887582</v>
      </c>
      <c r="AQ58" s="7">
        <f t="shared" si="32"/>
        <v>0</v>
      </c>
      <c r="AR58" s="24"/>
      <c r="AS58">
        <f t="shared" si="33"/>
        <v>2010</v>
      </c>
      <c r="AT58" s="1" t="b">
        <f t="shared" si="34"/>
        <v>0</v>
      </c>
      <c r="AV58" s="1" t="b">
        <f t="shared" si="47"/>
        <v>0</v>
      </c>
      <c r="AW58" s="1" t="b">
        <f t="shared" si="48"/>
        <v>0</v>
      </c>
      <c r="AY58" s="1" t="b">
        <f t="shared" si="42"/>
        <v>0</v>
      </c>
      <c r="AZ58" s="1" t="b">
        <f t="shared" si="36"/>
        <v>0</v>
      </c>
      <c r="BA58" s="1" t="b">
        <f t="shared" si="37"/>
        <v>1</v>
      </c>
      <c r="BC58">
        <f t="shared" si="38"/>
        <v>2010</v>
      </c>
      <c r="BD58" s="2">
        <f t="shared" si="49"/>
        <v>128556.07812231174</v>
      </c>
      <c r="BE58" s="2"/>
      <c r="BF58" s="2">
        <f t="shared" si="45"/>
        <v>0</v>
      </c>
      <c r="BG58" s="2">
        <f t="shared" si="45"/>
        <v>0</v>
      </c>
      <c r="BH58" s="2"/>
      <c r="BI58" s="2">
        <f t="shared" si="50"/>
        <v>0</v>
      </c>
      <c r="BJ58" s="2">
        <f t="shared" si="10"/>
        <v>85704.052081541158</v>
      </c>
      <c r="BK58" s="2">
        <f t="shared" si="39"/>
        <v>214260.1302038529</v>
      </c>
      <c r="BL58" s="2">
        <f t="shared" si="40"/>
        <v>0</v>
      </c>
      <c r="BM58" s="2"/>
    </row>
    <row r="59" spans="1:65" x14ac:dyDescent="0.25">
      <c r="A59">
        <f t="shared" si="6"/>
        <v>2011</v>
      </c>
      <c r="B59" s="2">
        <f t="shared" si="52"/>
        <v>131088.6328613213</v>
      </c>
      <c r="C59" s="2"/>
      <c r="D59" s="2">
        <f t="shared" si="46"/>
        <v>0</v>
      </c>
      <c r="E59" s="2">
        <f t="shared" si="46"/>
        <v>0</v>
      </c>
      <c r="F59" s="2"/>
      <c r="G59" s="2">
        <f t="shared" si="43"/>
        <v>0</v>
      </c>
      <c r="H59" s="2">
        <f t="shared" si="13"/>
        <v>92183.278418905684</v>
      </c>
      <c r="I59" s="2">
        <f t="shared" si="41"/>
        <v>223271.91128022698</v>
      </c>
      <c r="J59" s="2">
        <f t="shared" si="14"/>
        <v>1544.5568960132368</v>
      </c>
      <c r="K59" s="6">
        <f t="shared" si="15"/>
        <v>6.9660186958114189E-3</v>
      </c>
      <c r="L59" s="7">
        <f t="shared" si="16"/>
        <v>1.0069660186958114</v>
      </c>
      <c r="N59">
        <f t="shared" si="17"/>
        <v>2011</v>
      </c>
      <c r="O59" s="2">
        <f t="shared" si="18"/>
        <v>7691.2409057716886</v>
      </c>
      <c r="P59" s="2"/>
      <c r="Q59" s="2"/>
      <c r="R59">
        <f t="shared" si="19"/>
        <v>2011</v>
      </c>
      <c r="S59" s="2">
        <f t="shared" si="20"/>
        <v>126473.88831785829</v>
      </c>
      <c r="T59" s="2"/>
      <c r="U59" s="2"/>
      <c r="V59" s="2"/>
      <c r="W59" s="2"/>
      <c r="X59" s="2"/>
      <c r="Y59" s="2">
        <f t="shared" si="21"/>
        <v>89106.782056597003</v>
      </c>
      <c r="Z59" s="2">
        <f t="shared" si="22"/>
        <v>215580.67037445528</v>
      </c>
      <c r="AA59" s="2">
        <f t="shared" si="53"/>
        <v>1320.540170602384</v>
      </c>
      <c r="AB59" s="6">
        <f t="shared" si="54"/>
        <v>6.1632566420359511E-3</v>
      </c>
      <c r="AC59" s="7">
        <f t="shared" si="25"/>
        <v>1.006163256642036</v>
      </c>
      <c r="AD59" s="2">
        <f t="shared" si="26"/>
        <v>0</v>
      </c>
      <c r="AE59" s="2"/>
      <c r="AG59">
        <f t="shared" si="27"/>
        <v>2011</v>
      </c>
      <c r="AH59" s="6">
        <f t="shared" si="51"/>
        <v>0.58666617975618152</v>
      </c>
      <c r="AI59" s="7"/>
      <c r="AJ59" s="6">
        <f t="shared" si="44"/>
        <v>0</v>
      </c>
      <c r="AK59" s="6">
        <f t="shared" si="44"/>
        <v>0</v>
      </c>
      <c r="AL59" s="7"/>
      <c r="AM59" s="6">
        <f t="shared" si="55"/>
        <v>0</v>
      </c>
      <c r="AN59" s="6">
        <f t="shared" si="29"/>
        <v>0.41333382024381859</v>
      </c>
      <c r="AO59" s="6">
        <f t="shared" si="30"/>
        <v>1</v>
      </c>
      <c r="AP59" s="7">
        <f t="shared" si="31"/>
        <v>0.58666617975618152</v>
      </c>
      <c r="AQ59" s="7">
        <f t="shared" si="32"/>
        <v>0</v>
      </c>
      <c r="AR59" s="24"/>
      <c r="AS59">
        <f t="shared" si="33"/>
        <v>2011</v>
      </c>
      <c r="AT59" s="1" t="b">
        <f t="shared" si="34"/>
        <v>0</v>
      </c>
      <c r="AV59" s="1" t="b">
        <f t="shared" si="47"/>
        <v>0</v>
      </c>
      <c r="AW59" s="1" t="b">
        <f t="shared" si="48"/>
        <v>0</v>
      </c>
      <c r="AY59" s="1" t="b">
        <f t="shared" si="42"/>
        <v>0</v>
      </c>
      <c r="AZ59" s="1" t="b">
        <f t="shared" si="36"/>
        <v>0</v>
      </c>
      <c r="BA59" s="1" t="b">
        <f t="shared" si="37"/>
        <v>1</v>
      </c>
      <c r="BC59">
        <f t="shared" si="38"/>
        <v>2011</v>
      </c>
      <c r="BD59" s="2">
        <f t="shared" si="49"/>
        <v>129348.40222467316</v>
      </c>
      <c r="BE59" s="2"/>
      <c r="BF59" s="2">
        <f t="shared" si="45"/>
        <v>0</v>
      </c>
      <c r="BG59" s="2">
        <f t="shared" si="45"/>
        <v>0</v>
      </c>
      <c r="BH59" s="2"/>
      <c r="BI59" s="2">
        <f t="shared" si="50"/>
        <v>0</v>
      </c>
      <c r="BJ59" s="2">
        <f t="shared" si="10"/>
        <v>86232.268149782118</v>
      </c>
      <c r="BK59" s="2">
        <f t="shared" si="39"/>
        <v>215580.67037445528</v>
      </c>
      <c r="BL59" s="2">
        <f t="shared" si="40"/>
        <v>0</v>
      </c>
      <c r="BM59" s="2"/>
    </row>
    <row r="60" spans="1:65" x14ac:dyDescent="0.25">
      <c r="A60">
        <f t="shared" si="6"/>
        <v>2012</v>
      </c>
      <c r="B60" s="2">
        <f t="shared" si="52"/>
        <v>149811.31945661645</v>
      </c>
      <c r="C60" s="2"/>
      <c r="D60" s="2">
        <f t="shared" si="46"/>
        <v>0</v>
      </c>
      <c r="E60" s="2">
        <f t="shared" si="46"/>
        <v>0</v>
      </c>
      <c r="F60" s="2"/>
      <c r="G60" s="2">
        <f t="shared" si="43"/>
        <v>0</v>
      </c>
      <c r="H60" s="2">
        <f t="shared" si="13"/>
        <v>89724.675009848288</v>
      </c>
      <c r="I60" s="2">
        <f t="shared" si="41"/>
        <v>239535.99446646473</v>
      </c>
      <c r="J60" s="2">
        <f t="shared" si="14"/>
        <v>16264.083186237753</v>
      </c>
      <c r="K60" s="6">
        <f t="shared" si="15"/>
        <v>7.2844287008520373E-2</v>
      </c>
      <c r="L60" s="7">
        <f t="shared" si="16"/>
        <v>1.0728442870085204</v>
      </c>
      <c r="N60">
        <f t="shared" si="17"/>
        <v>2012</v>
      </c>
      <c r="O60" s="2">
        <f t="shared" si="18"/>
        <v>7829.6832420755791</v>
      </c>
      <c r="P60" s="2"/>
      <c r="Q60" s="2"/>
      <c r="R60">
        <f t="shared" si="19"/>
        <v>2012</v>
      </c>
      <c r="S60" s="2">
        <f t="shared" si="20"/>
        <v>145113.50951137108</v>
      </c>
      <c r="T60" s="2"/>
      <c r="U60" s="2"/>
      <c r="V60" s="2"/>
      <c r="W60" s="2"/>
      <c r="X60" s="2"/>
      <c r="Y60" s="2">
        <f t="shared" si="21"/>
        <v>86592.801713018052</v>
      </c>
      <c r="Z60" s="2">
        <f t="shared" si="22"/>
        <v>231706.31122438912</v>
      </c>
      <c r="AA60" s="2">
        <f t="shared" si="53"/>
        <v>16125.640849933843</v>
      </c>
      <c r="AB60" s="6">
        <f t="shared" si="54"/>
        <v>7.480095883329535E-2</v>
      </c>
      <c r="AC60" s="7">
        <f t="shared" si="25"/>
        <v>1.0748009588332954</v>
      </c>
      <c r="AD60" s="2">
        <f t="shared" si="26"/>
        <v>0</v>
      </c>
      <c r="AE60" s="2"/>
      <c r="AG60">
        <f t="shared" si="27"/>
        <v>2012</v>
      </c>
      <c r="AH60" s="6">
        <f t="shared" si="51"/>
        <v>0.62628207554881921</v>
      </c>
      <c r="AI60" s="7"/>
      <c r="AJ60" s="6">
        <f t="shared" si="44"/>
        <v>0</v>
      </c>
      <c r="AK60" s="6">
        <f t="shared" si="44"/>
        <v>0</v>
      </c>
      <c r="AL60" s="7"/>
      <c r="AM60" s="6">
        <f t="shared" si="55"/>
        <v>0</v>
      </c>
      <c r="AN60" s="38">
        <f t="shared" si="29"/>
        <v>0.37371792445118085</v>
      </c>
      <c r="AO60" s="6">
        <f t="shared" si="30"/>
        <v>1</v>
      </c>
      <c r="AP60" s="7">
        <f t="shared" si="31"/>
        <v>0.62628207554881921</v>
      </c>
      <c r="AQ60" s="7">
        <f t="shared" si="32"/>
        <v>0</v>
      </c>
      <c r="AR60" s="24"/>
      <c r="AS60">
        <f t="shared" si="33"/>
        <v>2012</v>
      </c>
      <c r="AT60" s="1" t="b">
        <f t="shared" si="34"/>
        <v>0</v>
      </c>
      <c r="AV60" s="1" t="b">
        <f t="shared" si="47"/>
        <v>0</v>
      </c>
      <c r="AW60" s="1" t="b">
        <f t="shared" si="48"/>
        <v>0</v>
      </c>
      <c r="AY60" s="1" t="b">
        <f t="shared" si="42"/>
        <v>0</v>
      </c>
      <c r="AZ60" s="39" t="b">
        <f t="shared" si="36"/>
        <v>0</v>
      </c>
      <c r="BA60" s="1" t="b">
        <f t="shared" si="37"/>
        <v>1</v>
      </c>
      <c r="BC60">
        <f t="shared" si="38"/>
        <v>2012</v>
      </c>
      <c r="BD60" s="2">
        <f t="shared" si="49"/>
        <v>139023.78673463347</v>
      </c>
      <c r="BE60" s="2"/>
      <c r="BF60" s="2">
        <f t="shared" si="45"/>
        <v>0</v>
      </c>
      <c r="BG60" s="2">
        <f t="shared" si="45"/>
        <v>0</v>
      </c>
      <c r="BH60" s="2"/>
      <c r="BI60" s="2">
        <f t="shared" si="50"/>
        <v>0</v>
      </c>
      <c r="BJ60" s="2">
        <f t="shared" si="10"/>
        <v>92682.524489755655</v>
      </c>
      <c r="BK60" s="2">
        <f t="shared" si="39"/>
        <v>231706.31122438912</v>
      </c>
      <c r="BL60" s="2">
        <f t="shared" si="40"/>
        <v>0</v>
      </c>
      <c r="BM60" s="2"/>
    </row>
    <row r="61" spans="1:65" x14ac:dyDescent="0.25">
      <c r="A61">
        <f t="shared" si="6"/>
        <v>2013</v>
      </c>
      <c r="B61" s="2">
        <f t="shared" si="52"/>
        <v>183761.64130583854</v>
      </c>
      <c r="C61" s="2"/>
      <c r="D61" s="2">
        <f t="shared" si="46"/>
        <v>0</v>
      </c>
      <c r="E61" s="2">
        <f t="shared" si="46"/>
        <v>0</v>
      </c>
      <c r="F61" s="2"/>
      <c r="G61" s="2">
        <f t="shared" si="43"/>
        <v>0</v>
      </c>
      <c r="H61" s="2">
        <f t="shared" si="13"/>
        <v>90587.899436287174</v>
      </c>
      <c r="I61" s="2">
        <f t="shared" si="41"/>
        <v>274349.54074212571</v>
      </c>
      <c r="J61" s="2">
        <f t="shared" si="14"/>
        <v>34813.546275660978</v>
      </c>
      <c r="K61" s="6">
        <f t="shared" si="15"/>
        <v>0.14533743186782272</v>
      </c>
      <c r="L61" s="7">
        <f t="shared" si="16"/>
        <v>1.1453374318678227</v>
      </c>
      <c r="N61">
        <f t="shared" si="17"/>
        <v>2013</v>
      </c>
      <c r="O61" s="2">
        <f t="shared" si="18"/>
        <v>7920.1624121763571</v>
      </c>
      <c r="P61" s="2"/>
      <c r="Q61" s="2"/>
      <c r="R61">
        <f t="shared" si="19"/>
        <v>2013</v>
      </c>
      <c r="S61" s="2">
        <f t="shared" si="20"/>
        <v>179009.54385853274</v>
      </c>
      <c r="T61" s="2"/>
      <c r="U61" s="2"/>
      <c r="V61" s="2"/>
      <c r="W61" s="2"/>
      <c r="X61" s="2"/>
      <c r="Y61" s="2">
        <f t="shared" si="21"/>
        <v>87419.834471416631</v>
      </c>
      <c r="Z61" s="2">
        <f t="shared" si="22"/>
        <v>266429.37832994934</v>
      </c>
      <c r="AA61" s="2">
        <f t="shared" si="53"/>
        <v>34723.067105560214</v>
      </c>
      <c r="AB61" s="6">
        <f t="shared" si="54"/>
        <v>0.14985809804694394</v>
      </c>
      <c r="AC61" s="7">
        <f t="shared" si="25"/>
        <v>1.1498580980469439</v>
      </c>
      <c r="AD61" s="2">
        <f t="shared" si="26"/>
        <v>0</v>
      </c>
      <c r="AE61" s="2"/>
      <c r="AG61">
        <f t="shared" si="27"/>
        <v>2013</v>
      </c>
      <c r="AH61" s="6">
        <f t="shared" si="51"/>
        <v>0.67188365254842564</v>
      </c>
      <c r="AI61" s="7"/>
      <c r="AJ61" s="6">
        <f t="shared" si="44"/>
        <v>0</v>
      </c>
      <c r="AK61" s="6">
        <f t="shared" si="44"/>
        <v>0</v>
      </c>
      <c r="AL61" s="7"/>
      <c r="AM61" s="6">
        <f t="shared" si="55"/>
        <v>0</v>
      </c>
      <c r="AN61" s="6">
        <f t="shared" si="29"/>
        <v>0.32811634745157442</v>
      </c>
      <c r="AO61" s="6">
        <f t="shared" si="30"/>
        <v>1</v>
      </c>
      <c r="AP61" s="7">
        <f t="shared" si="31"/>
        <v>0.67188365254842564</v>
      </c>
      <c r="AQ61" s="7">
        <f t="shared" si="32"/>
        <v>0</v>
      </c>
      <c r="AR61" s="24"/>
      <c r="AS61">
        <f t="shared" si="33"/>
        <v>2013</v>
      </c>
      <c r="AT61" s="1" t="b">
        <f t="shared" si="34"/>
        <v>0</v>
      </c>
      <c r="AV61" s="1" t="b">
        <f t="shared" si="47"/>
        <v>0</v>
      </c>
      <c r="AW61" s="1" t="b">
        <f t="shared" si="48"/>
        <v>0</v>
      </c>
      <c r="AY61" s="1" t="b">
        <f t="shared" si="42"/>
        <v>0</v>
      </c>
      <c r="AZ61" s="1" t="b">
        <f t="shared" si="36"/>
        <v>1</v>
      </c>
      <c r="BA61" s="1" t="b">
        <f t="shared" si="37"/>
        <v>1</v>
      </c>
      <c r="BC61">
        <f t="shared" si="38"/>
        <v>2013</v>
      </c>
      <c r="BD61" s="2">
        <f t="shared" si="49"/>
        <v>159857.62699796961</v>
      </c>
      <c r="BE61" s="2"/>
      <c r="BF61" s="2">
        <f t="shared" si="45"/>
        <v>0</v>
      </c>
      <c r="BG61" s="2">
        <f t="shared" si="45"/>
        <v>0</v>
      </c>
      <c r="BH61" s="2"/>
      <c r="BI61" s="2">
        <f t="shared" si="50"/>
        <v>0</v>
      </c>
      <c r="BJ61" s="2">
        <f t="shared" si="10"/>
        <v>106571.75133197974</v>
      </c>
      <c r="BK61" s="2">
        <f t="shared" si="39"/>
        <v>266429.37832994934</v>
      </c>
      <c r="BL61" s="2">
        <f t="shared" si="40"/>
        <v>0</v>
      </c>
      <c r="BM61" s="2"/>
    </row>
    <row r="62" spans="1:65" x14ac:dyDescent="0.25">
      <c r="A62">
        <f t="shared" si="6"/>
        <v>2014</v>
      </c>
      <c r="B62" s="2">
        <f t="shared" si="52"/>
        <v>181454.39240539531</v>
      </c>
      <c r="C62" s="2"/>
      <c r="D62" s="2">
        <f t="shared" si="46"/>
        <v>0</v>
      </c>
      <c r="E62" s="2">
        <f t="shared" si="46"/>
        <v>0</v>
      </c>
      <c r="F62" s="2"/>
      <c r="G62" s="2">
        <f t="shared" si="43"/>
        <v>0</v>
      </c>
      <c r="H62" s="2">
        <f t="shared" si="13"/>
        <v>112710.28420870179</v>
      </c>
      <c r="I62" s="2">
        <f t="shared" si="41"/>
        <v>294164.67661409709</v>
      </c>
      <c r="J62" s="2">
        <f t="shared" si="14"/>
        <v>19815.135871971375</v>
      </c>
      <c r="K62" s="6">
        <f t="shared" si="15"/>
        <v>7.2225875860301048E-2</v>
      </c>
      <c r="L62" s="7">
        <f t="shared" si="16"/>
        <v>1.0722258758603012</v>
      </c>
      <c r="N62">
        <f t="shared" si="17"/>
        <v>2014</v>
      </c>
      <c r="O62" s="2">
        <f t="shared" si="18"/>
        <v>8022.3325072934313</v>
      </c>
      <c r="P62" s="2"/>
      <c r="Q62" s="2"/>
      <c r="R62">
        <f t="shared" si="19"/>
        <v>2014</v>
      </c>
      <c r="S62" s="2">
        <f t="shared" si="20"/>
        <v>176640.99290101926</v>
      </c>
      <c r="T62" s="2"/>
      <c r="U62" s="2"/>
      <c r="V62" s="2"/>
      <c r="W62" s="2"/>
      <c r="X62" s="2"/>
      <c r="Y62" s="2">
        <f t="shared" si="21"/>
        <v>109501.35120578442</v>
      </c>
      <c r="Z62" s="2">
        <f t="shared" si="22"/>
        <v>286142.34410680365</v>
      </c>
      <c r="AA62" s="2">
        <f t="shared" si="53"/>
        <v>19712.965776854311</v>
      </c>
      <c r="AB62" s="6">
        <f t="shared" si="54"/>
        <v>7.3989459797641155E-2</v>
      </c>
      <c r="AC62" s="7">
        <f t="shared" si="25"/>
        <v>1.0739894597976412</v>
      </c>
      <c r="AD62" s="2">
        <f t="shared" si="26"/>
        <v>0</v>
      </c>
      <c r="AE62" s="2"/>
      <c r="AG62">
        <f t="shared" si="27"/>
        <v>2014</v>
      </c>
      <c r="AH62" s="6">
        <f t="shared" si="51"/>
        <v>0.61731860571844399</v>
      </c>
      <c r="AI62" s="7"/>
      <c r="AJ62" s="6">
        <f t="shared" si="44"/>
        <v>0</v>
      </c>
      <c r="AK62" s="6">
        <f t="shared" si="44"/>
        <v>0</v>
      </c>
      <c r="AL62" s="7"/>
      <c r="AM62" s="6">
        <f t="shared" si="55"/>
        <v>0</v>
      </c>
      <c r="AN62" s="38">
        <f t="shared" si="29"/>
        <v>0.38268139428155606</v>
      </c>
      <c r="AO62" s="6">
        <f t="shared" si="30"/>
        <v>1</v>
      </c>
      <c r="AP62" s="7">
        <f t="shared" si="31"/>
        <v>0.61731860571844399</v>
      </c>
      <c r="AQ62" s="7">
        <f t="shared" si="32"/>
        <v>0</v>
      </c>
      <c r="AR62" s="24"/>
      <c r="AS62">
        <f t="shared" si="33"/>
        <v>2014</v>
      </c>
      <c r="AT62" s="1" t="b">
        <f t="shared" si="34"/>
        <v>0</v>
      </c>
      <c r="AV62" s="1" t="b">
        <f t="shared" si="47"/>
        <v>0</v>
      </c>
      <c r="AW62" s="1" t="b">
        <f t="shared" si="48"/>
        <v>0</v>
      </c>
      <c r="AY62" s="1" t="b">
        <f t="shared" si="42"/>
        <v>0</v>
      </c>
      <c r="AZ62" s="1" t="b">
        <f t="shared" si="36"/>
        <v>0</v>
      </c>
      <c r="BA62" s="1" t="b">
        <f t="shared" si="37"/>
        <v>1</v>
      </c>
      <c r="BC62">
        <f t="shared" si="38"/>
        <v>2014</v>
      </c>
      <c r="BD62" s="2">
        <f t="shared" si="49"/>
        <v>171685.40646408219</v>
      </c>
      <c r="BE62" s="2"/>
      <c r="BF62" s="2">
        <f t="shared" si="45"/>
        <v>0</v>
      </c>
      <c r="BG62" s="2">
        <f t="shared" si="45"/>
        <v>0</v>
      </c>
      <c r="BH62" s="2"/>
      <c r="BI62" s="2">
        <f t="shared" si="50"/>
        <v>0</v>
      </c>
      <c r="BJ62" s="2">
        <f t="shared" si="10"/>
        <v>114456.93764272146</v>
      </c>
      <c r="BK62" s="2">
        <f t="shared" si="39"/>
        <v>286142.34410680365</v>
      </c>
      <c r="BL62" s="2">
        <f t="shared" si="40"/>
        <v>0</v>
      </c>
      <c r="BM62" s="2"/>
    </row>
    <row r="63" spans="1:65" x14ac:dyDescent="0.25">
      <c r="A63">
        <f t="shared" si="6"/>
        <v>2015</v>
      </c>
      <c r="B63" s="2">
        <f t="shared" si="52"/>
        <v>173831.47404488322</v>
      </c>
      <c r="C63" s="2"/>
      <c r="D63" s="2">
        <f t="shared" si="46"/>
        <v>0</v>
      </c>
      <c r="E63" s="2">
        <f t="shared" si="46"/>
        <v>0</v>
      </c>
      <c r="F63" s="2"/>
      <c r="G63" s="2">
        <f t="shared" si="43"/>
        <v>0</v>
      </c>
      <c r="H63" s="2">
        <f t="shared" si="13"/>
        <v>114800.30845564962</v>
      </c>
      <c r="I63" s="2">
        <f t="shared" si="41"/>
        <v>288631.7825005328</v>
      </c>
      <c r="J63" s="2">
        <f t="shared" si="14"/>
        <v>-5532.8941135642817</v>
      </c>
      <c r="K63" s="6">
        <f t="shared" si="15"/>
        <v>-1.8808832444633265E-2</v>
      </c>
      <c r="L63" s="7">
        <f t="shared" si="16"/>
        <v>0.98119116755536673</v>
      </c>
      <c r="N63">
        <f t="shared" si="17"/>
        <v>2015</v>
      </c>
      <c r="O63" s="2">
        <f t="shared" si="18"/>
        <v>8057.6307703255225</v>
      </c>
      <c r="P63" s="2"/>
      <c r="Q63" s="2"/>
      <c r="R63">
        <f t="shared" si="19"/>
        <v>2015</v>
      </c>
      <c r="S63" s="2">
        <f t="shared" si="20"/>
        <v>168996.8955826879</v>
      </c>
      <c r="T63" s="2"/>
      <c r="U63" s="2"/>
      <c r="V63" s="2"/>
      <c r="W63" s="2"/>
      <c r="X63" s="2"/>
      <c r="Y63" s="2">
        <f t="shared" si="21"/>
        <v>111577.25614751941</v>
      </c>
      <c r="Z63" s="2">
        <f t="shared" si="22"/>
        <v>280574.15173020732</v>
      </c>
      <c r="AA63" s="2">
        <f t="shared" si="53"/>
        <v>-5568.1923765963293</v>
      </c>
      <c r="AB63" s="6">
        <f t="shared" si="54"/>
        <v>-1.9459518981636573E-2</v>
      </c>
      <c r="AC63" s="7">
        <f t="shared" si="25"/>
        <v>0.98054048101836344</v>
      </c>
      <c r="AD63" s="2">
        <f t="shared" si="26"/>
        <v>0</v>
      </c>
      <c r="AE63" s="2"/>
      <c r="AG63">
        <f t="shared" si="27"/>
        <v>2015</v>
      </c>
      <c r="AH63" s="6">
        <f t="shared" si="51"/>
        <v>0.60232524821171285</v>
      </c>
      <c r="AI63" s="7"/>
      <c r="AJ63" s="6">
        <f t="shared" si="44"/>
        <v>0</v>
      </c>
      <c r="AK63" s="6">
        <f t="shared" si="44"/>
        <v>0</v>
      </c>
      <c r="AL63" s="7"/>
      <c r="AM63" s="6">
        <f t="shared" si="55"/>
        <v>0</v>
      </c>
      <c r="AN63" s="6">
        <f t="shared" si="29"/>
        <v>0.39767475178828715</v>
      </c>
      <c r="AO63" s="6">
        <f t="shared" si="30"/>
        <v>1</v>
      </c>
      <c r="AP63" s="7">
        <f t="shared" si="31"/>
        <v>0.60232524821171285</v>
      </c>
      <c r="AQ63" s="7">
        <f t="shared" si="32"/>
        <v>0</v>
      </c>
      <c r="AR63" s="24"/>
      <c r="AS63">
        <f t="shared" si="33"/>
        <v>2015</v>
      </c>
      <c r="AT63" s="1" t="b">
        <f t="shared" si="34"/>
        <v>0</v>
      </c>
      <c r="AV63" s="1" t="b">
        <f t="shared" si="47"/>
        <v>0</v>
      </c>
      <c r="AW63" s="1" t="b">
        <f t="shared" si="48"/>
        <v>0</v>
      </c>
      <c r="AY63" s="1" t="b">
        <f t="shared" si="42"/>
        <v>0</v>
      </c>
      <c r="AZ63" s="1" t="b">
        <f t="shared" si="36"/>
        <v>0</v>
      </c>
      <c r="BA63" s="1" t="b">
        <f t="shared" si="37"/>
        <v>1</v>
      </c>
      <c r="BC63">
        <f t="shared" si="38"/>
        <v>2015</v>
      </c>
      <c r="BD63" s="2">
        <f t="shared" si="49"/>
        <v>168344.4910381244</v>
      </c>
      <c r="BE63" s="2"/>
      <c r="BF63" s="2">
        <f t="shared" si="45"/>
        <v>0</v>
      </c>
      <c r="BG63" s="2">
        <f t="shared" si="45"/>
        <v>0</v>
      </c>
      <c r="BH63" s="2"/>
      <c r="BI63" s="2">
        <f t="shared" si="50"/>
        <v>0</v>
      </c>
      <c r="BJ63" s="2">
        <f t="shared" si="10"/>
        <v>112229.66069208294</v>
      </c>
      <c r="BK63" s="2">
        <f t="shared" si="39"/>
        <v>280574.15173020732</v>
      </c>
      <c r="BL63" s="2">
        <f t="shared" si="40"/>
        <v>0</v>
      </c>
      <c r="BM63" s="2"/>
    </row>
    <row r="64" spans="1:65" x14ac:dyDescent="0.25">
      <c r="A64">
        <f t="shared" si="6"/>
        <v>2016</v>
      </c>
      <c r="B64" s="2">
        <f t="shared" si="52"/>
        <v>188242.80987883071</v>
      </c>
      <c r="C64" s="2"/>
      <c r="D64" s="2">
        <f t="shared" si="46"/>
        <v>0</v>
      </c>
      <c r="E64" s="2">
        <f t="shared" si="46"/>
        <v>0</v>
      </c>
      <c r="F64" s="2"/>
      <c r="G64" s="2">
        <f t="shared" si="43"/>
        <v>0</v>
      </c>
      <c r="H64" s="2">
        <f t="shared" si="13"/>
        <v>115035.40220938499</v>
      </c>
      <c r="I64" s="2">
        <f t="shared" si="41"/>
        <v>303278.21208821569</v>
      </c>
      <c r="J64" s="2">
        <f t="shared" si="14"/>
        <v>14646.429587682884</v>
      </c>
      <c r="K64" s="6">
        <f t="shared" si="15"/>
        <v>5.0744340975879355E-2</v>
      </c>
      <c r="L64" s="7">
        <f t="shared" si="16"/>
        <v>1.0507443409758794</v>
      </c>
      <c r="N64">
        <f t="shared" si="17"/>
        <v>2016</v>
      </c>
      <c r="O64" s="2">
        <f t="shared" si="18"/>
        <v>8194.6104934210562</v>
      </c>
      <c r="P64" s="2"/>
      <c r="Q64" s="2"/>
      <c r="R64">
        <f t="shared" si="19"/>
        <v>2016</v>
      </c>
      <c r="S64" s="2">
        <f t="shared" si="20"/>
        <v>183326.04358277807</v>
      </c>
      <c r="T64" s="2"/>
      <c r="U64" s="2"/>
      <c r="V64" s="2"/>
      <c r="W64" s="2"/>
      <c r="X64" s="2"/>
      <c r="Y64" s="2">
        <f t="shared" si="21"/>
        <v>111757.55801201657</v>
      </c>
      <c r="Z64" s="2">
        <f t="shared" si="22"/>
        <v>295083.60159479466</v>
      </c>
      <c r="AA64" s="2">
        <f t="shared" si="53"/>
        <v>14509.449864587339</v>
      </c>
      <c r="AB64" s="6">
        <f t="shared" si="54"/>
        <v>5.1713423261239129E-2</v>
      </c>
      <c r="AC64" s="7">
        <f t="shared" si="25"/>
        <v>1.0517134232612391</v>
      </c>
      <c r="AD64" s="2">
        <f t="shared" si="26"/>
        <v>0</v>
      </c>
      <c r="AE64" s="2"/>
      <c r="AG64">
        <f t="shared" si="27"/>
        <v>2016</v>
      </c>
      <c r="AH64" s="6">
        <f t="shared" si="51"/>
        <v>0.62126815110017275</v>
      </c>
      <c r="AI64" s="7"/>
      <c r="AJ64" s="6">
        <f t="shared" si="44"/>
        <v>0</v>
      </c>
      <c r="AK64" s="6">
        <f t="shared" si="44"/>
        <v>0</v>
      </c>
      <c r="AL64" s="7"/>
      <c r="AM64" s="6">
        <f t="shared" si="55"/>
        <v>0</v>
      </c>
      <c r="AN64" s="6">
        <f t="shared" si="29"/>
        <v>0.37873184889982714</v>
      </c>
      <c r="AO64" s="6">
        <f t="shared" si="30"/>
        <v>0.99999999999999989</v>
      </c>
      <c r="AP64" s="7">
        <f t="shared" si="31"/>
        <v>0.62126815110017275</v>
      </c>
      <c r="AQ64" s="7">
        <f t="shared" si="32"/>
        <v>0</v>
      </c>
      <c r="AR64" s="24"/>
      <c r="AS64">
        <f t="shared" si="33"/>
        <v>2016</v>
      </c>
      <c r="AT64" s="1" t="b">
        <f t="shared" si="34"/>
        <v>0</v>
      </c>
      <c r="AV64" s="1" t="b">
        <f t="shared" si="47"/>
        <v>0</v>
      </c>
      <c r="AW64" s="1" t="b">
        <f t="shared" si="48"/>
        <v>0</v>
      </c>
      <c r="AY64" s="1" t="b">
        <f t="shared" si="42"/>
        <v>0</v>
      </c>
      <c r="AZ64" s="1" t="b">
        <f t="shared" si="36"/>
        <v>0</v>
      </c>
      <c r="BA64" s="1" t="b">
        <f t="shared" si="37"/>
        <v>1</v>
      </c>
      <c r="BC64">
        <f t="shared" si="38"/>
        <v>2016</v>
      </c>
      <c r="BD64" s="2">
        <f t="shared" si="49"/>
        <v>177050.16095687679</v>
      </c>
      <c r="BE64" s="2"/>
      <c r="BF64" s="2">
        <f t="shared" si="45"/>
        <v>0</v>
      </c>
      <c r="BG64" s="2">
        <f t="shared" si="45"/>
        <v>0</v>
      </c>
      <c r="BH64" s="2"/>
      <c r="BI64" s="2">
        <f t="shared" si="50"/>
        <v>0</v>
      </c>
      <c r="BJ64" s="2">
        <f t="shared" si="10"/>
        <v>118033.44063791787</v>
      </c>
      <c r="BK64" s="2">
        <f t="shared" si="39"/>
        <v>295083.60159479466</v>
      </c>
      <c r="BL64" s="2">
        <f t="shared" si="40"/>
        <v>0</v>
      </c>
      <c r="BM64" s="2"/>
    </row>
    <row r="65" spans="1:62" x14ac:dyDescent="0.25">
      <c r="A65" s="9" t="s">
        <v>78</v>
      </c>
      <c r="B65" s="10">
        <f>BD64</f>
        <v>177050.16095687679</v>
      </c>
      <c r="C65" s="10"/>
      <c r="D65" s="10">
        <f>BF64</f>
        <v>0</v>
      </c>
      <c r="E65" s="10">
        <f>BG64</f>
        <v>0</v>
      </c>
      <c r="F65" s="10"/>
      <c r="G65" s="10">
        <f>BI64</f>
        <v>0</v>
      </c>
      <c r="H65" s="10">
        <f>BJ64</f>
        <v>118033.44063791787</v>
      </c>
      <c r="I65" s="10">
        <f>SUM(B65:H65)</f>
        <v>295083.60159479466</v>
      </c>
      <c r="J65" s="10"/>
      <c r="K65" s="10"/>
      <c r="L65" s="73"/>
      <c r="N65" t="s">
        <v>40</v>
      </c>
      <c r="O65" s="2">
        <f>O64</f>
        <v>8194.6104934210562</v>
      </c>
      <c r="P65" s="2"/>
      <c r="R65" s="9" t="s">
        <v>78</v>
      </c>
      <c r="S65" s="10">
        <f>S64</f>
        <v>183326.04358277807</v>
      </c>
      <c r="T65" s="10"/>
      <c r="U65" s="10">
        <f>U64</f>
        <v>0</v>
      </c>
      <c r="V65" s="10">
        <f>V64</f>
        <v>0</v>
      </c>
      <c r="W65" s="10"/>
      <c r="X65" s="10">
        <f>X64</f>
        <v>0</v>
      </c>
      <c r="Y65" s="10">
        <f>Y64</f>
        <v>111757.55801201657</v>
      </c>
      <c r="Z65" s="10">
        <f>Z64</f>
        <v>295083.60159479466</v>
      </c>
      <c r="AA65" s="10"/>
      <c r="AB65" s="10"/>
      <c r="AC65" s="73"/>
      <c r="AD65" s="10"/>
      <c r="AE65" s="43"/>
      <c r="AK65" s="7"/>
      <c r="BC65" s="21"/>
      <c r="BD65" s="22"/>
      <c r="BF65" s="22"/>
      <c r="BG65" s="22"/>
      <c r="BI65" s="22"/>
      <c r="BJ65" s="22"/>
    </row>
    <row r="66" spans="1:62" x14ac:dyDescent="0.25">
      <c r="A66" s="11" t="s">
        <v>11</v>
      </c>
      <c r="I66" s="6">
        <f>(Z65-Z39)/Z39</f>
        <v>1.9508360159479465</v>
      </c>
      <c r="K66" s="6"/>
      <c r="N66" t="s">
        <v>70</v>
      </c>
      <c r="O66" s="2">
        <f>SUM(O40:O64)</f>
        <v>163668.28717950144</v>
      </c>
      <c r="P66" s="2"/>
      <c r="AB66" s="6"/>
      <c r="BF66" s="22"/>
    </row>
    <row r="67" spans="1:62" x14ac:dyDescent="0.25">
      <c r="A67" s="1" t="s">
        <v>12</v>
      </c>
      <c r="I67" s="12">
        <f>STDEV(AC40:AC64)</f>
        <v>0.10534963083755994</v>
      </c>
    </row>
    <row r="68" spans="1:62" x14ac:dyDescent="0.25">
      <c r="A68" s="1" t="s">
        <v>13</v>
      </c>
      <c r="I68" s="13">
        <f>((1+I66)^(1/I75))-1</f>
        <v>4.4233936031533361E-2</v>
      </c>
    </row>
    <row r="69" spans="1:62" x14ac:dyDescent="0.25">
      <c r="A69" s="1" t="s">
        <v>82</v>
      </c>
      <c r="I69" s="31">
        <f>J60</f>
        <v>16264.083186237753</v>
      </c>
      <c r="O69" s="2"/>
      <c r="P69" s="2"/>
    </row>
    <row r="70" spans="1:62" x14ac:dyDescent="0.25">
      <c r="A70" s="1" t="s">
        <v>83</v>
      </c>
      <c r="I70" s="32">
        <f>K60</f>
        <v>7.2844287008520373E-2</v>
      </c>
    </row>
    <row r="71" spans="1:62" x14ac:dyDescent="0.25">
      <c r="A71" s="1" t="s">
        <v>42</v>
      </c>
      <c r="I71" s="2">
        <f>O66</f>
        <v>163668.28717950144</v>
      </c>
    </row>
    <row r="72" spans="1:62" x14ac:dyDescent="0.25">
      <c r="A72" s="3" t="s">
        <v>5</v>
      </c>
      <c r="B72" s="3"/>
      <c r="C72" s="3"/>
      <c r="D72" s="3"/>
      <c r="E72" s="3"/>
      <c r="F72" s="3"/>
      <c r="G72" s="3"/>
      <c r="H72" s="3"/>
      <c r="I72" s="33">
        <f>I65-Z65</f>
        <v>0</v>
      </c>
      <c r="Z72" s="2"/>
    </row>
    <row r="73" spans="1:62" x14ac:dyDescent="0.25">
      <c r="A73" s="3" t="s">
        <v>148</v>
      </c>
      <c r="B73" s="3"/>
      <c r="C73" s="3"/>
      <c r="D73" s="3"/>
      <c r="E73" s="3"/>
      <c r="F73" s="3"/>
      <c r="G73" s="3"/>
      <c r="H73" s="3"/>
      <c r="I73" s="33">
        <f>((SUM(AA40:AA64)))-(I65-I39)</f>
        <v>0</v>
      </c>
    </row>
    <row r="74" spans="1:62" x14ac:dyDescent="0.25">
      <c r="A74" s="3" t="s">
        <v>147</v>
      </c>
      <c r="B74" s="3"/>
      <c r="C74" s="3"/>
      <c r="D74" s="3"/>
      <c r="E74" s="3"/>
      <c r="F74" s="3"/>
      <c r="G74" s="3"/>
      <c r="H74" s="3"/>
      <c r="I74" s="33">
        <f>(SUM(O40:O64))-I71</f>
        <v>0</v>
      </c>
      <c r="Z74" s="72"/>
    </row>
    <row r="75" spans="1:62" x14ac:dyDescent="0.25">
      <c r="A75" s="3" t="s">
        <v>159</v>
      </c>
      <c r="B75" s="3"/>
      <c r="C75" s="3"/>
      <c r="D75" s="3"/>
      <c r="E75" s="3"/>
      <c r="F75" s="3"/>
      <c r="G75" s="3"/>
      <c r="H75" s="3"/>
      <c r="I75" s="74">
        <f>COUNTA(I40:I64)</f>
        <v>25</v>
      </c>
    </row>
    <row r="76" spans="1:62" x14ac:dyDescent="0.25">
      <c r="B76" s="62"/>
      <c r="C76" s="62"/>
      <c r="D76" s="62"/>
      <c r="E76" s="62"/>
      <c r="G76" s="62"/>
      <c r="H76" s="62"/>
      <c r="I76" s="62"/>
    </row>
    <row r="77" spans="1:62" x14ac:dyDescent="0.25">
      <c r="B77" s="2"/>
      <c r="D77" s="2"/>
      <c r="E77" s="2"/>
      <c r="G77" s="2"/>
      <c r="H77" s="2"/>
      <c r="I77" s="2"/>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F7A-1F90-46E2-B7D2-E1997346F85C}">
  <dimension ref="A1:AP79"/>
  <sheetViews>
    <sheetView topLeftCell="A47" zoomScaleNormal="100" workbookViewId="0">
      <selection activeCell="D47" sqref="D47"/>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49</v>
      </c>
      <c r="N1" s="20" t="s">
        <v>144</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1992</v>
      </c>
      <c r="B4" s="17">
        <f>'Non-Rebalanced Portfolio'!B4</f>
        <v>7.42</v>
      </c>
      <c r="C4" s="17">
        <f>'Non-Rebalanced Portfolio'!C4</f>
        <v>12.465999999999999</v>
      </c>
      <c r="D4" s="17"/>
      <c r="E4" s="17"/>
      <c r="F4" s="17">
        <f>'Non-Rebalanced Portfolio'!F4</f>
        <v>-8.7210000000000001</v>
      </c>
      <c r="G4" s="17"/>
      <c r="H4" s="17">
        <f>'Non-Rebalanced Portfolio'!H4</f>
        <v>7.14</v>
      </c>
      <c r="N4" s="49">
        <f>'4.5% Withdrawals-No Rebalancing'!N4</f>
        <v>1992</v>
      </c>
      <c r="O4" s="50">
        <f>'4.5% Withdrawals-No Rebalancing'!O4</f>
        <v>0.03</v>
      </c>
      <c r="P4" s="44"/>
    </row>
    <row r="5" spans="1:16" x14ac:dyDescent="0.25">
      <c r="A5" s="17">
        <f>'Non-Rebalanced Portfolio'!A5</f>
        <v>1993</v>
      </c>
      <c r="B5" s="17">
        <f>'Non-Rebalanced Portfolio'!B5</f>
        <v>9.89</v>
      </c>
      <c r="C5" s="17">
        <f>'Non-Rebalanced Portfolio'!C5</f>
        <v>14.49</v>
      </c>
      <c r="D5" s="17"/>
      <c r="E5" s="17"/>
      <c r="F5" s="17">
        <f>'Non-Rebalanced Portfolio'!F5</f>
        <v>30.494</v>
      </c>
      <c r="G5" s="17"/>
      <c r="H5" s="17">
        <f>'Non-Rebalanced Portfolio'!H5</f>
        <v>9.68</v>
      </c>
      <c r="N5" s="49">
        <f>'4.5% Withdrawals-No Rebalancing'!N5</f>
        <v>1993</v>
      </c>
      <c r="O5" s="50">
        <f>'4.5% Withdrawals-No Rebalancing'!O5</f>
        <v>2.8000000000000001E-2</v>
      </c>
      <c r="P5" s="44"/>
    </row>
    <row r="6" spans="1:16" x14ac:dyDescent="0.25">
      <c r="A6" s="17">
        <f>'Non-Rebalanced Portfolio'!A6</f>
        <v>1994</v>
      </c>
      <c r="B6" s="17">
        <f>'Non-Rebalanced Portfolio'!B6</f>
        <v>1.18</v>
      </c>
      <c r="C6" s="17">
        <f>'Non-Rebalanced Portfolio'!C6</f>
        <v>-1.764</v>
      </c>
      <c r="D6" s="17"/>
      <c r="E6" s="17"/>
      <c r="F6" s="17">
        <f>'Non-Rebalanced Portfolio'!F6</f>
        <v>5.2549999999999999</v>
      </c>
      <c r="G6" s="17"/>
      <c r="H6" s="17">
        <f>'Non-Rebalanced Portfolio'!H6</f>
        <v>-2.66</v>
      </c>
      <c r="N6" s="49">
        <f>'4.5% Withdrawals-No Rebalancing'!N6</f>
        <v>1994</v>
      </c>
      <c r="O6" s="50">
        <f>'4.5% Withdrawals-No Rebalancing'!O6</f>
        <v>2.5999999999999999E-2</v>
      </c>
      <c r="P6" s="44"/>
    </row>
    <row r="7" spans="1:16" x14ac:dyDescent="0.25">
      <c r="A7" s="17">
        <f>'Non-Rebalanced Portfolio'!A7</f>
        <v>1995</v>
      </c>
      <c r="B7" s="17">
        <f>'Non-Rebalanced Portfolio'!B7</f>
        <v>37.450000000000003</v>
      </c>
      <c r="C7" s="17">
        <f>'Non-Rebalanced Portfolio'!C7</f>
        <v>33.796999999999997</v>
      </c>
      <c r="D7" s="17"/>
      <c r="E7" s="17"/>
      <c r="F7" s="17">
        <f>'Non-Rebalanced Portfolio'!F7</f>
        <v>9.6460000000000008</v>
      </c>
      <c r="G7" s="17"/>
      <c r="H7" s="17">
        <f>'Non-Rebalanced Portfolio'!H7</f>
        <v>18.18</v>
      </c>
      <c r="N7" s="49">
        <f>'4.5% Withdrawals-No Rebalancing'!N7</f>
        <v>1995</v>
      </c>
      <c r="O7" s="50">
        <f>'4.5% Withdrawals-No Rebalancing'!O7</f>
        <v>2.5000000000000001E-2</v>
      </c>
      <c r="P7" s="44"/>
    </row>
    <row r="8" spans="1:16" x14ac:dyDescent="0.25">
      <c r="A8" s="17">
        <f>'Non-Rebalanced Portfolio'!A8</f>
        <v>1996</v>
      </c>
      <c r="B8" s="17">
        <f>'Non-Rebalanced Portfolio'!B8</f>
        <v>22.88</v>
      </c>
      <c r="C8" s="17">
        <f>'Non-Rebalanced Portfolio'!C8</f>
        <v>17.646999999999998</v>
      </c>
      <c r="D8" s="17"/>
      <c r="E8" s="17"/>
      <c r="F8" s="17">
        <f>'Non-Rebalanced Portfolio'!F8</f>
        <v>10.218999999999999</v>
      </c>
      <c r="G8" s="17"/>
      <c r="H8" s="17">
        <f>'Non-Rebalanced Portfolio'!H8</f>
        <v>3.58</v>
      </c>
      <c r="N8" s="49">
        <f>'4.5% Withdrawals-No Rebalancing'!N8</f>
        <v>1996</v>
      </c>
      <c r="O8" s="50">
        <f>'4.5% Withdrawals-No Rebalancing'!O8</f>
        <v>3.4000000000000002E-2</v>
      </c>
      <c r="P8" s="44"/>
    </row>
    <row r="9" spans="1:16" x14ac:dyDescent="0.25">
      <c r="A9" s="17">
        <f>'Non-Rebalanced Portfolio'!A9</f>
        <v>1997</v>
      </c>
      <c r="B9" s="17">
        <f>'Non-Rebalanced Portfolio'!B9</f>
        <v>33.19</v>
      </c>
      <c r="C9" s="17">
        <f>'Non-Rebalanced Portfolio'!C9</f>
        <v>26.687000000000001</v>
      </c>
      <c r="D9" s="17"/>
      <c r="E9" s="17"/>
      <c r="F9" s="17">
        <f>'Non-Rebalanced Portfolio'!F9</f>
        <v>0</v>
      </c>
      <c r="G9" s="17"/>
      <c r="H9" s="17">
        <f>'Non-Rebalanced Portfolio'!H9</f>
        <v>9.44</v>
      </c>
      <c r="N9" s="49">
        <f>'4.5% Withdrawals-No Rebalancing'!N9</f>
        <v>1997</v>
      </c>
      <c r="O9" s="50">
        <f>'4.5% Withdrawals-No Rebalancing'!O9</f>
        <v>1.7000000000000001E-2</v>
      </c>
      <c r="P9" s="44"/>
    </row>
    <row r="10" spans="1:16" x14ac:dyDescent="0.25">
      <c r="A10" s="17">
        <f>'Non-Rebalanced Portfolio'!A10</f>
        <v>1998</v>
      </c>
      <c r="B10" s="17">
        <f>'Non-Rebalanced Portfolio'!B10</f>
        <v>28.66</v>
      </c>
      <c r="C10" s="17">
        <f>'Non-Rebalanced Portfolio'!C10</f>
        <v>8.3529999999999998</v>
      </c>
      <c r="D10" s="17"/>
      <c r="E10" s="17"/>
      <c r="F10" s="17">
        <f>'Non-Rebalanced Portfolio'!F10</f>
        <v>0</v>
      </c>
      <c r="G10" s="17"/>
      <c r="H10" s="17">
        <f>'Non-Rebalanced Portfolio'!H10</f>
        <v>8.58</v>
      </c>
      <c r="N10" s="49">
        <f>'4.5% Withdrawals-No Rebalancing'!N10</f>
        <v>1998</v>
      </c>
      <c r="O10" s="50">
        <f>'4.5% Withdrawals-No Rebalancing'!O10</f>
        <v>1.6E-2</v>
      </c>
      <c r="P10" s="44"/>
    </row>
    <row r="11" spans="1:16" x14ac:dyDescent="0.25">
      <c r="A11" s="17">
        <f>'Non-Rebalanced Portfolio'!A11</f>
        <v>1999</v>
      </c>
      <c r="B11" s="17">
        <f>'Non-Rebalanced Portfolio'!B11</f>
        <v>21.07</v>
      </c>
      <c r="C11" s="17">
        <f>'Non-Rebalanced Portfolio'!C11</f>
        <v>0</v>
      </c>
      <c r="D11" s="17"/>
      <c r="E11" s="17"/>
      <c r="F11" s="17">
        <f>'Non-Rebalanced Portfolio'!F11</f>
        <v>0</v>
      </c>
      <c r="G11" s="17"/>
      <c r="H11" s="17">
        <f>'Non-Rebalanced Portfolio'!H11</f>
        <v>-0.76</v>
      </c>
      <c r="N11" s="49">
        <f>'4.5% Withdrawals-No Rebalancing'!N11</f>
        <v>1999</v>
      </c>
      <c r="O11" s="50">
        <f>'4.5% Withdrawals-No Rebalancing'!O11</f>
        <v>2.7E-2</v>
      </c>
      <c r="P11" s="44"/>
    </row>
    <row r="12" spans="1:16" x14ac:dyDescent="0.25">
      <c r="A12" s="17">
        <f>'Non-Rebalanced Portfolio'!A12</f>
        <v>2000</v>
      </c>
      <c r="B12" s="17">
        <f>'Non-Rebalanced Portfolio'!B12</f>
        <v>-9.06</v>
      </c>
      <c r="C12" s="17">
        <f>'Non-Rebalanced Portfolio'!C12</f>
        <v>0</v>
      </c>
      <c r="D12" s="17"/>
      <c r="E12" s="17"/>
      <c r="F12" s="17">
        <f>'Non-Rebalanced Portfolio'!F12</f>
        <v>0</v>
      </c>
      <c r="G12" s="18">
        <f>'Non-Rebalanced Portfolio'!G12</f>
        <v>-15.614000000000001</v>
      </c>
      <c r="H12" s="17">
        <f>'Non-Rebalanced Portfolio'!H12</f>
        <v>11.39</v>
      </c>
      <c r="N12" s="49">
        <f>'4.5% Withdrawals-No Rebalancing'!N12</f>
        <v>2000</v>
      </c>
      <c r="O12" s="50">
        <f>'4.5% Withdrawals-No Rebalancing'!O12</f>
        <v>3.4000000000000002E-2</v>
      </c>
      <c r="P12" s="44"/>
    </row>
    <row r="13" spans="1:16" x14ac:dyDescent="0.25">
      <c r="A13" s="17">
        <f>'Non-Rebalanced Portfolio'!A13</f>
        <v>2001</v>
      </c>
      <c r="B13" s="17">
        <f>'Non-Rebalanced Portfolio'!B13</f>
        <v>-12.02</v>
      </c>
      <c r="C13" s="17">
        <f>'Non-Rebalanced Portfolio'!C13</f>
        <v>0</v>
      </c>
      <c r="D13" s="17"/>
      <c r="E13" s="17"/>
      <c r="F13" s="17"/>
      <c r="G13" s="18">
        <f>'Non-Rebalanced Portfolio'!G13</f>
        <v>-20.152999999999999</v>
      </c>
      <c r="H13" s="17">
        <f>'Non-Rebalanced Portfolio'!H13</f>
        <v>8.43</v>
      </c>
      <c r="N13" s="49">
        <f>'4.5% Withdrawals-No Rebalancing'!N13</f>
        <v>2001</v>
      </c>
      <c r="O13" s="50">
        <f>'4.5% Withdrawals-No Rebalancing'!O13</f>
        <v>1.6E-2</v>
      </c>
      <c r="P13" s="44"/>
    </row>
    <row r="14" spans="1:16" x14ac:dyDescent="0.25">
      <c r="A14" s="17">
        <f>'Non-Rebalanced Portfolio'!A14</f>
        <v>2002</v>
      </c>
      <c r="B14" s="17">
        <f>'Non-Rebalanced Portfolio'!B14</f>
        <v>-22.15</v>
      </c>
      <c r="C14" s="17">
        <f>'Non-Rebalanced Portfolio'!C14</f>
        <v>0</v>
      </c>
      <c r="D14" s="18">
        <f>'Non-Rebalanced Portfolio'!D14</f>
        <v>-14.608000000000001</v>
      </c>
      <c r="E14" s="18">
        <f>'Non-Rebalanced Portfolio'!E14</f>
        <v>-20.021999999999998</v>
      </c>
      <c r="F14" s="17"/>
      <c r="G14" s="17">
        <f>'Non-Rebalanced Portfolio'!G14</f>
        <v>-15.083</v>
      </c>
      <c r="H14" s="17">
        <f>'Non-Rebalanced Portfolio'!H14</f>
        <v>8.26</v>
      </c>
      <c r="N14" s="49">
        <f>'4.5% Withdrawals-No Rebalancing'!N14</f>
        <v>2002</v>
      </c>
      <c r="O14" s="50">
        <f>'4.5% Withdrawals-No Rebalancing'!O14</f>
        <v>2.5000000000000001E-2</v>
      </c>
      <c r="P14" s="44"/>
    </row>
    <row r="15" spans="1:16" x14ac:dyDescent="0.25">
      <c r="A15" s="17">
        <f>'Non-Rebalanced Portfolio'!A15</f>
        <v>2003</v>
      </c>
      <c r="B15" s="17">
        <f>'Non-Rebalanced Portfolio'!B15</f>
        <v>28.5</v>
      </c>
      <c r="C15" s="17"/>
      <c r="D15" s="18">
        <f>'Non-Rebalanced Portfolio'!D15</f>
        <v>34.142000000000003</v>
      </c>
      <c r="E15" s="18">
        <f>'Non-Rebalanced Portfolio'!E15</f>
        <v>45.628</v>
      </c>
      <c r="F15" s="17"/>
      <c r="G15" s="17">
        <f>'Non-Rebalanced Portfolio'!G15</f>
        <v>40.340000000000003</v>
      </c>
      <c r="H15" s="17">
        <f>'Non-Rebalanced Portfolio'!H15</f>
        <v>3.97</v>
      </c>
      <c r="N15" s="49">
        <f>'4.5% Withdrawals-No Rebalancing'!N15</f>
        <v>2003</v>
      </c>
      <c r="O15" s="50">
        <f>'4.5% Withdrawals-No Rebalancing'!O15</f>
        <v>0.02</v>
      </c>
      <c r="P15" s="44"/>
    </row>
    <row r="16" spans="1:16"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c r="N16" s="49">
        <f>'4.5% Withdrawals-No Rebalancing'!N16</f>
        <v>2004</v>
      </c>
      <c r="O16" s="50">
        <f>'4.5% Withdrawals-No Rebalancing'!O16</f>
        <v>3.3000000000000002E-2</v>
      </c>
      <c r="P16" s="44"/>
    </row>
    <row r="17" spans="1:16"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c r="N17" s="49">
        <f>'4.5% Withdrawals-No Rebalancing'!N17</f>
        <v>2005</v>
      </c>
      <c r="O17" s="50">
        <f>'4.5% Withdrawals-No Rebalancing'!O17</f>
        <v>3.3000000000000002E-2</v>
      </c>
      <c r="P17" s="44"/>
    </row>
    <row r="18" spans="1:16"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c r="N18" s="49">
        <f>'4.5% Withdrawals-No Rebalancing'!N18</f>
        <v>2006</v>
      </c>
      <c r="O18" s="50">
        <f>'4.5% Withdrawals-No Rebalancing'!O18</f>
        <v>2.5000000000000001E-2</v>
      </c>
      <c r="P18" s="44"/>
    </row>
    <row r="19" spans="1:16"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c r="N19" s="49">
        <f>'4.5% Withdrawals-No Rebalancing'!N19</f>
        <v>2007</v>
      </c>
      <c r="O19" s="50">
        <f>'4.5% Withdrawals-No Rebalancing'!O19</f>
        <v>4.1000000000000002E-2</v>
      </c>
      <c r="P19" s="44"/>
    </row>
    <row r="20" spans="1:16"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c r="N20" s="49">
        <f>'4.5% Withdrawals-No Rebalancing'!N20</f>
        <v>2008</v>
      </c>
      <c r="O20" s="50">
        <f>'4.5% Withdrawals-No Rebalancing'!O20</f>
        <v>0</v>
      </c>
      <c r="P20" s="44"/>
    </row>
    <row r="21" spans="1:16"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c r="N21" s="49">
        <f>'4.5% Withdrawals-No Rebalancing'!N21</f>
        <v>2009</v>
      </c>
      <c r="O21" s="50">
        <f>'4.5% Withdrawals-No Rebalancing'!O21</f>
        <v>2.8000000000000001E-2</v>
      </c>
      <c r="P21" s="44"/>
    </row>
    <row r="22" spans="1:16"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c r="N22" s="49">
        <f>'4.5% Withdrawals-No Rebalancing'!N22</f>
        <v>2010</v>
      </c>
      <c r="O22" s="50">
        <f>'4.5% Withdrawals-No Rebalancing'!O22</f>
        <v>1.4E-2</v>
      </c>
      <c r="P22" s="44"/>
    </row>
    <row r="23" spans="1:16"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c r="N23" s="49">
        <f>'4.5% Withdrawals-No Rebalancing'!N23</f>
        <v>2011</v>
      </c>
      <c r="O23" s="50">
        <f>'4.5% Withdrawals-No Rebalancing'!O23</f>
        <v>0.03</v>
      </c>
      <c r="P23" s="44"/>
    </row>
    <row r="24" spans="1:16"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c r="N24" s="49">
        <f>'4.5% Withdrawals-No Rebalancing'!N24</f>
        <v>2012</v>
      </c>
      <c r="O24" s="50">
        <f>'4.5% Withdrawals-No Rebalancing'!O24</f>
        <v>1.7999999999999999E-2</v>
      </c>
      <c r="P24" s="44"/>
    </row>
    <row r="25" spans="1:16"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c r="N25" s="49">
        <f>'4.5% Withdrawals-No Rebalancing'!N25</f>
        <v>2013</v>
      </c>
      <c r="O25" s="50">
        <f>'4.5% Withdrawals-No Rebalancing'!O25</f>
        <v>1.15559170535223E-2</v>
      </c>
      <c r="P25" s="44"/>
    </row>
    <row r="26" spans="1:16"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c r="N26" s="49">
        <f>'4.5% Withdrawals-No Rebalancing'!N26</f>
        <v>2014</v>
      </c>
      <c r="O26" s="50">
        <f>'4.5% Withdrawals-No Rebalancing'!O26</f>
        <v>1.29E-2</v>
      </c>
      <c r="P26" s="44"/>
    </row>
    <row r="27" spans="1:16"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c r="N27" s="49">
        <f>'4.5% Withdrawals-No Rebalancing'!N27</f>
        <v>2015</v>
      </c>
      <c r="O27" s="50">
        <f>'4.5% Withdrawals-No Rebalancing'!O27</f>
        <v>4.4000000000000003E-3</v>
      </c>
    </row>
    <row r="28" spans="1:16" x14ac:dyDescent="0.25">
      <c r="A28" s="17">
        <f>'Non-Rebalanced Portfolio'!A28</f>
        <v>2016</v>
      </c>
      <c r="B28" s="17">
        <f>'Non-Rebalanced Portfolio'!B28</f>
        <v>11.82</v>
      </c>
      <c r="C28" s="19"/>
      <c r="D28" s="17">
        <f>'Non-Rebalanced Portfolio'!D28</f>
        <v>11.07</v>
      </c>
      <c r="E28" s="17">
        <f>'Non-Rebalanced Portfolio'!E28</f>
        <v>18.170000000000002</v>
      </c>
      <c r="F28" s="19"/>
      <c r="G28" s="17">
        <f>'Non-Rebalanced Portfolio'!G28</f>
        <v>4.6500000000000004</v>
      </c>
      <c r="H28" s="17">
        <f>'Non-Rebalanced Portfolio'!H28</f>
        <v>2.5</v>
      </c>
      <c r="N28" s="49">
        <f>'4.5% Withdrawals-No Rebalancing'!N28</f>
        <v>2016</v>
      </c>
      <c r="O28" s="50">
        <f>'4.5% Withdrawals-No Rebalancing'!O28</f>
        <v>1.7000000000000001E-2</v>
      </c>
    </row>
    <row r="29" spans="1:16"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c r="N29" s="49">
        <f>'4.5% Withdrawals-No Rebalancing'!N29</f>
        <v>2017</v>
      </c>
      <c r="O29" s="50">
        <f>'4.5% Withdrawals-No Rebalancing'!O29</f>
        <v>2.23E-2</v>
      </c>
    </row>
    <row r="30" spans="1:16"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c r="N30" s="49">
        <f>'4.5% Withdrawals-No Rebalancing'!N30</f>
        <v>2017</v>
      </c>
      <c r="O30" s="50">
        <f>'4.5% Withdrawals-No Rebalancing'!O30</f>
        <v>2.23E-2</v>
      </c>
    </row>
    <row r="31" spans="1:16"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9">
        <f>'4.5% Withdrawals-No Rebalancing'!N31</f>
        <v>2017</v>
      </c>
      <c r="O31" s="50">
        <f>'4.5% Withdrawals-No Rebalancing'!O31</f>
        <v>2.23E-2</v>
      </c>
    </row>
    <row r="32" spans="1:16"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9">
        <f>'4.5% Withdrawals-No Rebalancing'!N32</f>
        <v>2017</v>
      </c>
      <c r="O32" s="50">
        <f>'4.5% Withdrawals-No Rebalancing'!O32</f>
        <v>2.23E-2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42" x14ac:dyDescent="0.25">
      <c r="A36" s="20" t="s">
        <v>123</v>
      </c>
      <c r="N36" s="20" t="s">
        <v>25</v>
      </c>
      <c r="R36" s="20" t="s">
        <v>163</v>
      </c>
      <c r="AF36" s="20" t="s">
        <v>138</v>
      </c>
    </row>
    <row r="37" spans="1:4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O37" s="80">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111</v>
      </c>
      <c r="AP37" s="5" t="s">
        <v>112</v>
      </c>
    </row>
    <row r="38" spans="1:42"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F38" t="s">
        <v>72</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70</v>
      </c>
      <c r="AO38" s="5" t="s">
        <v>112</v>
      </c>
      <c r="AP38" s="5" t="s">
        <v>87</v>
      </c>
    </row>
    <row r="39" spans="1:42" x14ac:dyDescent="0.25">
      <c r="A39" t="s">
        <v>71</v>
      </c>
      <c r="B39" s="2">
        <v>100000</v>
      </c>
      <c r="C39" s="2">
        <v>0</v>
      </c>
      <c r="F39" s="2">
        <v>0</v>
      </c>
      <c r="H39" s="2">
        <v>0</v>
      </c>
      <c r="I39" s="2">
        <f>SUM(B39:H39)</f>
        <v>100000</v>
      </c>
      <c r="N39" s="21"/>
      <c r="R39" t="str">
        <f>A39</f>
        <v>Stating Balance</v>
      </c>
      <c r="S39" s="2">
        <f>B39</f>
        <v>100000</v>
      </c>
      <c r="T39" s="2">
        <f t="shared" si="1"/>
        <v>0</v>
      </c>
      <c r="U39" s="2">
        <f t="shared" si="1"/>
        <v>0</v>
      </c>
      <c r="V39" s="2">
        <f t="shared" si="1"/>
        <v>0</v>
      </c>
      <c r="W39" s="2">
        <f t="shared" si="1"/>
        <v>0</v>
      </c>
      <c r="X39" s="2">
        <f t="shared" si="1"/>
        <v>0</v>
      </c>
      <c r="Y39" s="2">
        <f t="shared" si="1"/>
        <v>0</v>
      </c>
      <c r="Z39" s="2">
        <f t="shared" si="1"/>
        <v>100000</v>
      </c>
      <c r="AD39" s="2"/>
      <c r="AF39" s="21" t="s">
        <v>86</v>
      </c>
      <c r="AG39" s="6">
        <f t="shared" ref="AG39:AH54" si="3">S39/$Z39</f>
        <v>1</v>
      </c>
      <c r="AH39" s="6">
        <f t="shared" si="3"/>
        <v>0</v>
      </c>
      <c r="AI39" s="23">
        <v>0.2</v>
      </c>
      <c r="AJ39" s="23">
        <v>0.1</v>
      </c>
      <c r="AK39" s="6">
        <f t="shared" ref="AK39:AK48" si="4">W39/$Z39</f>
        <v>0</v>
      </c>
      <c r="AL39" s="23">
        <v>0.2</v>
      </c>
      <c r="AM39" s="6">
        <f>Y39/$Z39</f>
        <v>0</v>
      </c>
      <c r="AN39" s="6">
        <f>Z39/$Z39</f>
        <v>1</v>
      </c>
      <c r="AO39" s="24"/>
    </row>
    <row r="40" spans="1:42" x14ac:dyDescent="0.25">
      <c r="A40">
        <f t="shared" ref="A40:A64" si="5">A4</f>
        <v>1992</v>
      </c>
      <c r="B40" s="2">
        <f>B39*(1+(B4/100))</f>
        <v>107420</v>
      </c>
      <c r="C40" s="2">
        <f>C39*(1+(C4/100))</f>
        <v>0</v>
      </c>
      <c r="D40" s="2"/>
      <c r="E40" s="2"/>
      <c r="F40" s="2">
        <f>F39*(1+(F4/100))</f>
        <v>0</v>
      </c>
      <c r="G40" s="2"/>
      <c r="H40" s="2">
        <f>H39*(1+(H4/100))</f>
        <v>0</v>
      </c>
      <c r="I40" s="2">
        <f>SUM(B40:H40)</f>
        <v>107420</v>
      </c>
      <c r="J40" s="2">
        <f>I40-I39</f>
        <v>7420</v>
      </c>
      <c r="K40" s="6">
        <f>(J40/I39)</f>
        <v>7.4200000000000002E-2</v>
      </c>
      <c r="L40" s="7">
        <f>K40+1</f>
        <v>1.0742</v>
      </c>
      <c r="N40">
        <f>A40</f>
        <v>1992</v>
      </c>
      <c r="O40" s="2">
        <f>I40*O37</f>
        <v>4833.8999999999996</v>
      </c>
      <c r="P40" s="2"/>
      <c r="Q40" s="2"/>
      <c r="R40">
        <f>A40</f>
        <v>1992</v>
      </c>
      <c r="S40" s="2">
        <f>B40-($O40)</f>
        <v>102586.1</v>
      </c>
      <c r="T40" s="2">
        <f>C40</f>
        <v>0</v>
      </c>
      <c r="U40" s="2"/>
      <c r="V40" s="2"/>
      <c r="W40" s="2">
        <f>F40</f>
        <v>0</v>
      </c>
      <c r="X40" s="2"/>
      <c r="Y40" s="2">
        <f>H40</f>
        <v>0</v>
      </c>
      <c r="Z40" s="2">
        <f>SUM(S40:Y40)</f>
        <v>102586.1</v>
      </c>
      <c r="AA40" s="2">
        <f>Z40-Z39</f>
        <v>2586.1000000000058</v>
      </c>
      <c r="AB40" s="6">
        <f>(AA40/Z39)</f>
        <v>2.5861000000000058E-2</v>
      </c>
      <c r="AC40" s="7">
        <f>AB40+1</f>
        <v>1.0258610000000001</v>
      </c>
      <c r="AD40" s="2">
        <f>Z40-(I40-O40)</f>
        <v>0</v>
      </c>
      <c r="AF40">
        <f t="shared" ref="AF40:AF64" si="6">A40</f>
        <v>1992</v>
      </c>
      <c r="AG40" s="6">
        <f t="shared" si="3"/>
        <v>1</v>
      </c>
      <c r="AH40" s="6">
        <f t="shared" si="3"/>
        <v>0</v>
      </c>
      <c r="AI40" s="7"/>
      <c r="AJ40" s="7"/>
      <c r="AK40" s="6">
        <f t="shared" si="4"/>
        <v>0</v>
      </c>
      <c r="AL40" s="7"/>
      <c r="AM40" s="6">
        <f t="shared" ref="AM40:AM64" si="7">Y40/$Z40</f>
        <v>0</v>
      </c>
      <c r="AN40" s="6">
        <f>SUM(AG40:AM40)</f>
        <v>1</v>
      </c>
      <c r="AO40" s="7">
        <f>SUM(AG40:AL40)</f>
        <v>1</v>
      </c>
      <c r="AP40" s="7">
        <f>AN40-(AO40+AM40)</f>
        <v>0</v>
      </c>
    </row>
    <row r="41" spans="1:42" x14ac:dyDescent="0.25">
      <c r="A41">
        <f t="shared" si="5"/>
        <v>1993</v>
      </c>
      <c r="B41" s="2">
        <f t="shared" ref="B41:C56" si="8">S40*(1+(B5/100))</f>
        <v>112731.86529</v>
      </c>
      <c r="C41" s="2">
        <f t="shared" si="8"/>
        <v>0</v>
      </c>
      <c r="D41" s="2"/>
      <c r="E41" s="2"/>
      <c r="F41" s="2">
        <f t="shared" ref="F41:F48" si="9">W40*(1+(F5/100))</f>
        <v>0</v>
      </c>
      <c r="G41" s="2"/>
      <c r="H41" s="2">
        <f t="shared" ref="H41:H64" si="10">Y40*(1+(H5/100))</f>
        <v>0</v>
      </c>
      <c r="I41" s="2">
        <f t="shared" ref="I41:I64" si="11">SUM(B41:H41)</f>
        <v>112731.86529</v>
      </c>
      <c r="J41" s="2">
        <f t="shared" ref="J41:J64" si="12">I41-I40</f>
        <v>5311.8652900000016</v>
      </c>
      <c r="K41" s="6">
        <f t="shared" ref="K41:K64" si="13">(J41/I40)</f>
        <v>4.9449500000000014E-2</v>
      </c>
      <c r="L41" s="7">
        <f t="shared" ref="L41:L64" si="14">K41+1</f>
        <v>1.0494494999999999</v>
      </c>
      <c r="N41">
        <f t="shared" ref="N41:N64" si="15">A41</f>
        <v>1993</v>
      </c>
      <c r="O41" s="2">
        <f t="shared" ref="O41:O64" si="16">O40*(1+O5)</f>
        <v>4969.2492000000002</v>
      </c>
      <c r="P41" s="2"/>
      <c r="Q41" s="2"/>
      <c r="R41">
        <f t="shared" ref="R41:R64" si="17">A41</f>
        <v>1993</v>
      </c>
      <c r="S41" s="2">
        <f t="shared" ref="S41:S64" si="18">B41-($O41)</f>
        <v>107762.61609</v>
      </c>
      <c r="T41" s="2">
        <f t="shared" ref="T41:T50" si="19">C41</f>
        <v>0</v>
      </c>
      <c r="U41" s="2"/>
      <c r="V41" s="2"/>
      <c r="W41" s="2">
        <f t="shared" ref="W41:W48" si="20">F41</f>
        <v>0</v>
      </c>
      <c r="X41" s="2"/>
      <c r="Y41" s="2">
        <f t="shared" ref="Y41:Y64" si="21">H41</f>
        <v>0</v>
      </c>
      <c r="Z41" s="2">
        <f t="shared" ref="Z41:Z64" si="22">SUM(S41:Y41)</f>
        <v>107762.61609</v>
      </c>
      <c r="AA41" s="2">
        <f t="shared" ref="AA41:AA55" si="23">Z41-Z40</f>
        <v>5176.5160899999901</v>
      </c>
      <c r="AB41" s="6">
        <f t="shared" ref="AB41:AB55" si="24">(AA41/Z40)</f>
        <v>5.046020942408367E-2</v>
      </c>
      <c r="AC41" s="7">
        <f t="shared" ref="AC41:AC64" si="25">AB41+1</f>
        <v>1.0504602094240836</v>
      </c>
      <c r="AD41" s="2">
        <f t="shared" ref="AD41:AD64" si="26">Z41-(I41-O41)</f>
        <v>0</v>
      </c>
      <c r="AF41">
        <f t="shared" si="6"/>
        <v>1993</v>
      </c>
      <c r="AG41" s="6">
        <f t="shared" si="3"/>
        <v>1</v>
      </c>
      <c r="AH41" s="6">
        <f t="shared" si="3"/>
        <v>0</v>
      </c>
      <c r="AI41" s="7"/>
      <c r="AJ41" s="7"/>
      <c r="AK41" s="6">
        <f t="shared" si="4"/>
        <v>0</v>
      </c>
      <c r="AL41" s="7"/>
      <c r="AM41" s="6">
        <f t="shared" si="7"/>
        <v>0</v>
      </c>
      <c r="AN41" s="6">
        <f t="shared" ref="AN41:AN64" si="27">SUM(AG41:AM41)</f>
        <v>1</v>
      </c>
      <c r="AO41" s="7">
        <f t="shared" ref="AO41:AO64" si="28">SUM(AG41:AL41)</f>
        <v>1</v>
      </c>
      <c r="AP41" s="7">
        <f t="shared" ref="AP41:AP64" si="29">AN41-(AO41+AM41)</f>
        <v>0</v>
      </c>
    </row>
    <row r="42" spans="1:42" x14ac:dyDescent="0.25">
      <c r="A42">
        <f t="shared" si="5"/>
        <v>1994</v>
      </c>
      <c r="B42" s="2">
        <f t="shared" si="8"/>
        <v>109034.214959862</v>
      </c>
      <c r="C42" s="2">
        <f t="shared" si="8"/>
        <v>0</v>
      </c>
      <c r="D42" s="2"/>
      <c r="E42" s="2"/>
      <c r="F42" s="2">
        <f t="shared" si="9"/>
        <v>0</v>
      </c>
      <c r="G42" s="2"/>
      <c r="H42" s="2">
        <f t="shared" si="10"/>
        <v>0</v>
      </c>
      <c r="I42" s="2">
        <f t="shared" ref="I42:I48" si="30">SUM(B42:H42)</f>
        <v>109034.214959862</v>
      </c>
      <c r="J42" s="2">
        <f t="shared" si="12"/>
        <v>-3697.6503301379998</v>
      </c>
      <c r="K42" s="6">
        <f t="shared" si="13"/>
        <v>-3.2800400495688449E-2</v>
      </c>
      <c r="L42" s="7">
        <f t="shared" si="14"/>
        <v>0.96719959950431156</v>
      </c>
      <c r="N42">
        <f t="shared" si="15"/>
        <v>1994</v>
      </c>
      <c r="O42" s="2">
        <f t="shared" si="16"/>
        <v>5098.4496792</v>
      </c>
      <c r="P42" s="2"/>
      <c r="Q42" s="2"/>
      <c r="R42">
        <f t="shared" si="17"/>
        <v>1994</v>
      </c>
      <c r="S42" s="2">
        <f t="shared" si="18"/>
        <v>103935.765280662</v>
      </c>
      <c r="T42" s="2">
        <f t="shared" si="19"/>
        <v>0</v>
      </c>
      <c r="U42" s="2"/>
      <c r="V42" s="2"/>
      <c r="W42" s="2">
        <f t="shared" si="20"/>
        <v>0</v>
      </c>
      <c r="X42" s="2"/>
      <c r="Y42" s="2">
        <f t="shared" si="21"/>
        <v>0</v>
      </c>
      <c r="Z42" s="2">
        <f t="shared" si="22"/>
        <v>103935.765280662</v>
      </c>
      <c r="AA42" s="2">
        <f t="shared" si="23"/>
        <v>-3826.8508093379933</v>
      </c>
      <c r="AB42" s="6">
        <f t="shared" si="24"/>
        <v>-3.5511858826273536E-2</v>
      </c>
      <c r="AC42" s="7">
        <f t="shared" si="25"/>
        <v>0.9644881411737265</v>
      </c>
      <c r="AD42" s="2">
        <f t="shared" si="26"/>
        <v>0</v>
      </c>
      <c r="AF42">
        <f t="shared" si="6"/>
        <v>1994</v>
      </c>
      <c r="AG42" s="6">
        <f t="shared" si="3"/>
        <v>1</v>
      </c>
      <c r="AH42" s="6">
        <f t="shared" si="3"/>
        <v>0</v>
      </c>
      <c r="AI42" s="7"/>
      <c r="AJ42" s="7"/>
      <c r="AK42" s="6">
        <f t="shared" si="4"/>
        <v>0</v>
      </c>
      <c r="AL42" s="7"/>
      <c r="AM42" s="6">
        <f t="shared" si="7"/>
        <v>0</v>
      </c>
      <c r="AN42" s="6">
        <f t="shared" si="27"/>
        <v>1</v>
      </c>
      <c r="AO42" s="7">
        <f t="shared" si="28"/>
        <v>1</v>
      </c>
      <c r="AP42" s="7">
        <f t="shared" si="29"/>
        <v>0</v>
      </c>
    </row>
    <row r="43" spans="1:42" x14ac:dyDescent="0.25">
      <c r="A43">
        <f t="shared" si="5"/>
        <v>1995</v>
      </c>
      <c r="B43" s="2">
        <f t="shared" si="8"/>
        <v>142859.70937826994</v>
      </c>
      <c r="C43" s="2">
        <f t="shared" si="8"/>
        <v>0</v>
      </c>
      <c r="D43" s="2"/>
      <c r="E43" s="2"/>
      <c r="F43" s="2">
        <f t="shared" si="9"/>
        <v>0</v>
      </c>
      <c r="G43" s="2"/>
      <c r="H43" s="2">
        <f t="shared" si="10"/>
        <v>0</v>
      </c>
      <c r="I43" s="2">
        <f t="shared" si="30"/>
        <v>142859.70937826994</v>
      </c>
      <c r="J43" s="2">
        <f t="shared" si="12"/>
        <v>33825.494418407936</v>
      </c>
      <c r="K43" s="6">
        <f t="shared" si="13"/>
        <v>0.3102282566152274</v>
      </c>
      <c r="L43" s="7">
        <f t="shared" si="14"/>
        <v>1.3102282566152275</v>
      </c>
      <c r="N43">
        <f t="shared" si="15"/>
        <v>1995</v>
      </c>
      <c r="O43" s="2">
        <f t="shared" si="16"/>
        <v>5225.9109211799996</v>
      </c>
      <c r="P43" s="2"/>
      <c r="Q43" s="2"/>
      <c r="R43">
        <f t="shared" si="17"/>
        <v>1995</v>
      </c>
      <c r="S43" s="2">
        <f t="shared" si="18"/>
        <v>137633.79845708993</v>
      </c>
      <c r="T43" s="2">
        <f t="shared" si="19"/>
        <v>0</v>
      </c>
      <c r="U43" s="2"/>
      <c r="V43" s="2"/>
      <c r="W43" s="2">
        <f t="shared" si="20"/>
        <v>0</v>
      </c>
      <c r="X43" s="2"/>
      <c r="Y43" s="2">
        <f t="shared" si="21"/>
        <v>0</v>
      </c>
      <c r="Z43" s="2">
        <f t="shared" si="22"/>
        <v>137633.79845708993</v>
      </c>
      <c r="AA43" s="2">
        <f t="shared" si="23"/>
        <v>33698.033176427925</v>
      </c>
      <c r="AB43" s="6">
        <f t="shared" si="24"/>
        <v>0.32421980138821077</v>
      </c>
      <c r="AC43" s="7">
        <f t="shared" si="25"/>
        <v>1.3242198013882107</v>
      </c>
      <c r="AD43" s="2">
        <f t="shared" si="26"/>
        <v>0</v>
      </c>
      <c r="AF43">
        <f t="shared" si="6"/>
        <v>1995</v>
      </c>
      <c r="AG43" s="6">
        <f t="shared" si="3"/>
        <v>1</v>
      </c>
      <c r="AH43" s="6">
        <f t="shared" si="3"/>
        <v>0</v>
      </c>
      <c r="AI43" s="7"/>
      <c r="AJ43" s="7"/>
      <c r="AK43" s="6">
        <f t="shared" si="4"/>
        <v>0</v>
      </c>
      <c r="AL43" s="7"/>
      <c r="AM43" s="6">
        <f t="shared" si="7"/>
        <v>0</v>
      </c>
      <c r="AN43" s="6">
        <f t="shared" si="27"/>
        <v>1</v>
      </c>
      <c r="AO43" s="7">
        <f t="shared" si="28"/>
        <v>1</v>
      </c>
      <c r="AP43" s="7">
        <f t="shared" si="29"/>
        <v>0</v>
      </c>
    </row>
    <row r="44" spans="1:42" x14ac:dyDescent="0.25">
      <c r="A44">
        <f t="shared" si="5"/>
        <v>1996</v>
      </c>
      <c r="B44" s="2">
        <f t="shared" si="8"/>
        <v>169124.41154407212</v>
      </c>
      <c r="C44" s="2">
        <f t="shared" si="8"/>
        <v>0</v>
      </c>
      <c r="D44" s="2"/>
      <c r="E44" s="2"/>
      <c r="F44" s="2">
        <f t="shared" si="9"/>
        <v>0</v>
      </c>
      <c r="G44" s="2"/>
      <c r="H44" s="2">
        <f t="shared" si="10"/>
        <v>0</v>
      </c>
      <c r="I44" s="2">
        <f t="shared" si="30"/>
        <v>169124.41154407212</v>
      </c>
      <c r="J44" s="2">
        <f t="shared" si="12"/>
        <v>26264.702165802184</v>
      </c>
      <c r="K44" s="6">
        <f t="shared" si="13"/>
        <v>0.18384961218321816</v>
      </c>
      <c r="L44" s="7">
        <f t="shared" si="14"/>
        <v>1.1838496121832183</v>
      </c>
      <c r="N44">
        <f t="shared" si="15"/>
        <v>1996</v>
      </c>
      <c r="O44" s="2">
        <f t="shared" si="16"/>
        <v>5403.5918925001197</v>
      </c>
      <c r="P44" s="2"/>
      <c r="Q44" s="2"/>
      <c r="R44">
        <f t="shared" si="17"/>
        <v>1996</v>
      </c>
      <c r="S44" s="2">
        <f t="shared" si="18"/>
        <v>163720.819651572</v>
      </c>
      <c r="T44" s="2">
        <f t="shared" si="19"/>
        <v>0</v>
      </c>
      <c r="U44" s="2"/>
      <c r="V44" s="2"/>
      <c r="W44" s="2">
        <f t="shared" si="20"/>
        <v>0</v>
      </c>
      <c r="X44" s="2"/>
      <c r="Y44" s="2">
        <f t="shared" si="21"/>
        <v>0</v>
      </c>
      <c r="Z44" s="2">
        <f t="shared" si="22"/>
        <v>163720.819651572</v>
      </c>
      <c r="AA44" s="2">
        <f t="shared" si="23"/>
        <v>26087.021194482077</v>
      </c>
      <c r="AB44" s="6">
        <f t="shared" si="24"/>
        <v>0.18953935361026328</v>
      </c>
      <c r="AC44" s="7">
        <f t="shared" si="25"/>
        <v>1.1895393536102632</v>
      </c>
      <c r="AD44" s="2">
        <f t="shared" si="26"/>
        <v>0</v>
      </c>
      <c r="AF44">
        <f t="shared" si="6"/>
        <v>1996</v>
      </c>
      <c r="AG44" s="6">
        <f t="shared" si="3"/>
        <v>1</v>
      </c>
      <c r="AH44" s="6">
        <f t="shared" si="3"/>
        <v>0</v>
      </c>
      <c r="AI44" s="7"/>
      <c r="AJ44" s="7"/>
      <c r="AK44" s="6">
        <f t="shared" si="4"/>
        <v>0</v>
      </c>
      <c r="AL44" s="7"/>
      <c r="AM44" s="6">
        <f t="shared" si="7"/>
        <v>0</v>
      </c>
      <c r="AN44" s="6">
        <f t="shared" si="27"/>
        <v>1</v>
      </c>
      <c r="AO44" s="7">
        <f t="shared" si="28"/>
        <v>1</v>
      </c>
      <c r="AP44" s="7">
        <f t="shared" si="29"/>
        <v>0</v>
      </c>
    </row>
    <row r="45" spans="1:42" x14ac:dyDescent="0.25">
      <c r="A45">
        <f t="shared" si="5"/>
        <v>1997</v>
      </c>
      <c r="B45" s="2">
        <f t="shared" si="8"/>
        <v>218059.75969392876</v>
      </c>
      <c r="C45" s="2">
        <f t="shared" si="8"/>
        <v>0</v>
      </c>
      <c r="D45" s="2"/>
      <c r="E45" s="2"/>
      <c r="F45" s="2">
        <f t="shared" si="9"/>
        <v>0</v>
      </c>
      <c r="G45" s="2"/>
      <c r="H45" s="2">
        <f t="shared" si="10"/>
        <v>0</v>
      </c>
      <c r="I45" s="2">
        <f t="shared" si="30"/>
        <v>218059.75969392876</v>
      </c>
      <c r="J45" s="2">
        <f t="shared" si="12"/>
        <v>48935.34814985664</v>
      </c>
      <c r="K45" s="6">
        <f t="shared" si="13"/>
        <v>0.28934526780070763</v>
      </c>
      <c r="L45" s="7">
        <f t="shared" si="14"/>
        <v>1.2893452678007076</v>
      </c>
      <c r="N45">
        <f t="shared" si="15"/>
        <v>1997</v>
      </c>
      <c r="O45" s="2">
        <f t="shared" si="16"/>
        <v>5495.4529546726208</v>
      </c>
      <c r="P45" s="2"/>
      <c r="Q45" s="2"/>
      <c r="R45">
        <f t="shared" si="17"/>
        <v>1997</v>
      </c>
      <c r="S45" s="2">
        <f t="shared" si="18"/>
        <v>212564.30673925614</v>
      </c>
      <c r="T45" s="2">
        <f t="shared" si="19"/>
        <v>0</v>
      </c>
      <c r="U45" s="2"/>
      <c r="V45" s="2"/>
      <c r="W45" s="2">
        <f t="shared" si="20"/>
        <v>0</v>
      </c>
      <c r="X45" s="2"/>
      <c r="Y45" s="2">
        <f t="shared" si="21"/>
        <v>0</v>
      </c>
      <c r="Z45" s="2">
        <f t="shared" si="22"/>
        <v>212564.30673925614</v>
      </c>
      <c r="AA45" s="2">
        <f t="shared" si="23"/>
        <v>48843.487087684131</v>
      </c>
      <c r="AB45" s="6">
        <f t="shared" si="24"/>
        <v>0.29833400047490627</v>
      </c>
      <c r="AC45" s="7">
        <f t="shared" si="25"/>
        <v>1.2983340004749062</v>
      </c>
      <c r="AD45" s="2">
        <f t="shared" si="26"/>
        <v>0</v>
      </c>
      <c r="AF45">
        <f t="shared" si="6"/>
        <v>1997</v>
      </c>
      <c r="AG45" s="6">
        <f t="shared" si="3"/>
        <v>1</v>
      </c>
      <c r="AH45" s="6">
        <f t="shared" si="3"/>
        <v>0</v>
      </c>
      <c r="AI45" s="7"/>
      <c r="AJ45" s="7"/>
      <c r="AK45" s="6">
        <f t="shared" si="4"/>
        <v>0</v>
      </c>
      <c r="AL45" s="7"/>
      <c r="AM45" s="6">
        <f t="shared" si="7"/>
        <v>0</v>
      </c>
      <c r="AN45" s="6">
        <f t="shared" si="27"/>
        <v>1</v>
      </c>
      <c r="AO45" s="7">
        <f t="shared" si="28"/>
        <v>1</v>
      </c>
      <c r="AP45" s="7">
        <f t="shared" si="29"/>
        <v>0</v>
      </c>
    </row>
    <row r="46" spans="1:42" x14ac:dyDescent="0.25">
      <c r="A46">
        <f t="shared" si="5"/>
        <v>1998</v>
      </c>
      <c r="B46" s="2">
        <f t="shared" si="8"/>
        <v>273485.23705072695</v>
      </c>
      <c r="C46" s="2">
        <f t="shared" si="8"/>
        <v>0</v>
      </c>
      <c r="D46" s="2"/>
      <c r="E46" s="2"/>
      <c r="F46" s="2">
        <f t="shared" si="9"/>
        <v>0</v>
      </c>
      <c r="G46" s="2"/>
      <c r="H46" s="2">
        <f t="shared" si="10"/>
        <v>0</v>
      </c>
      <c r="I46" s="2">
        <f t="shared" si="30"/>
        <v>273485.23705072695</v>
      </c>
      <c r="J46" s="2">
        <f t="shared" si="12"/>
        <v>55425.47735679819</v>
      </c>
      <c r="K46" s="6">
        <f t="shared" si="13"/>
        <v>0.25417563256326631</v>
      </c>
      <c r="L46" s="7">
        <f t="shared" si="14"/>
        <v>1.2541756325632663</v>
      </c>
      <c r="N46">
        <f t="shared" si="15"/>
        <v>1998</v>
      </c>
      <c r="O46" s="2">
        <f t="shared" si="16"/>
        <v>5583.3802019473824</v>
      </c>
      <c r="P46" s="2"/>
      <c r="Q46" s="2"/>
      <c r="R46">
        <f t="shared" si="17"/>
        <v>1998</v>
      </c>
      <c r="S46" s="2">
        <f t="shared" si="18"/>
        <v>267901.85684877954</v>
      </c>
      <c r="T46" s="2">
        <f t="shared" si="19"/>
        <v>0</v>
      </c>
      <c r="U46" s="2"/>
      <c r="V46" s="2"/>
      <c r="W46" s="2">
        <f t="shared" si="20"/>
        <v>0</v>
      </c>
      <c r="X46" s="2"/>
      <c r="Y46" s="2">
        <f t="shared" si="21"/>
        <v>0</v>
      </c>
      <c r="Z46" s="2">
        <f t="shared" si="22"/>
        <v>267901.85684877954</v>
      </c>
      <c r="AA46" s="2">
        <f t="shared" si="23"/>
        <v>55337.550109523407</v>
      </c>
      <c r="AB46" s="6">
        <f t="shared" si="24"/>
        <v>0.26033321848998708</v>
      </c>
      <c r="AC46" s="7">
        <f t="shared" si="25"/>
        <v>1.2603332184899871</v>
      </c>
      <c r="AD46" s="2">
        <f t="shared" si="26"/>
        <v>0</v>
      </c>
      <c r="AF46">
        <f t="shared" si="6"/>
        <v>1998</v>
      </c>
      <c r="AG46" s="6">
        <f t="shared" si="3"/>
        <v>1</v>
      </c>
      <c r="AH46" s="6">
        <f t="shared" si="3"/>
        <v>0</v>
      </c>
      <c r="AI46" s="7"/>
      <c r="AJ46" s="7"/>
      <c r="AK46" s="6">
        <f t="shared" si="4"/>
        <v>0</v>
      </c>
      <c r="AL46" s="7"/>
      <c r="AM46" s="6">
        <f t="shared" si="7"/>
        <v>0</v>
      </c>
      <c r="AN46" s="6">
        <f t="shared" si="27"/>
        <v>1</v>
      </c>
      <c r="AO46" s="7">
        <f t="shared" si="28"/>
        <v>1</v>
      </c>
      <c r="AP46" s="7">
        <f t="shared" si="29"/>
        <v>0</v>
      </c>
    </row>
    <row r="47" spans="1:42" x14ac:dyDescent="0.25">
      <c r="A47">
        <f t="shared" si="5"/>
        <v>1999</v>
      </c>
      <c r="B47" s="2">
        <f t="shared" si="8"/>
        <v>324348.77808681742</v>
      </c>
      <c r="C47" s="2">
        <f t="shared" si="8"/>
        <v>0</v>
      </c>
      <c r="D47" s="2"/>
      <c r="E47" s="2"/>
      <c r="F47" s="2">
        <f t="shared" si="9"/>
        <v>0</v>
      </c>
      <c r="G47" s="2"/>
      <c r="H47" s="2">
        <f t="shared" si="10"/>
        <v>0</v>
      </c>
      <c r="I47" s="2">
        <f t="shared" si="30"/>
        <v>324348.77808681742</v>
      </c>
      <c r="J47" s="2">
        <f t="shared" si="12"/>
        <v>50863.541036090464</v>
      </c>
      <c r="K47" s="6">
        <f t="shared" si="13"/>
        <v>0.18598276669192249</v>
      </c>
      <c r="L47" s="7">
        <f t="shared" si="14"/>
        <v>1.1859827666919225</v>
      </c>
      <c r="N47">
        <f t="shared" si="15"/>
        <v>1999</v>
      </c>
      <c r="O47" s="2">
        <f t="shared" si="16"/>
        <v>5734.1314673999614</v>
      </c>
      <c r="P47" s="2"/>
      <c r="Q47" s="2"/>
      <c r="R47">
        <f t="shared" si="17"/>
        <v>1999</v>
      </c>
      <c r="S47" s="2">
        <f t="shared" si="18"/>
        <v>318614.64661941747</v>
      </c>
      <c r="T47" s="2">
        <f t="shared" si="19"/>
        <v>0</v>
      </c>
      <c r="U47" s="2"/>
      <c r="V47" s="2"/>
      <c r="W47" s="2">
        <f t="shared" si="20"/>
        <v>0</v>
      </c>
      <c r="X47" s="2"/>
      <c r="Y47" s="2">
        <f t="shared" si="21"/>
        <v>0</v>
      </c>
      <c r="Z47" s="2">
        <f t="shared" si="22"/>
        <v>318614.64661941747</v>
      </c>
      <c r="AA47" s="2">
        <f t="shared" si="23"/>
        <v>50712.78977063793</v>
      </c>
      <c r="AB47" s="6">
        <f t="shared" si="24"/>
        <v>0.18929614884776025</v>
      </c>
      <c r="AC47" s="7">
        <f t="shared" si="25"/>
        <v>1.1892961488477602</v>
      </c>
      <c r="AD47" s="2">
        <f t="shared" si="26"/>
        <v>0</v>
      </c>
      <c r="AF47">
        <f t="shared" si="6"/>
        <v>1999</v>
      </c>
      <c r="AG47" s="6">
        <f t="shared" si="3"/>
        <v>1</v>
      </c>
      <c r="AH47" s="6">
        <f t="shared" si="3"/>
        <v>0</v>
      </c>
      <c r="AI47" s="7"/>
      <c r="AJ47" s="7"/>
      <c r="AK47" s="6">
        <f t="shared" si="4"/>
        <v>0</v>
      </c>
      <c r="AL47" s="7"/>
      <c r="AM47" s="6">
        <f t="shared" si="7"/>
        <v>0</v>
      </c>
      <c r="AN47" s="6">
        <f t="shared" si="27"/>
        <v>1</v>
      </c>
      <c r="AO47" s="7">
        <f t="shared" si="28"/>
        <v>1</v>
      </c>
      <c r="AP47" s="7">
        <f t="shared" si="29"/>
        <v>0</v>
      </c>
    </row>
    <row r="48" spans="1:42" x14ac:dyDescent="0.25">
      <c r="A48">
        <f t="shared" si="5"/>
        <v>2000</v>
      </c>
      <c r="B48" s="2">
        <f t="shared" si="8"/>
        <v>289748.15963569825</v>
      </c>
      <c r="C48" s="2">
        <f t="shared" si="8"/>
        <v>0</v>
      </c>
      <c r="D48" s="2"/>
      <c r="E48" s="2"/>
      <c r="F48" s="2">
        <f t="shared" si="9"/>
        <v>0</v>
      </c>
      <c r="G48" s="2"/>
      <c r="H48" s="2">
        <f t="shared" si="10"/>
        <v>0</v>
      </c>
      <c r="I48" s="2">
        <f t="shared" si="30"/>
        <v>289748.15963569825</v>
      </c>
      <c r="J48" s="2">
        <f t="shared" si="12"/>
        <v>-34600.618451119168</v>
      </c>
      <c r="K48" s="6">
        <f t="shared" si="13"/>
        <v>-0.10667719685954152</v>
      </c>
      <c r="L48" s="7">
        <f t="shared" si="14"/>
        <v>0.89332280314045853</v>
      </c>
      <c r="N48">
        <f t="shared" si="15"/>
        <v>2000</v>
      </c>
      <c r="O48" s="2">
        <f t="shared" si="16"/>
        <v>5929.0919372915605</v>
      </c>
      <c r="P48" s="2"/>
      <c r="Q48" s="2"/>
      <c r="R48">
        <f t="shared" si="17"/>
        <v>2000</v>
      </c>
      <c r="S48" s="2">
        <f t="shared" si="18"/>
        <v>283819.0676984067</v>
      </c>
      <c r="T48" s="2">
        <f t="shared" si="19"/>
        <v>0</v>
      </c>
      <c r="U48" s="2"/>
      <c r="V48" s="2"/>
      <c r="W48" s="2">
        <f t="shared" si="20"/>
        <v>0</v>
      </c>
      <c r="X48" s="2"/>
      <c r="Y48" s="2">
        <f t="shared" si="21"/>
        <v>0</v>
      </c>
      <c r="Z48" s="2">
        <f t="shared" si="22"/>
        <v>283819.0676984067</v>
      </c>
      <c r="AA48" s="2">
        <f t="shared" si="23"/>
        <v>-34795.578921010776</v>
      </c>
      <c r="AB48" s="6">
        <f t="shared" si="24"/>
        <v>-0.1092089748233508</v>
      </c>
      <c r="AC48" s="7">
        <f t="shared" si="25"/>
        <v>0.89079102517664921</v>
      </c>
      <c r="AD48" s="2">
        <f t="shared" si="26"/>
        <v>0</v>
      </c>
      <c r="AF48">
        <f t="shared" si="6"/>
        <v>2000</v>
      </c>
      <c r="AG48" s="6">
        <f t="shared" si="3"/>
        <v>1</v>
      </c>
      <c r="AH48" s="6">
        <f t="shared" si="3"/>
        <v>0</v>
      </c>
      <c r="AI48" s="7"/>
      <c r="AJ48" s="7"/>
      <c r="AK48" s="6">
        <f t="shared" si="4"/>
        <v>0</v>
      </c>
      <c r="AL48" s="6"/>
      <c r="AM48" s="6">
        <f t="shared" si="7"/>
        <v>0</v>
      </c>
      <c r="AN48" s="6">
        <f t="shared" si="27"/>
        <v>1</v>
      </c>
      <c r="AO48" s="7">
        <f t="shared" si="28"/>
        <v>1</v>
      </c>
      <c r="AP48" s="7">
        <f t="shared" si="29"/>
        <v>0</v>
      </c>
    </row>
    <row r="49" spans="1:42" x14ac:dyDescent="0.25">
      <c r="A49">
        <f t="shared" si="5"/>
        <v>2001</v>
      </c>
      <c r="B49" s="2">
        <f t="shared" si="8"/>
        <v>249704.01576105822</v>
      </c>
      <c r="C49" s="2">
        <f t="shared" si="8"/>
        <v>0</v>
      </c>
      <c r="D49" s="2"/>
      <c r="E49" s="2"/>
      <c r="F49" s="2"/>
      <c r="G49" s="2">
        <f>W48*(1+(G13/100))</f>
        <v>0</v>
      </c>
      <c r="H49" s="2">
        <f t="shared" si="10"/>
        <v>0</v>
      </c>
      <c r="I49" s="2">
        <f t="shared" si="11"/>
        <v>249704.01576105822</v>
      </c>
      <c r="J49" s="2">
        <f>I49-I48</f>
        <v>-40044.143874640024</v>
      </c>
      <c r="K49" s="6">
        <f>(J49/I48)</f>
        <v>-0.13820327254187814</v>
      </c>
      <c r="L49" s="7">
        <f t="shared" si="14"/>
        <v>0.86179672745812186</v>
      </c>
      <c r="N49">
        <f t="shared" si="15"/>
        <v>2001</v>
      </c>
      <c r="O49" s="2">
        <f t="shared" si="16"/>
        <v>6023.9574082882255</v>
      </c>
      <c r="P49" s="2"/>
      <c r="Q49" s="2"/>
      <c r="R49">
        <f t="shared" si="17"/>
        <v>2001</v>
      </c>
      <c r="S49" s="2">
        <f t="shared" si="18"/>
        <v>243680.05835276999</v>
      </c>
      <c r="T49" s="2">
        <f t="shared" si="19"/>
        <v>0</v>
      </c>
      <c r="U49" s="2"/>
      <c r="V49" s="2"/>
      <c r="W49" s="2"/>
      <c r="X49" s="2">
        <f>G49</f>
        <v>0</v>
      </c>
      <c r="Y49" s="2">
        <f t="shared" si="21"/>
        <v>0</v>
      </c>
      <c r="Z49" s="2">
        <f t="shared" si="22"/>
        <v>243680.05835276999</v>
      </c>
      <c r="AA49" s="2">
        <f>Z49-Z48</f>
        <v>-40139.009345636703</v>
      </c>
      <c r="AB49" s="6">
        <f>(AA49/Z48)</f>
        <v>-0.14142463954637968</v>
      </c>
      <c r="AC49" s="7">
        <f t="shared" si="25"/>
        <v>0.85857536045362037</v>
      </c>
      <c r="AD49" s="2">
        <f t="shared" si="26"/>
        <v>0</v>
      </c>
      <c r="AF49">
        <f t="shared" si="6"/>
        <v>2001</v>
      </c>
      <c r="AG49" s="6">
        <f t="shared" si="3"/>
        <v>1</v>
      </c>
      <c r="AH49" s="6">
        <f t="shared" si="3"/>
        <v>0</v>
      </c>
      <c r="AI49" s="7"/>
      <c r="AJ49" s="7"/>
      <c r="AK49" s="6"/>
      <c r="AL49" s="6">
        <f t="shared" ref="AL49:AL64" si="31">X49/$Z49</f>
        <v>0</v>
      </c>
      <c r="AM49" s="6">
        <f t="shared" si="7"/>
        <v>0</v>
      </c>
      <c r="AN49" s="6">
        <f t="shared" si="27"/>
        <v>1</v>
      </c>
      <c r="AO49" s="7">
        <f t="shared" si="28"/>
        <v>1</v>
      </c>
      <c r="AP49" s="7">
        <f t="shared" si="29"/>
        <v>0</v>
      </c>
    </row>
    <row r="50" spans="1:42" x14ac:dyDescent="0.25">
      <c r="A50">
        <f t="shared" si="5"/>
        <v>2002</v>
      </c>
      <c r="B50" s="2">
        <f t="shared" si="8"/>
        <v>189704.92542763145</v>
      </c>
      <c r="C50" s="2">
        <f t="shared" si="8"/>
        <v>0</v>
      </c>
      <c r="D50" s="2"/>
      <c r="E50" s="2"/>
      <c r="F50" s="2"/>
      <c r="G50" s="2">
        <f t="shared" ref="G50:G64" si="32">X49*(1+(G14/100))</f>
        <v>0</v>
      </c>
      <c r="H50" s="2">
        <f t="shared" si="10"/>
        <v>0</v>
      </c>
      <c r="I50" s="2">
        <f t="shared" si="11"/>
        <v>189704.92542763145</v>
      </c>
      <c r="J50" s="2">
        <f>I50-I49</f>
        <v>-59999.090333426779</v>
      </c>
      <c r="K50" s="6">
        <f>(J50/I49)</f>
        <v>-0.24028083869840486</v>
      </c>
      <c r="L50" s="7">
        <f t="shared" si="14"/>
        <v>0.75971916130159511</v>
      </c>
      <c r="N50">
        <f t="shared" si="15"/>
        <v>2002</v>
      </c>
      <c r="O50" s="2">
        <f t="shared" si="16"/>
        <v>6174.5563434954302</v>
      </c>
      <c r="P50" s="2"/>
      <c r="Q50" s="2"/>
      <c r="R50">
        <f t="shared" si="17"/>
        <v>2002</v>
      </c>
      <c r="S50" s="2">
        <f t="shared" si="18"/>
        <v>183530.36908413601</v>
      </c>
      <c r="T50" s="2">
        <f t="shared" si="19"/>
        <v>0</v>
      </c>
      <c r="U50" s="2"/>
      <c r="V50" s="2"/>
      <c r="W50" s="2"/>
      <c r="X50" s="2">
        <f t="shared" ref="X50:X64" si="33">G50</f>
        <v>0</v>
      </c>
      <c r="Y50" s="2">
        <f t="shared" si="21"/>
        <v>0</v>
      </c>
      <c r="Z50" s="2">
        <f t="shared" si="22"/>
        <v>183530.36908413601</v>
      </c>
      <c r="AA50" s="2">
        <f>Z50-Z49</f>
        <v>-60149.689268633985</v>
      </c>
      <c r="AB50" s="6">
        <f>(AA50/Z49)</f>
        <v>-0.24683878391705188</v>
      </c>
      <c r="AC50" s="7">
        <f t="shared" si="25"/>
        <v>0.75316121608294817</v>
      </c>
      <c r="AD50" s="2">
        <f t="shared" si="26"/>
        <v>0</v>
      </c>
      <c r="AF50">
        <f t="shared" si="6"/>
        <v>2002</v>
      </c>
      <c r="AG50" s="6">
        <f t="shared" si="3"/>
        <v>1</v>
      </c>
      <c r="AH50" s="6">
        <f t="shared" si="3"/>
        <v>0</v>
      </c>
      <c r="AI50" s="7"/>
      <c r="AJ50" s="7"/>
      <c r="AK50" s="7"/>
      <c r="AL50" s="6">
        <f t="shared" si="31"/>
        <v>0</v>
      </c>
      <c r="AM50" s="6">
        <f t="shared" si="7"/>
        <v>0</v>
      </c>
      <c r="AN50" s="6">
        <f t="shared" si="27"/>
        <v>1</v>
      </c>
      <c r="AO50" s="7">
        <f t="shared" si="28"/>
        <v>1</v>
      </c>
      <c r="AP50" s="7">
        <f t="shared" si="29"/>
        <v>0</v>
      </c>
    </row>
    <row r="51" spans="1:42" x14ac:dyDescent="0.25">
      <c r="A51">
        <f t="shared" si="5"/>
        <v>2003</v>
      </c>
      <c r="B51" s="2">
        <f t="shared" si="8"/>
        <v>235836.52427311474</v>
      </c>
      <c r="C51" s="2"/>
      <c r="D51" s="2">
        <f>($T50*0.67)*(1+(D15/100))</f>
        <v>0</v>
      </c>
      <c r="E51" s="2">
        <f>($T50*0.33)*(1+(E15/100))</f>
        <v>0</v>
      </c>
      <c r="F51" s="2"/>
      <c r="G51" s="2">
        <f t="shared" si="32"/>
        <v>0</v>
      </c>
      <c r="H51" s="2">
        <f t="shared" si="10"/>
        <v>0</v>
      </c>
      <c r="I51" s="2">
        <f t="shared" si="11"/>
        <v>235836.52427311474</v>
      </c>
      <c r="J51" s="2">
        <f t="shared" si="12"/>
        <v>46131.598845483299</v>
      </c>
      <c r="K51" s="6">
        <f t="shared" si="13"/>
        <v>0.2431755461356303</v>
      </c>
      <c r="L51" s="7">
        <f t="shared" si="14"/>
        <v>1.2431755461356304</v>
      </c>
      <c r="N51">
        <f t="shared" si="15"/>
        <v>2003</v>
      </c>
      <c r="O51" s="2">
        <f t="shared" si="16"/>
        <v>6298.047470365339</v>
      </c>
      <c r="P51" s="2"/>
      <c r="Q51" s="2"/>
      <c r="R51">
        <f t="shared" si="17"/>
        <v>2003</v>
      </c>
      <c r="S51" s="2">
        <f t="shared" si="18"/>
        <v>229538.47680274941</v>
      </c>
      <c r="T51" s="2"/>
      <c r="U51" s="2">
        <f>D51</f>
        <v>0</v>
      </c>
      <c r="V51" s="2">
        <f>E51</f>
        <v>0</v>
      </c>
      <c r="W51" s="2"/>
      <c r="X51" s="2">
        <f t="shared" si="33"/>
        <v>0</v>
      </c>
      <c r="Y51" s="2">
        <f t="shared" si="21"/>
        <v>0</v>
      </c>
      <c r="Z51" s="2">
        <f t="shared" si="22"/>
        <v>229538.47680274941</v>
      </c>
      <c r="AA51" s="2">
        <f t="shared" si="23"/>
        <v>46008.107718613406</v>
      </c>
      <c r="AB51" s="6">
        <f t="shared" si="24"/>
        <v>0.2506838947047606</v>
      </c>
      <c r="AC51" s="7">
        <f t="shared" si="25"/>
        <v>1.2506838947047605</v>
      </c>
      <c r="AD51" s="2">
        <f t="shared" si="26"/>
        <v>0</v>
      </c>
      <c r="AF51">
        <f t="shared" si="6"/>
        <v>2003</v>
      </c>
      <c r="AG51" s="6">
        <f t="shared" si="3"/>
        <v>1</v>
      </c>
      <c r="AH51" s="7"/>
      <c r="AI51" s="6">
        <f>U51/$Z51</f>
        <v>0</v>
      </c>
      <c r="AJ51" s="6">
        <f>V51/$Z51</f>
        <v>0</v>
      </c>
      <c r="AK51" s="7"/>
      <c r="AL51" s="6">
        <f t="shared" si="31"/>
        <v>0</v>
      </c>
      <c r="AM51" s="6">
        <f t="shared" si="7"/>
        <v>0</v>
      </c>
      <c r="AN51" s="6">
        <f t="shared" si="27"/>
        <v>1</v>
      </c>
      <c r="AO51" s="7">
        <f t="shared" si="28"/>
        <v>1</v>
      </c>
      <c r="AP51" s="7">
        <f t="shared" si="29"/>
        <v>0</v>
      </c>
    </row>
    <row r="52" spans="1:42" x14ac:dyDescent="0.25">
      <c r="A52">
        <f t="shared" si="5"/>
        <v>2004</v>
      </c>
      <c r="B52" s="2">
        <f t="shared" si="8"/>
        <v>254190.90921136469</v>
      </c>
      <c r="C52" s="2"/>
      <c r="D52" s="2">
        <f t="shared" ref="D52:E64" si="34">U51*(1+(D16/100))</f>
        <v>0</v>
      </c>
      <c r="E52" s="2">
        <f t="shared" si="34"/>
        <v>0</v>
      </c>
      <c r="F52" s="2"/>
      <c r="G52" s="2">
        <f t="shared" si="32"/>
        <v>0</v>
      </c>
      <c r="H52" s="2">
        <f t="shared" si="10"/>
        <v>0</v>
      </c>
      <c r="I52" s="2">
        <f t="shared" si="11"/>
        <v>254190.90921136469</v>
      </c>
      <c r="J52" s="2">
        <f t="shared" si="12"/>
        <v>18354.384938249947</v>
      </c>
      <c r="K52" s="6">
        <f t="shared" si="13"/>
        <v>7.7826727623386785E-2</v>
      </c>
      <c r="L52" s="7">
        <f t="shared" si="14"/>
        <v>1.0778267276233868</v>
      </c>
      <c r="N52">
        <f t="shared" si="15"/>
        <v>2004</v>
      </c>
      <c r="O52" s="2">
        <f t="shared" si="16"/>
        <v>6505.8830368873951</v>
      </c>
      <c r="P52" s="2"/>
      <c r="Q52" s="2"/>
      <c r="R52">
        <f t="shared" si="17"/>
        <v>2004</v>
      </c>
      <c r="S52" s="2">
        <f t="shared" si="18"/>
        <v>247685.0261744773</v>
      </c>
      <c r="T52" s="2"/>
      <c r="U52" s="2">
        <f t="shared" ref="U52:U64" si="35">D52</f>
        <v>0</v>
      </c>
      <c r="V52" s="2">
        <f t="shared" ref="V52:V64" si="36">E52</f>
        <v>0</v>
      </c>
      <c r="W52" s="2"/>
      <c r="X52" s="2">
        <f t="shared" si="33"/>
        <v>0</v>
      </c>
      <c r="Y52" s="2">
        <f t="shared" si="21"/>
        <v>0</v>
      </c>
      <c r="Z52" s="2">
        <f t="shared" si="22"/>
        <v>247685.0261744773</v>
      </c>
      <c r="AA52" s="2">
        <f t="shared" si="23"/>
        <v>18146.549371727888</v>
      </c>
      <c r="AB52" s="6">
        <f t="shared" si="24"/>
        <v>7.9056677662463812E-2</v>
      </c>
      <c r="AC52" s="7">
        <f t="shared" si="25"/>
        <v>1.0790566776624637</v>
      </c>
      <c r="AD52" s="2">
        <f t="shared" si="26"/>
        <v>0</v>
      </c>
      <c r="AF52">
        <f t="shared" si="6"/>
        <v>2004</v>
      </c>
      <c r="AG52" s="6">
        <f t="shared" si="3"/>
        <v>1</v>
      </c>
      <c r="AH52" s="7"/>
      <c r="AI52" s="6">
        <f t="shared" ref="AI52:AJ64" si="37">U52/$Z52</f>
        <v>0</v>
      </c>
      <c r="AJ52" s="6">
        <f t="shared" si="37"/>
        <v>0</v>
      </c>
      <c r="AK52" s="7"/>
      <c r="AL52" s="6">
        <f t="shared" si="31"/>
        <v>0</v>
      </c>
      <c r="AM52" s="6">
        <f t="shared" si="7"/>
        <v>0</v>
      </c>
      <c r="AN52" s="6">
        <f t="shared" si="27"/>
        <v>1</v>
      </c>
      <c r="AO52" s="7">
        <f t="shared" si="28"/>
        <v>1</v>
      </c>
      <c r="AP52" s="7">
        <f t="shared" si="29"/>
        <v>0</v>
      </c>
    </row>
    <row r="53" spans="1:42" x14ac:dyDescent="0.25">
      <c r="A53">
        <f t="shared" si="5"/>
        <v>2005</v>
      </c>
      <c r="B53" s="2">
        <f t="shared" si="8"/>
        <v>259499.60192299989</v>
      </c>
      <c r="C53" s="2"/>
      <c r="D53" s="2">
        <f t="shared" si="34"/>
        <v>0</v>
      </c>
      <c r="E53" s="2">
        <f t="shared" si="34"/>
        <v>0</v>
      </c>
      <c r="F53" s="2"/>
      <c r="G53" s="2">
        <f t="shared" si="32"/>
        <v>0</v>
      </c>
      <c r="H53" s="2">
        <f t="shared" si="10"/>
        <v>0</v>
      </c>
      <c r="I53" s="2">
        <f t="shared" si="11"/>
        <v>259499.60192299989</v>
      </c>
      <c r="J53" s="2">
        <f t="shared" si="12"/>
        <v>5308.6927116352017</v>
      </c>
      <c r="K53" s="6">
        <f t="shared" si="13"/>
        <v>2.0884667858915917E-2</v>
      </c>
      <c r="L53" s="7">
        <f t="shared" si="14"/>
        <v>1.0208846678589159</v>
      </c>
      <c r="N53">
        <f t="shared" si="15"/>
        <v>2005</v>
      </c>
      <c r="O53" s="2">
        <f t="shared" si="16"/>
        <v>6720.5771771046784</v>
      </c>
      <c r="P53" s="2"/>
      <c r="Q53" s="2"/>
      <c r="R53">
        <f t="shared" si="17"/>
        <v>2005</v>
      </c>
      <c r="S53" s="2">
        <f t="shared" si="18"/>
        <v>252779.02474589521</v>
      </c>
      <c r="T53" s="2"/>
      <c r="U53" s="2">
        <f t="shared" si="35"/>
        <v>0</v>
      </c>
      <c r="V53" s="2">
        <f t="shared" si="36"/>
        <v>0</v>
      </c>
      <c r="W53" s="2"/>
      <c r="X53" s="2">
        <f t="shared" si="33"/>
        <v>0</v>
      </c>
      <c r="Y53" s="2">
        <f t="shared" si="21"/>
        <v>0</v>
      </c>
      <c r="Z53" s="2">
        <f t="shared" si="22"/>
        <v>252779.02474589521</v>
      </c>
      <c r="AA53" s="2">
        <f t="shared" si="23"/>
        <v>5093.9985714179056</v>
      </c>
      <c r="AB53" s="6">
        <f t="shared" si="24"/>
        <v>2.0566437342197381E-2</v>
      </c>
      <c r="AC53" s="7">
        <f t="shared" si="25"/>
        <v>1.0205664373421974</v>
      </c>
      <c r="AD53" s="2">
        <f t="shared" si="26"/>
        <v>0</v>
      </c>
      <c r="AF53">
        <f t="shared" si="6"/>
        <v>2005</v>
      </c>
      <c r="AG53" s="6">
        <f t="shared" si="3"/>
        <v>1</v>
      </c>
      <c r="AH53" s="7"/>
      <c r="AI53" s="6">
        <f t="shared" si="37"/>
        <v>0</v>
      </c>
      <c r="AJ53" s="6">
        <f t="shared" si="37"/>
        <v>0</v>
      </c>
      <c r="AK53" s="7"/>
      <c r="AL53" s="6">
        <f t="shared" si="31"/>
        <v>0</v>
      </c>
      <c r="AM53" s="6">
        <f t="shared" si="7"/>
        <v>0</v>
      </c>
      <c r="AN53" s="6">
        <f t="shared" si="27"/>
        <v>1</v>
      </c>
      <c r="AO53" s="7">
        <f t="shared" si="28"/>
        <v>1</v>
      </c>
      <c r="AP53" s="7">
        <f t="shared" si="29"/>
        <v>0</v>
      </c>
    </row>
    <row r="54" spans="1:42" x14ac:dyDescent="0.25">
      <c r="A54">
        <f t="shared" si="5"/>
        <v>2006</v>
      </c>
      <c r="B54" s="2">
        <f t="shared" si="8"/>
        <v>292313.66421615327</v>
      </c>
      <c r="C54" s="2"/>
      <c r="D54" s="2">
        <f t="shared" si="34"/>
        <v>0</v>
      </c>
      <c r="E54" s="2">
        <f t="shared" si="34"/>
        <v>0</v>
      </c>
      <c r="F54" s="2"/>
      <c r="G54" s="2">
        <f t="shared" si="32"/>
        <v>0</v>
      </c>
      <c r="H54" s="2">
        <f t="shared" si="10"/>
        <v>0</v>
      </c>
      <c r="I54" s="2">
        <f t="shared" si="11"/>
        <v>292313.66421615327</v>
      </c>
      <c r="J54" s="2">
        <f t="shared" si="12"/>
        <v>32814.062293153373</v>
      </c>
      <c r="K54" s="6">
        <f t="shared" si="13"/>
        <v>0.12645130108095556</v>
      </c>
      <c r="L54" s="7">
        <f t="shared" si="14"/>
        <v>1.1264513010809556</v>
      </c>
      <c r="N54">
        <f t="shared" si="15"/>
        <v>2006</v>
      </c>
      <c r="O54" s="2">
        <f t="shared" si="16"/>
        <v>6888.5916065322945</v>
      </c>
      <c r="P54" s="2"/>
      <c r="Q54" s="2"/>
      <c r="R54">
        <f t="shared" si="17"/>
        <v>2006</v>
      </c>
      <c r="S54" s="2">
        <f t="shared" si="18"/>
        <v>285425.07260962098</v>
      </c>
      <c r="T54" s="2"/>
      <c r="U54" s="2">
        <f t="shared" si="35"/>
        <v>0</v>
      </c>
      <c r="V54" s="2">
        <f t="shared" si="36"/>
        <v>0</v>
      </c>
      <c r="W54" s="2"/>
      <c r="X54" s="2">
        <f t="shared" si="33"/>
        <v>0</v>
      </c>
      <c r="Y54" s="2">
        <f t="shared" si="21"/>
        <v>0</v>
      </c>
      <c r="Z54" s="2">
        <f t="shared" si="22"/>
        <v>285425.07260962098</v>
      </c>
      <c r="AA54" s="2">
        <f t="shared" si="23"/>
        <v>32646.047863725777</v>
      </c>
      <c r="AB54" s="6">
        <f t="shared" si="24"/>
        <v>0.1291485632423143</v>
      </c>
      <c r="AC54" s="7">
        <f t="shared" si="25"/>
        <v>1.1291485632423144</v>
      </c>
      <c r="AD54" s="2">
        <f t="shared" si="26"/>
        <v>0</v>
      </c>
      <c r="AF54">
        <f t="shared" si="6"/>
        <v>2006</v>
      </c>
      <c r="AG54" s="6">
        <f t="shared" si="3"/>
        <v>1</v>
      </c>
      <c r="AH54" s="7"/>
      <c r="AI54" s="6">
        <f t="shared" si="37"/>
        <v>0</v>
      </c>
      <c r="AJ54" s="6">
        <f t="shared" si="37"/>
        <v>0</v>
      </c>
      <c r="AK54" s="7"/>
      <c r="AL54" s="6">
        <f t="shared" si="31"/>
        <v>0</v>
      </c>
      <c r="AM54" s="6">
        <f t="shared" si="7"/>
        <v>0</v>
      </c>
      <c r="AN54" s="6">
        <f t="shared" si="27"/>
        <v>1</v>
      </c>
      <c r="AO54" s="7">
        <f t="shared" si="28"/>
        <v>1</v>
      </c>
      <c r="AP54" s="7">
        <f t="shared" si="29"/>
        <v>0</v>
      </c>
    </row>
    <row r="55" spans="1:42" x14ac:dyDescent="0.25">
      <c r="A55">
        <f t="shared" si="5"/>
        <v>2007</v>
      </c>
      <c r="B55" s="2">
        <f t="shared" si="8"/>
        <v>300809.48402327957</v>
      </c>
      <c r="C55" s="2"/>
      <c r="D55" s="2">
        <f t="shared" si="34"/>
        <v>0</v>
      </c>
      <c r="E55" s="2">
        <f t="shared" si="34"/>
        <v>0</v>
      </c>
      <c r="F55" s="2"/>
      <c r="G55" s="2">
        <f t="shared" si="32"/>
        <v>0</v>
      </c>
      <c r="H55" s="2">
        <f t="shared" si="10"/>
        <v>0</v>
      </c>
      <c r="I55" s="2">
        <f t="shared" si="11"/>
        <v>300809.48402327957</v>
      </c>
      <c r="J55" s="2">
        <f t="shared" si="12"/>
        <v>8495.8198071263032</v>
      </c>
      <c r="K55" s="6">
        <f t="shared" si="13"/>
        <v>2.9064052923793576E-2</v>
      </c>
      <c r="L55" s="7">
        <f t="shared" si="14"/>
        <v>1.0290640529237935</v>
      </c>
      <c r="N55">
        <f t="shared" si="15"/>
        <v>2007</v>
      </c>
      <c r="O55" s="2">
        <f t="shared" si="16"/>
        <v>7171.0238624001177</v>
      </c>
      <c r="P55" s="2"/>
      <c r="Q55" s="2"/>
      <c r="R55">
        <f t="shared" si="17"/>
        <v>2007</v>
      </c>
      <c r="S55" s="2">
        <f t="shared" si="18"/>
        <v>293638.46016087948</v>
      </c>
      <c r="T55" s="2"/>
      <c r="U55" s="2">
        <f t="shared" si="35"/>
        <v>0</v>
      </c>
      <c r="V55" s="2">
        <f t="shared" si="36"/>
        <v>0</v>
      </c>
      <c r="W55" s="2"/>
      <c r="X55" s="2">
        <f t="shared" si="33"/>
        <v>0</v>
      </c>
      <c r="Y55" s="2">
        <f t="shared" si="21"/>
        <v>0</v>
      </c>
      <c r="Z55" s="2">
        <f t="shared" si="22"/>
        <v>293638.46016087948</v>
      </c>
      <c r="AA55" s="2">
        <f t="shared" si="23"/>
        <v>8213.3875512584927</v>
      </c>
      <c r="AB55" s="6">
        <f t="shared" si="24"/>
        <v>2.8775984801069084E-2</v>
      </c>
      <c r="AC55" s="7">
        <f t="shared" si="25"/>
        <v>1.0287759848010691</v>
      </c>
      <c r="AD55" s="2">
        <f t="shared" si="26"/>
        <v>0</v>
      </c>
      <c r="AF55">
        <f t="shared" si="6"/>
        <v>2007</v>
      </c>
      <c r="AG55" s="6">
        <f t="shared" ref="AG55:AG64" si="38">S55/$Z55</f>
        <v>1</v>
      </c>
      <c r="AH55" s="7"/>
      <c r="AI55" s="6">
        <f t="shared" si="37"/>
        <v>0</v>
      </c>
      <c r="AJ55" s="6">
        <f t="shared" si="37"/>
        <v>0</v>
      </c>
      <c r="AK55" s="7"/>
      <c r="AL55" s="6">
        <f t="shared" si="31"/>
        <v>0</v>
      </c>
      <c r="AM55" s="6">
        <f t="shared" si="7"/>
        <v>0</v>
      </c>
      <c r="AN55" s="6">
        <f t="shared" si="27"/>
        <v>1</v>
      </c>
      <c r="AO55" s="7">
        <f t="shared" si="28"/>
        <v>1</v>
      </c>
      <c r="AP55" s="7">
        <f t="shared" si="29"/>
        <v>0</v>
      </c>
    </row>
    <row r="56" spans="1:42" x14ac:dyDescent="0.25">
      <c r="A56">
        <f t="shared" si="5"/>
        <v>2008</v>
      </c>
      <c r="B56" s="2">
        <f t="shared" si="8"/>
        <v>184933.50220932186</v>
      </c>
      <c r="C56" s="2"/>
      <c r="D56" s="2">
        <f t="shared" si="34"/>
        <v>0</v>
      </c>
      <c r="E56" s="2">
        <f t="shared" si="34"/>
        <v>0</v>
      </c>
      <c r="F56" s="2"/>
      <c r="G56" s="2">
        <f t="shared" si="32"/>
        <v>0</v>
      </c>
      <c r="H56" s="2">
        <f t="shared" si="10"/>
        <v>0</v>
      </c>
      <c r="I56" s="2">
        <f t="shared" si="11"/>
        <v>184933.50220932186</v>
      </c>
      <c r="J56" s="2">
        <f>I56-I55</f>
        <v>-115875.98181395771</v>
      </c>
      <c r="K56" s="6">
        <f>(J56/I55)</f>
        <v>-0.38521385783498135</v>
      </c>
      <c r="L56" s="7">
        <f t="shared" si="14"/>
        <v>0.6147861421650187</v>
      </c>
      <c r="N56">
        <f t="shared" si="15"/>
        <v>2008</v>
      </c>
      <c r="O56" s="2">
        <f t="shared" si="16"/>
        <v>7171.0238624001177</v>
      </c>
      <c r="P56" s="2"/>
      <c r="Q56" s="2"/>
      <c r="R56">
        <f t="shared" si="17"/>
        <v>2008</v>
      </c>
      <c r="S56" s="2">
        <f t="shared" si="18"/>
        <v>177762.47834692174</v>
      </c>
      <c r="T56" s="2"/>
      <c r="U56" s="2">
        <f t="shared" si="35"/>
        <v>0</v>
      </c>
      <c r="V56" s="2">
        <f t="shared" si="36"/>
        <v>0</v>
      </c>
      <c r="W56" s="2"/>
      <c r="X56" s="2">
        <f t="shared" si="33"/>
        <v>0</v>
      </c>
      <c r="Y56" s="2">
        <f t="shared" si="21"/>
        <v>0</v>
      </c>
      <c r="Z56" s="2">
        <f t="shared" si="22"/>
        <v>177762.47834692174</v>
      </c>
      <c r="AA56" s="2">
        <f>Z56-Z55</f>
        <v>-115875.98181395774</v>
      </c>
      <c r="AB56" s="6">
        <f>(AA56/Z55)</f>
        <v>-0.39462126912963402</v>
      </c>
      <c r="AC56" s="7">
        <f t="shared" si="25"/>
        <v>0.60537873087036598</v>
      </c>
      <c r="AD56" s="2">
        <f t="shared" si="26"/>
        <v>0</v>
      </c>
      <c r="AF56">
        <f t="shared" si="6"/>
        <v>2008</v>
      </c>
      <c r="AG56" s="6">
        <f t="shared" si="38"/>
        <v>1</v>
      </c>
      <c r="AH56" s="7"/>
      <c r="AI56" s="6">
        <f t="shared" si="37"/>
        <v>0</v>
      </c>
      <c r="AJ56" s="6">
        <f t="shared" si="37"/>
        <v>0</v>
      </c>
      <c r="AK56" s="7"/>
      <c r="AL56" s="6">
        <f t="shared" si="31"/>
        <v>0</v>
      </c>
      <c r="AM56" s="6">
        <f t="shared" si="7"/>
        <v>0</v>
      </c>
      <c r="AN56" s="6">
        <f t="shared" si="27"/>
        <v>1</v>
      </c>
      <c r="AO56" s="7">
        <f t="shared" si="28"/>
        <v>1</v>
      </c>
      <c r="AP56" s="7">
        <f t="shared" si="29"/>
        <v>0</v>
      </c>
    </row>
    <row r="57" spans="1:42" x14ac:dyDescent="0.25">
      <c r="A57">
        <f t="shared" si="5"/>
        <v>2009</v>
      </c>
      <c r="B57" s="2">
        <f t="shared" ref="B57:B64" si="39">S56*(1+(B21/100))</f>
        <v>224851.75886102128</v>
      </c>
      <c r="C57" s="2"/>
      <c r="D57" s="2">
        <f t="shared" si="34"/>
        <v>0</v>
      </c>
      <c r="E57" s="2">
        <f t="shared" si="34"/>
        <v>0</v>
      </c>
      <c r="F57" s="2"/>
      <c r="G57" s="2">
        <f t="shared" si="32"/>
        <v>0</v>
      </c>
      <c r="H57" s="2">
        <f t="shared" si="10"/>
        <v>0</v>
      </c>
      <c r="I57" s="2">
        <f t="shared" si="11"/>
        <v>224851.75886102128</v>
      </c>
      <c r="J57" s="2">
        <f t="shared" si="12"/>
        <v>39918.256651699427</v>
      </c>
      <c r="K57" s="6">
        <f t="shared" si="13"/>
        <v>0.2158519477261448</v>
      </c>
      <c r="L57" s="7">
        <f t="shared" si="14"/>
        <v>1.2158519477261449</v>
      </c>
      <c r="N57">
        <f t="shared" si="15"/>
        <v>2009</v>
      </c>
      <c r="O57" s="2">
        <f t="shared" si="16"/>
        <v>7371.8125305473213</v>
      </c>
      <c r="P57" s="2"/>
      <c r="Q57" s="2"/>
      <c r="R57">
        <f t="shared" si="17"/>
        <v>2009</v>
      </c>
      <c r="S57" s="2">
        <f t="shared" si="18"/>
        <v>217479.94633047396</v>
      </c>
      <c r="T57" s="2"/>
      <c r="U57" s="2">
        <f t="shared" si="35"/>
        <v>0</v>
      </c>
      <c r="V57" s="2">
        <f t="shared" si="36"/>
        <v>0</v>
      </c>
      <c r="W57" s="2"/>
      <c r="X57" s="2">
        <f t="shared" si="33"/>
        <v>0</v>
      </c>
      <c r="Y57" s="2">
        <f t="shared" si="21"/>
        <v>0</v>
      </c>
      <c r="Z57" s="2">
        <f t="shared" si="22"/>
        <v>217479.94633047396</v>
      </c>
      <c r="AA57" s="2">
        <f t="shared" ref="AA57:AA64" si="40">Z57-Z56</f>
        <v>39717.467983552226</v>
      </c>
      <c r="AB57" s="6">
        <f t="shared" ref="AB57:AB64" si="41">(AA57/Z56)</f>
        <v>0.22342998563532349</v>
      </c>
      <c r="AC57" s="7">
        <f t="shared" si="25"/>
        <v>1.2234299856353235</v>
      </c>
      <c r="AD57" s="2">
        <f t="shared" si="26"/>
        <v>0</v>
      </c>
      <c r="AF57">
        <f t="shared" si="6"/>
        <v>2009</v>
      </c>
      <c r="AG57" s="6">
        <f t="shared" si="38"/>
        <v>1</v>
      </c>
      <c r="AH57" s="7"/>
      <c r="AI57" s="6">
        <f t="shared" si="37"/>
        <v>0</v>
      </c>
      <c r="AJ57" s="6">
        <f t="shared" si="37"/>
        <v>0</v>
      </c>
      <c r="AK57" s="7"/>
      <c r="AL57" s="6">
        <f t="shared" si="31"/>
        <v>0</v>
      </c>
      <c r="AM57" s="6">
        <f t="shared" si="7"/>
        <v>0</v>
      </c>
      <c r="AN57" s="6">
        <f t="shared" si="27"/>
        <v>1</v>
      </c>
      <c r="AO57" s="7">
        <f t="shared" si="28"/>
        <v>1</v>
      </c>
      <c r="AP57" s="7">
        <f t="shared" si="29"/>
        <v>0</v>
      </c>
    </row>
    <row r="58" spans="1:42" x14ac:dyDescent="0.25">
      <c r="A58">
        <f t="shared" si="5"/>
        <v>2010</v>
      </c>
      <c r="B58" s="2">
        <f t="shared" si="39"/>
        <v>249906.20632834765</v>
      </c>
      <c r="C58" s="2"/>
      <c r="D58" s="2">
        <f t="shared" si="34"/>
        <v>0</v>
      </c>
      <c r="E58" s="2">
        <f t="shared" si="34"/>
        <v>0</v>
      </c>
      <c r="F58" s="2"/>
      <c r="G58" s="2">
        <f t="shared" si="32"/>
        <v>0</v>
      </c>
      <c r="H58" s="2">
        <f t="shared" si="10"/>
        <v>0</v>
      </c>
      <c r="I58" s="2">
        <f t="shared" si="11"/>
        <v>249906.20632834765</v>
      </c>
      <c r="J58" s="2">
        <f t="shared" si="12"/>
        <v>25054.447467326361</v>
      </c>
      <c r="K58" s="6">
        <f t="shared" si="13"/>
        <v>0.11142651315799702</v>
      </c>
      <c r="L58" s="7">
        <f t="shared" si="14"/>
        <v>1.111426513157997</v>
      </c>
      <c r="N58">
        <f t="shared" si="15"/>
        <v>2010</v>
      </c>
      <c r="O58" s="2">
        <f t="shared" si="16"/>
        <v>7475.0179059749835</v>
      </c>
      <c r="P58" s="2"/>
      <c r="Q58" s="2"/>
      <c r="R58">
        <f t="shared" si="17"/>
        <v>2010</v>
      </c>
      <c r="S58" s="2">
        <f t="shared" si="18"/>
        <v>242431.18842237265</v>
      </c>
      <c r="T58" s="2"/>
      <c r="U58" s="2">
        <f t="shared" si="35"/>
        <v>0</v>
      </c>
      <c r="V58" s="2">
        <f t="shared" si="36"/>
        <v>0</v>
      </c>
      <c r="W58" s="2"/>
      <c r="X58" s="2">
        <f t="shared" si="33"/>
        <v>0</v>
      </c>
      <c r="Y58" s="2">
        <f t="shared" si="21"/>
        <v>0</v>
      </c>
      <c r="Z58" s="2">
        <f t="shared" si="22"/>
        <v>242431.18842237265</v>
      </c>
      <c r="AA58" s="2">
        <f t="shared" si="40"/>
        <v>24951.24209189869</v>
      </c>
      <c r="AB58" s="6">
        <f t="shared" si="41"/>
        <v>0.11472893254251482</v>
      </c>
      <c r="AC58" s="7">
        <f t="shared" si="25"/>
        <v>1.1147289325425147</v>
      </c>
      <c r="AD58" s="2">
        <f t="shared" si="26"/>
        <v>0</v>
      </c>
      <c r="AF58">
        <f t="shared" si="6"/>
        <v>2010</v>
      </c>
      <c r="AG58" s="6">
        <f t="shared" si="38"/>
        <v>1</v>
      </c>
      <c r="AH58" s="7"/>
      <c r="AI58" s="6">
        <f t="shared" si="37"/>
        <v>0</v>
      </c>
      <c r="AJ58" s="6">
        <f t="shared" si="37"/>
        <v>0</v>
      </c>
      <c r="AK58" s="7"/>
      <c r="AL58" s="6">
        <f t="shared" si="31"/>
        <v>0</v>
      </c>
      <c r="AM58" s="6">
        <f t="shared" si="7"/>
        <v>0</v>
      </c>
      <c r="AN58" s="6">
        <f t="shared" si="27"/>
        <v>1</v>
      </c>
      <c r="AO58" s="7">
        <f t="shared" si="28"/>
        <v>1</v>
      </c>
      <c r="AP58" s="7">
        <f t="shared" si="29"/>
        <v>0</v>
      </c>
    </row>
    <row r="59" spans="1:42" x14ac:dyDescent="0.25">
      <c r="A59">
        <f t="shared" si="5"/>
        <v>2011</v>
      </c>
      <c r="B59" s="2">
        <f t="shared" si="39"/>
        <v>247207.0828342934</v>
      </c>
      <c r="C59" s="2"/>
      <c r="D59" s="2">
        <f t="shared" si="34"/>
        <v>0</v>
      </c>
      <c r="E59" s="2">
        <f t="shared" si="34"/>
        <v>0</v>
      </c>
      <c r="F59" s="2"/>
      <c r="G59" s="2">
        <f t="shared" si="32"/>
        <v>0</v>
      </c>
      <c r="H59" s="2">
        <f t="shared" si="10"/>
        <v>0</v>
      </c>
      <c r="I59" s="2">
        <f t="shared" si="11"/>
        <v>247207.0828342934</v>
      </c>
      <c r="J59" s="2">
        <f t="shared" si="12"/>
        <v>-2699.123494054249</v>
      </c>
      <c r="K59" s="6">
        <f t="shared" si="13"/>
        <v>-1.0800546067703157E-2</v>
      </c>
      <c r="L59" s="7">
        <f t="shared" si="14"/>
        <v>0.9891994539322968</v>
      </c>
      <c r="N59">
        <f t="shared" si="15"/>
        <v>2011</v>
      </c>
      <c r="O59" s="2">
        <f t="shared" si="16"/>
        <v>7699.268443154233</v>
      </c>
      <c r="P59" s="2"/>
      <c r="Q59" s="2"/>
      <c r="R59">
        <f t="shared" si="17"/>
        <v>2011</v>
      </c>
      <c r="S59" s="2">
        <f t="shared" si="18"/>
        <v>239507.81439113917</v>
      </c>
      <c r="T59" s="2"/>
      <c r="U59" s="2">
        <f t="shared" si="35"/>
        <v>0</v>
      </c>
      <c r="V59" s="2">
        <f t="shared" si="36"/>
        <v>0</v>
      </c>
      <c r="W59" s="2"/>
      <c r="X59" s="2">
        <f t="shared" si="33"/>
        <v>0</v>
      </c>
      <c r="Y59" s="2">
        <f t="shared" si="21"/>
        <v>0</v>
      </c>
      <c r="Z59" s="2">
        <f t="shared" si="22"/>
        <v>239507.81439113917</v>
      </c>
      <c r="AA59" s="2">
        <f t="shared" si="40"/>
        <v>-2923.3740312334849</v>
      </c>
      <c r="AB59" s="6">
        <f t="shared" si="41"/>
        <v>-1.2058572373700836E-2</v>
      </c>
      <c r="AC59" s="7">
        <f t="shared" si="25"/>
        <v>0.98794142762629922</v>
      </c>
      <c r="AD59" s="2">
        <f t="shared" si="26"/>
        <v>0</v>
      </c>
      <c r="AF59">
        <f t="shared" si="6"/>
        <v>2011</v>
      </c>
      <c r="AG59" s="6">
        <f t="shared" si="38"/>
        <v>1</v>
      </c>
      <c r="AH59" s="7"/>
      <c r="AI59" s="6">
        <f t="shared" si="37"/>
        <v>0</v>
      </c>
      <c r="AJ59" s="6">
        <f t="shared" si="37"/>
        <v>0</v>
      </c>
      <c r="AK59" s="7"/>
      <c r="AL59" s="6">
        <f t="shared" si="31"/>
        <v>0</v>
      </c>
      <c r="AM59" s="6">
        <f t="shared" si="7"/>
        <v>0</v>
      </c>
      <c r="AN59" s="6">
        <f t="shared" si="27"/>
        <v>1</v>
      </c>
      <c r="AO59" s="7">
        <f t="shared" si="28"/>
        <v>1</v>
      </c>
      <c r="AP59" s="7">
        <f t="shared" si="29"/>
        <v>0</v>
      </c>
    </row>
    <row r="60" spans="1:42" x14ac:dyDescent="0.25">
      <c r="A60">
        <f t="shared" si="5"/>
        <v>2012</v>
      </c>
      <c r="B60" s="2">
        <f t="shared" si="39"/>
        <v>277397.95062781736</v>
      </c>
      <c r="C60" s="2"/>
      <c r="D60" s="2">
        <f t="shared" si="34"/>
        <v>0</v>
      </c>
      <c r="E60" s="2">
        <f t="shared" si="34"/>
        <v>0</v>
      </c>
      <c r="F60" s="2"/>
      <c r="G60" s="2">
        <f t="shared" si="32"/>
        <v>0</v>
      </c>
      <c r="H60" s="2">
        <f t="shared" si="10"/>
        <v>0</v>
      </c>
      <c r="I60" s="2">
        <f t="shared" si="11"/>
        <v>277397.95062781736</v>
      </c>
      <c r="J60" s="2">
        <f t="shared" si="12"/>
        <v>30190.867793523968</v>
      </c>
      <c r="K60" s="6">
        <f t="shared" si="13"/>
        <v>0.12212784297026537</v>
      </c>
      <c r="L60" s="7">
        <f t="shared" si="14"/>
        <v>1.1221278429702655</v>
      </c>
      <c r="N60">
        <f t="shared" si="15"/>
        <v>2012</v>
      </c>
      <c r="O60" s="2">
        <f t="shared" si="16"/>
        <v>7837.855275131009</v>
      </c>
      <c r="P60" s="2"/>
      <c r="Q60" s="2"/>
      <c r="R60">
        <f t="shared" si="17"/>
        <v>2012</v>
      </c>
      <c r="S60" s="2">
        <f t="shared" si="18"/>
        <v>269560.09535268636</v>
      </c>
      <c r="T60" s="2"/>
      <c r="U60" s="2">
        <f t="shared" si="35"/>
        <v>0</v>
      </c>
      <c r="V60" s="2">
        <f t="shared" si="36"/>
        <v>0</v>
      </c>
      <c r="W60" s="2"/>
      <c r="X60" s="2">
        <f t="shared" si="33"/>
        <v>0</v>
      </c>
      <c r="Y60" s="2">
        <f t="shared" si="21"/>
        <v>0</v>
      </c>
      <c r="Z60" s="2">
        <f t="shared" si="22"/>
        <v>269560.09535268636</v>
      </c>
      <c r="AA60" s="2">
        <f t="shared" si="40"/>
        <v>30052.280961547192</v>
      </c>
      <c r="AB60" s="6">
        <f t="shared" si="41"/>
        <v>0.12547515845336446</v>
      </c>
      <c r="AC60" s="7">
        <f t="shared" si="25"/>
        <v>1.1254751584533644</v>
      </c>
      <c r="AD60" s="2">
        <f t="shared" si="26"/>
        <v>0</v>
      </c>
      <c r="AF60">
        <f t="shared" si="6"/>
        <v>2012</v>
      </c>
      <c r="AG60" s="6">
        <f t="shared" si="38"/>
        <v>1</v>
      </c>
      <c r="AH60" s="7"/>
      <c r="AI60" s="6">
        <f t="shared" si="37"/>
        <v>0</v>
      </c>
      <c r="AJ60" s="6">
        <f t="shared" si="37"/>
        <v>0</v>
      </c>
      <c r="AK60" s="7"/>
      <c r="AL60" s="6">
        <f t="shared" si="31"/>
        <v>0</v>
      </c>
      <c r="AM60" s="6">
        <f t="shared" si="7"/>
        <v>0</v>
      </c>
      <c r="AN60" s="6">
        <f t="shared" si="27"/>
        <v>1</v>
      </c>
      <c r="AO60" s="7">
        <f t="shared" si="28"/>
        <v>1</v>
      </c>
      <c r="AP60" s="7">
        <f t="shared" si="29"/>
        <v>0</v>
      </c>
    </row>
    <row r="61" spans="1:42" x14ac:dyDescent="0.25">
      <c r="A61">
        <f t="shared" si="5"/>
        <v>2013</v>
      </c>
      <c r="B61" s="2">
        <f t="shared" si="39"/>
        <v>356304.53403718083</v>
      </c>
      <c r="C61" s="2"/>
      <c r="D61" s="2">
        <f t="shared" si="34"/>
        <v>0</v>
      </c>
      <c r="E61" s="2">
        <f t="shared" si="34"/>
        <v>0</v>
      </c>
      <c r="F61" s="2"/>
      <c r="G61" s="2">
        <f t="shared" si="32"/>
        <v>0</v>
      </c>
      <c r="H61" s="2">
        <f t="shared" si="10"/>
        <v>0</v>
      </c>
      <c r="I61" s="2">
        <f t="shared" si="11"/>
        <v>356304.53403718083</v>
      </c>
      <c r="J61" s="2">
        <f t="shared" si="12"/>
        <v>78906.583409363462</v>
      </c>
      <c r="K61" s="6">
        <f t="shared" si="13"/>
        <v>0.28445265450151719</v>
      </c>
      <c r="L61" s="7">
        <f t="shared" si="14"/>
        <v>1.2844526545015171</v>
      </c>
      <c r="N61">
        <f t="shared" si="15"/>
        <v>2013</v>
      </c>
      <c r="O61" s="2">
        <f t="shared" si="16"/>
        <v>7928.4288805679344</v>
      </c>
      <c r="P61" s="2"/>
      <c r="Q61" s="2"/>
      <c r="R61">
        <f t="shared" si="17"/>
        <v>2013</v>
      </c>
      <c r="S61" s="2">
        <f t="shared" si="18"/>
        <v>348376.10515661287</v>
      </c>
      <c r="T61" s="2"/>
      <c r="U61" s="2">
        <f t="shared" si="35"/>
        <v>0</v>
      </c>
      <c r="V61" s="2">
        <f t="shared" si="36"/>
        <v>0</v>
      </c>
      <c r="W61" s="2"/>
      <c r="X61" s="2">
        <f t="shared" si="33"/>
        <v>0</v>
      </c>
      <c r="Y61" s="2">
        <f t="shared" si="21"/>
        <v>0</v>
      </c>
      <c r="Z61" s="2">
        <f t="shared" si="22"/>
        <v>348376.10515661287</v>
      </c>
      <c r="AA61" s="2">
        <f t="shared" si="40"/>
        <v>78816.009803926514</v>
      </c>
      <c r="AB61" s="6">
        <f t="shared" si="41"/>
        <v>0.29238752754114222</v>
      </c>
      <c r="AC61" s="7">
        <f t="shared" si="25"/>
        <v>1.2923875275411423</v>
      </c>
      <c r="AD61" s="2">
        <f t="shared" si="26"/>
        <v>0</v>
      </c>
      <c r="AF61">
        <f t="shared" si="6"/>
        <v>2013</v>
      </c>
      <c r="AG61" s="6">
        <f t="shared" si="38"/>
        <v>1</v>
      </c>
      <c r="AH61" s="7"/>
      <c r="AI61" s="6">
        <f t="shared" si="37"/>
        <v>0</v>
      </c>
      <c r="AJ61" s="6">
        <f t="shared" si="37"/>
        <v>0</v>
      </c>
      <c r="AK61" s="7"/>
      <c r="AL61" s="6">
        <f t="shared" si="31"/>
        <v>0</v>
      </c>
      <c r="AM61" s="6">
        <f t="shared" si="7"/>
        <v>0</v>
      </c>
      <c r="AN61" s="6">
        <f t="shared" si="27"/>
        <v>1</v>
      </c>
      <c r="AO61" s="7">
        <f t="shared" si="28"/>
        <v>1</v>
      </c>
      <c r="AP61" s="7">
        <f t="shared" si="29"/>
        <v>0</v>
      </c>
    </row>
    <row r="62" spans="1:42" x14ac:dyDescent="0.25">
      <c r="A62">
        <f t="shared" si="5"/>
        <v>2014</v>
      </c>
      <c r="B62" s="2">
        <f t="shared" si="39"/>
        <v>395441.71696327126</v>
      </c>
      <c r="C62" s="2"/>
      <c r="D62" s="2">
        <f t="shared" si="34"/>
        <v>0</v>
      </c>
      <c r="E62" s="2">
        <f t="shared" si="34"/>
        <v>0</v>
      </c>
      <c r="F62" s="2"/>
      <c r="G62" s="2">
        <f t="shared" si="32"/>
        <v>0</v>
      </c>
      <c r="H62" s="2">
        <f t="shared" si="10"/>
        <v>0</v>
      </c>
      <c r="I62" s="2">
        <f t="shared" si="11"/>
        <v>395441.71696327126</v>
      </c>
      <c r="J62" s="2">
        <f t="shared" si="12"/>
        <v>39137.182926090434</v>
      </c>
      <c r="K62" s="6">
        <f t="shared" si="13"/>
        <v>0.10984194470566692</v>
      </c>
      <c r="L62" s="7">
        <f t="shared" si="14"/>
        <v>1.1098419447056669</v>
      </c>
      <c r="N62">
        <f t="shared" si="15"/>
        <v>2014</v>
      </c>
      <c r="O62" s="2">
        <f t="shared" si="16"/>
        <v>8030.7056131272602</v>
      </c>
      <c r="P62" s="2"/>
      <c r="Q62" s="2"/>
      <c r="R62">
        <f t="shared" si="17"/>
        <v>2014</v>
      </c>
      <c r="S62" s="2">
        <f t="shared" si="18"/>
        <v>387411.01135014399</v>
      </c>
      <c r="T62" s="2"/>
      <c r="U62" s="2">
        <f t="shared" si="35"/>
        <v>0</v>
      </c>
      <c r="V62" s="2">
        <f t="shared" si="36"/>
        <v>0</v>
      </c>
      <c r="W62" s="2"/>
      <c r="X62" s="2">
        <f t="shared" si="33"/>
        <v>0</v>
      </c>
      <c r="Y62" s="2">
        <f t="shared" si="21"/>
        <v>0</v>
      </c>
      <c r="Z62" s="2">
        <f t="shared" si="22"/>
        <v>387411.01135014399</v>
      </c>
      <c r="AA62" s="2">
        <f t="shared" si="40"/>
        <v>39034.906193531118</v>
      </c>
      <c r="AB62" s="6">
        <f t="shared" si="41"/>
        <v>0.11204817326946959</v>
      </c>
      <c r="AC62" s="7">
        <f t="shared" si="25"/>
        <v>1.1120481732694696</v>
      </c>
      <c r="AD62" s="2">
        <f t="shared" si="26"/>
        <v>0</v>
      </c>
      <c r="AF62">
        <f t="shared" si="6"/>
        <v>2014</v>
      </c>
      <c r="AG62" s="6">
        <f t="shared" si="38"/>
        <v>1</v>
      </c>
      <c r="AH62" s="7"/>
      <c r="AI62" s="6">
        <f t="shared" si="37"/>
        <v>0</v>
      </c>
      <c r="AJ62" s="6">
        <f t="shared" si="37"/>
        <v>0</v>
      </c>
      <c r="AK62" s="7"/>
      <c r="AL62" s="6">
        <f t="shared" si="31"/>
        <v>0</v>
      </c>
      <c r="AM62" s="6">
        <f t="shared" si="7"/>
        <v>0</v>
      </c>
      <c r="AN62" s="6">
        <f t="shared" si="27"/>
        <v>1</v>
      </c>
      <c r="AO62" s="7">
        <f t="shared" si="28"/>
        <v>1</v>
      </c>
      <c r="AP62" s="7">
        <f t="shared" si="29"/>
        <v>0</v>
      </c>
    </row>
    <row r="63" spans="1:42" x14ac:dyDescent="0.25">
      <c r="A63">
        <f t="shared" si="5"/>
        <v>2015</v>
      </c>
      <c r="B63" s="2">
        <f t="shared" si="39"/>
        <v>392253.64899202075</v>
      </c>
      <c r="C63" s="2"/>
      <c r="D63" s="2">
        <f t="shared" si="34"/>
        <v>0</v>
      </c>
      <c r="E63" s="2">
        <f t="shared" si="34"/>
        <v>0</v>
      </c>
      <c r="F63" s="2"/>
      <c r="G63" s="2">
        <f t="shared" si="32"/>
        <v>0</v>
      </c>
      <c r="H63" s="2">
        <f t="shared" si="10"/>
        <v>0</v>
      </c>
      <c r="I63" s="2">
        <f t="shared" si="11"/>
        <v>392253.64899202075</v>
      </c>
      <c r="J63" s="2">
        <f t="shared" si="12"/>
        <v>-3188.067971250508</v>
      </c>
      <c r="K63" s="6">
        <f t="shared" si="13"/>
        <v>-8.0620426082830734E-3</v>
      </c>
      <c r="L63" s="7">
        <f t="shared" si="14"/>
        <v>0.99193795739171697</v>
      </c>
      <c r="N63">
        <f t="shared" si="15"/>
        <v>2015</v>
      </c>
      <c r="O63" s="2">
        <f t="shared" si="16"/>
        <v>8066.0407178250198</v>
      </c>
      <c r="P63" s="2"/>
      <c r="Q63" s="2"/>
      <c r="R63">
        <f t="shared" si="17"/>
        <v>2015</v>
      </c>
      <c r="S63" s="2">
        <f t="shared" si="18"/>
        <v>384187.60827419575</v>
      </c>
      <c r="T63" s="2"/>
      <c r="U63" s="2">
        <f t="shared" si="35"/>
        <v>0</v>
      </c>
      <c r="V63" s="2">
        <f t="shared" si="36"/>
        <v>0</v>
      </c>
      <c r="W63" s="2"/>
      <c r="X63" s="2">
        <f t="shared" si="33"/>
        <v>0</v>
      </c>
      <c r="Y63" s="2">
        <f t="shared" si="21"/>
        <v>0</v>
      </c>
      <c r="Z63" s="2">
        <f t="shared" si="22"/>
        <v>384187.60827419575</v>
      </c>
      <c r="AA63" s="2">
        <f t="shared" si="40"/>
        <v>-3223.4030759482412</v>
      </c>
      <c r="AB63" s="6">
        <f t="shared" si="41"/>
        <v>-8.3203703083052361E-3</v>
      </c>
      <c r="AC63" s="7">
        <f t="shared" si="25"/>
        <v>0.99167962969169476</v>
      </c>
      <c r="AD63" s="2">
        <f t="shared" si="26"/>
        <v>0</v>
      </c>
      <c r="AF63">
        <f t="shared" si="6"/>
        <v>2015</v>
      </c>
      <c r="AG63" s="6">
        <f t="shared" si="38"/>
        <v>1</v>
      </c>
      <c r="AH63" s="7"/>
      <c r="AI63" s="6">
        <f t="shared" si="37"/>
        <v>0</v>
      </c>
      <c r="AJ63" s="6">
        <f t="shared" si="37"/>
        <v>0</v>
      </c>
      <c r="AK63" s="7"/>
      <c r="AL63" s="6">
        <f t="shared" si="31"/>
        <v>0</v>
      </c>
      <c r="AM63" s="6">
        <f t="shared" si="7"/>
        <v>0</v>
      </c>
      <c r="AN63" s="6">
        <f t="shared" si="27"/>
        <v>1</v>
      </c>
      <c r="AO63" s="7">
        <f t="shared" si="28"/>
        <v>1</v>
      </c>
      <c r="AP63" s="7">
        <f t="shared" si="29"/>
        <v>0</v>
      </c>
    </row>
    <row r="64" spans="1:42" x14ac:dyDescent="0.25">
      <c r="A64">
        <f t="shared" si="5"/>
        <v>2016</v>
      </c>
      <c r="B64" s="2">
        <f t="shared" si="39"/>
        <v>429598.58357220574</v>
      </c>
      <c r="C64" s="2"/>
      <c r="D64" s="2">
        <f t="shared" si="34"/>
        <v>0</v>
      </c>
      <c r="E64" s="2">
        <f t="shared" si="34"/>
        <v>0</v>
      </c>
      <c r="F64" s="2"/>
      <c r="G64" s="2">
        <f t="shared" si="32"/>
        <v>0</v>
      </c>
      <c r="H64" s="2">
        <f t="shared" si="10"/>
        <v>0</v>
      </c>
      <c r="I64" s="2">
        <f t="shared" si="11"/>
        <v>429598.58357220574</v>
      </c>
      <c r="J64" s="2">
        <f t="shared" si="12"/>
        <v>37344.934580184985</v>
      </c>
      <c r="K64" s="6">
        <f t="shared" si="13"/>
        <v>9.5206085848151434E-2</v>
      </c>
      <c r="L64" s="7">
        <f t="shared" si="14"/>
        <v>1.0952060858481514</v>
      </c>
      <c r="N64">
        <f t="shared" si="15"/>
        <v>2016</v>
      </c>
      <c r="O64" s="2">
        <f t="shared" si="16"/>
        <v>8203.1634100280444</v>
      </c>
      <c r="P64" s="2"/>
      <c r="Q64" s="2"/>
      <c r="R64">
        <f t="shared" si="17"/>
        <v>2016</v>
      </c>
      <c r="S64" s="2">
        <f t="shared" si="18"/>
        <v>421395.4201621777</v>
      </c>
      <c r="T64" s="2"/>
      <c r="U64" s="2">
        <f t="shared" si="35"/>
        <v>0</v>
      </c>
      <c r="V64" s="2">
        <f t="shared" si="36"/>
        <v>0</v>
      </c>
      <c r="W64" s="2"/>
      <c r="X64" s="2">
        <f t="shared" si="33"/>
        <v>0</v>
      </c>
      <c r="Y64" s="2">
        <f t="shared" si="21"/>
        <v>0</v>
      </c>
      <c r="Z64" s="2">
        <f t="shared" si="22"/>
        <v>421395.4201621777</v>
      </c>
      <c r="AA64" s="2">
        <f t="shared" si="40"/>
        <v>37207.811887981952</v>
      </c>
      <c r="AB64" s="6">
        <f t="shared" si="41"/>
        <v>9.6848027074904072E-2</v>
      </c>
      <c r="AC64" s="7">
        <f t="shared" si="25"/>
        <v>1.0968480270749041</v>
      </c>
      <c r="AD64" s="2">
        <f t="shared" si="26"/>
        <v>0</v>
      </c>
      <c r="AF64">
        <f t="shared" si="6"/>
        <v>2016</v>
      </c>
      <c r="AG64" s="6">
        <f t="shared" si="38"/>
        <v>1</v>
      </c>
      <c r="AH64" s="7"/>
      <c r="AI64" s="6">
        <f t="shared" si="37"/>
        <v>0</v>
      </c>
      <c r="AJ64" s="6">
        <f t="shared" si="37"/>
        <v>0</v>
      </c>
      <c r="AK64" s="7"/>
      <c r="AL64" s="6">
        <f t="shared" si="31"/>
        <v>0</v>
      </c>
      <c r="AM64" s="6">
        <f t="shared" si="7"/>
        <v>0</v>
      </c>
      <c r="AN64" s="6">
        <f t="shared" si="27"/>
        <v>1</v>
      </c>
      <c r="AO64" s="7">
        <f t="shared" si="28"/>
        <v>1</v>
      </c>
      <c r="AP64" s="7">
        <f t="shared" si="29"/>
        <v>0</v>
      </c>
    </row>
    <row r="65" spans="1:36" x14ac:dyDescent="0.25">
      <c r="A65" s="9" t="s">
        <v>78</v>
      </c>
      <c r="B65" s="10">
        <f>S64</f>
        <v>421395.4201621777</v>
      </c>
      <c r="C65" s="10"/>
      <c r="D65" s="10">
        <f>U64</f>
        <v>0</v>
      </c>
      <c r="E65" s="10">
        <f>V64</f>
        <v>0</v>
      </c>
      <c r="F65" s="10"/>
      <c r="G65" s="10">
        <f>X64</f>
        <v>0</v>
      </c>
      <c r="H65" s="10">
        <f>Y64</f>
        <v>0</v>
      </c>
      <c r="I65" s="10">
        <f>SUM(B65:H65)</f>
        <v>421395.4201621777</v>
      </c>
      <c r="J65" s="10"/>
      <c r="K65" s="10"/>
      <c r="N65" t="s">
        <v>40</v>
      </c>
      <c r="O65" s="2">
        <f>O64</f>
        <v>8203.1634100280444</v>
      </c>
      <c r="P65" s="2"/>
      <c r="R65" s="81" t="s">
        <v>78</v>
      </c>
      <c r="S65" s="10">
        <f>S64</f>
        <v>421395.4201621777</v>
      </c>
      <c r="T65" s="10"/>
      <c r="U65" s="10">
        <f>U64</f>
        <v>0</v>
      </c>
      <c r="V65" s="10">
        <f>V64</f>
        <v>0</v>
      </c>
      <c r="W65" s="10"/>
      <c r="X65" s="10">
        <f>X64</f>
        <v>0</v>
      </c>
      <c r="Y65" s="10">
        <f>Y64</f>
        <v>0</v>
      </c>
      <c r="Z65" s="10">
        <f>SUM(S65:Y65)</f>
        <v>421395.4201621777</v>
      </c>
      <c r="AA65" s="43"/>
      <c r="AB65" s="43"/>
      <c r="AC65" s="43"/>
      <c r="AD65" s="43"/>
      <c r="AJ65" s="7"/>
    </row>
    <row r="66" spans="1:36" x14ac:dyDescent="0.25">
      <c r="A66" s="11" t="s">
        <v>11</v>
      </c>
      <c r="I66" s="6">
        <f>(Z65-Z39)/Z39</f>
        <v>3.2139542016217768</v>
      </c>
      <c r="K66" s="6"/>
      <c r="N66" t="s">
        <v>70</v>
      </c>
      <c r="O66" s="2">
        <f>SUM(O40:O64)</f>
        <v>163839.11179802104</v>
      </c>
      <c r="P66" s="2"/>
      <c r="AH66" s="7"/>
      <c r="AJ66" s="7"/>
    </row>
    <row r="67" spans="1:36" x14ac:dyDescent="0.25">
      <c r="A67" s="1" t="s">
        <v>12</v>
      </c>
      <c r="I67" s="12">
        <f>STDEV(AC40:AC64)</f>
        <v>0.17336621395023352</v>
      </c>
      <c r="AI67" s="7"/>
    </row>
    <row r="68" spans="1:36" x14ac:dyDescent="0.25">
      <c r="A68" s="1" t="s">
        <v>13</v>
      </c>
      <c r="I68" s="13">
        <f>((1+I66)^(1/I75))-1</f>
        <v>5.9223463326074643E-2</v>
      </c>
    </row>
    <row r="69" spans="1:36" x14ac:dyDescent="0.25">
      <c r="A69" s="1" t="s">
        <v>82</v>
      </c>
      <c r="I69" s="31">
        <f>J60</f>
        <v>30190.867793523968</v>
      </c>
      <c r="O69" s="2"/>
      <c r="P69" s="2"/>
    </row>
    <row r="70" spans="1:36" x14ac:dyDescent="0.25">
      <c r="A70" s="1" t="s">
        <v>83</v>
      </c>
      <c r="I70" s="32">
        <f>K60</f>
        <v>0.12212784297026537</v>
      </c>
    </row>
    <row r="71" spans="1:36" x14ac:dyDescent="0.25">
      <c r="A71" s="1" t="s">
        <v>42</v>
      </c>
      <c r="I71" s="2">
        <f>O66</f>
        <v>163839.11179802104</v>
      </c>
    </row>
    <row r="72" spans="1:36" x14ac:dyDescent="0.25">
      <c r="A72" s="3" t="s">
        <v>84</v>
      </c>
      <c r="I72" s="33">
        <f>I65-Z65</f>
        <v>0</v>
      </c>
    </row>
    <row r="73" spans="1:36" x14ac:dyDescent="0.25">
      <c r="A73" s="3" t="s">
        <v>148</v>
      </c>
      <c r="I73" s="33">
        <f>((SUM(AA40:AA64)))-(I65-I39)</f>
        <v>0</v>
      </c>
    </row>
    <row r="74" spans="1:36" x14ac:dyDescent="0.25">
      <c r="A74" s="3" t="s">
        <v>147</v>
      </c>
      <c r="I74" s="33">
        <f>(SUM(O40:O64))-I71</f>
        <v>0</v>
      </c>
    </row>
    <row r="75" spans="1:36" x14ac:dyDescent="0.25">
      <c r="A75" s="3" t="s">
        <v>159</v>
      </c>
      <c r="I75" s="3">
        <f>COUNTA(I40:I64)</f>
        <v>25</v>
      </c>
    </row>
    <row r="76" spans="1:36" x14ac:dyDescent="0.25">
      <c r="B76" s="2"/>
      <c r="D76" s="2"/>
      <c r="E76" s="2"/>
      <c r="G76" s="2"/>
      <c r="H76" s="2"/>
      <c r="I76" s="2"/>
    </row>
    <row r="78" spans="1:36" x14ac:dyDescent="0.25">
      <c r="B78" s="62"/>
      <c r="C78" s="62"/>
      <c r="D78" s="62"/>
      <c r="E78" s="62"/>
      <c r="G78" s="62"/>
      <c r="H78" s="62"/>
      <c r="I78" s="62"/>
    </row>
    <row r="79" spans="1:36" x14ac:dyDescent="0.25">
      <c r="B79" s="2"/>
      <c r="D79" s="2"/>
      <c r="E79" s="2"/>
      <c r="G79" s="2"/>
      <c r="H79" s="2"/>
      <c r="I79" s="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7"/>
  <sheetViews>
    <sheetView topLeftCell="A21" workbookViewId="0">
      <selection activeCell="A28" sqref="A28:XFD31"/>
    </sheetView>
  </sheetViews>
  <sheetFormatPr defaultColWidth="8.85546875" defaultRowHeight="15" x14ac:dyDescent="0.25"/>
  <cols>
    <col min="2" max="2" width="15.85546875" customWidth="1"/>
    <col min="3" max="3" width="14.7109375" customWidth="1"/>
    <col min="4" max="4" width="13.42578125" customWidth="1"/>
  </cols>
  <sheetData>
    <row r="1" spans="1:4" ht="60" x14ac:dyDescent="0.25">
      <c r="B1" s="8" t="str">
        <f>Summary!B5</f>
        <v>Rebalance at 5% Thresholds</v>
      </c>
      <c r="C1" s="8" t="str">
        <f>Summary!C5</f>
        <v>No Rebalancing</v>
      </c>
      <c r="D1" s="8" t="str">
        <f>Summary!D5</f>
        <v>Panic and Sell When S&amp;P 500 Falls &gt; 20%</v>
      </c>
    </row>
    <row r="2" spans="1:4" x14ac:dyDescent="0.25">
      <c r="A2" t="s">
        <v>113</v>
      </c>
      <c r="B2" s="63">
        <f>'Non-Rebalanced Portfolio'!I39</f>
        <v>100000</v>
      </c>
      <c r="C2" s="2">
        <f>'Non-Rebalanced Portfolio'!I39</f>
        <v>100000</v>
      </c>
      <c r="D2" s="63">
        <f>'Panic Portfolio'!I39</f>
        <v>100000</v>
      </c>
    </row>
    <row r="3" spans="1:4" x14ac:dyDescent="0.25">
      <c r="A3">
        <f>'Rebalanced Portfolio'!A40</f>
        <v>1992</v>
      </c>
      <c r="B3" s="2">
        <f>'Rebalanced Portfolio'!I40</f>
        <v>105621.6</v>
      </c>
      <c r="C3" s="2">
        <f>'Non-Rebalanced Portfolio'!I40</f>
        <v>105621.6</v>
      </c>
      <c r="D3" s="63">
        <f>'Panic Portfolio'!I40</f>
        <v>105621.6</v>
      </c>
    </row>
    <row r="4" spans="1:4" x14ac:dyDescent="0.25">
      <c r="A4">
        <f>'Rebalanced Portfolio'!A41</f>
        <v>1993</v>
      </c>
      <c r="B4" s="2">
        <f>'Rebalanced Portfolio'!I41</f>
        <v>121313.533872</v>
      </c>
      <c r="C4" s="2">
        <f>'Non-Rebalanced Portfolio'!I41</f>
        <v>121313.533872</v>
      </c>
      <c r="D4" s="63">
        <f>'Panic Portfolio'!I41</f>
        <v>121313.533872</v>
      </c>
    </row>
    <row r="5" spans="1:4" x14ac:dyDescent="0.25">
      <c r="A5">
        <f>'Rebalanced Portfolio'!A42</f>
        <v>1994</v>
      </c>
      <c r="B5" s="2">
        <f>'Rebalanced Portfolio'!I42</f>
        <v>121224.85224919982</v>
      </c>
      <c r="C5" s="2">
        <f>'Non-Rebalanced Portfolio'!I42</f>
        <v>121224.85224919982</v>
      </c>
      <c r="D5" s="63">
        <f>'Panic Portfolio'!I42</f>
        <v>121224.85224919982</v>
      </c>
    </row>
    <row r="6" spans="1:4" x14ac:dyDescent="0.25">
      <c r="A6">
        <f>'Rebalanced Portfolio'!A43</f>
        <v>1995</v>
      </c>
      <c r="B6" s="2">
        <f>'Rebalanced Portfolio'!I43</f>
        <v>151652.98368925077</v>
      </c>
      <c r="C6" s="2">
        <f>'Non-Rebalanced Portfolio'!I43</f>
        <v>151652.98368925077</v>
      </c>
      <c r="D6" s="63">
        <f>'Panic Portfolio'!I43</f>
        <v>151652.98368925077</v>
      </c>
    </row>
    <row r="7" spans="1:4" x14ac:dyDescent="0.25">
      <c r="A7">
        <f>'Rebalanced Portfolio'!A44</f>
        <v>1996</v>
      </c>
      <c r="B7" s="2">
        <f>'Rebalanced Portfolio'!I44</f>
        <v>172386.38549269008</v>
      </c>
      <c r="C7" s="2">
        <f>'Non-Rebalanced Portfolio'!I44</f>
        <v>172386.38549269008</v>
      </c>
      <c r="D7" s="63">
        <f>'Panic Portfolio'!I44</f>
        <v>172386.38549269008</v>
      </c>
    </row>
    <row r="8" spans="1:4" x14ac:dyDescent="0.25">
      <c r="A8">
        <f>'Rebalanced Portfolio'!A45</f>
        <v>1997</v>
      </c>
      <c r="B8" s="2">
        <f>'Rebalanced Portfolio'!I45</f>
        <v>202245.60371026443</v>
      </c>
      <c r="C8" s="2">
        <f>'Non-Rebalanced Portfolio'!I45</f>
        <v>205448.25476914283</v>
      </c>
      <c r="D8" s="63">
        <f>'Panic Portfolio'!I45</f>
        <v>205448.25476914283</v>
      </c>
    </row>
    <row r="9" spans="1:4" x14ac:dyDescent="0.25">
      <c r="A9">
        <f>'Rebalanced Portfolio'!A46</f>
        <v>1998</v>
      </c>
      <c r="B9" s="2">
        <f>'Rebalanced Portfolio'!I46</f>
        <v>231072.91923599687</v>
      </c>
      <c r="C9" s="2">
        <f>'Non-Rebalanced Portfolio'!I46</f>
        <v>235805.80753289271</v>
      </c>
      <c r="D9" s="63">
        <f>'Panic Portfolio'!I46</f>
        <v>235805.80753289271</v>
      </c>
    </row>
    <row r="10" spans="1:4" x14ac:dyDescent="0.25">
      <c r="A10">
        <f>'Rebalanced Portfolio'!A47</f>
        <v>1999</v>
      </c>
      <c r="B10" s="2">
        <f>'Rebalanced Portfolio'!I47</f>
        <v>229885.05423372635</v>
      </c>
      <c r="C10" s="2">
        <f>'Non-Rebalanced Portfolio'!I47</f>
        <v>275068.19992598542</v>
      </c>
      <c r="D10" s="63">
        <f>'Panic Portfolio'!I47</f>
        <v>275068.19992598542</v>
      </c>
    </row>
    <row r="11" spans="1:4" x14ac:dyDescent="0.25">
      <c r="A11">
        <f>'Rebalanced Portfolio'!A48</f>
        <v>2000</v>
      </c>
      <c r="B11" s="2">
        <f>'Rebalanced Portfolio'!I48</f>
        <v>234104.13463407796</v>
      </c>
      <c r="C11" s="2">
        <f>'Non-Rebalanced Portfolio'!I48</f>
        <v>276653.10459479189</v>
      </c>
      <c r="D11" s="63">
        <f>'Panic Portfolio'!I48</f>
        <v>276653.10459479189</v>
      </c>
    </row>
    <row r="12" spans="1:4" x14ac:dyDescent="0.25">
      <c r="A12">
        <f>'Rebalanced Portfolio'!A49</f>
        <v>2001</v>
      </c>
      <c r="B12" s="2">
        <f>'Rebalanced Portfolio'!I49</f>
        <v>228158.08892471439</v>
      </c>
      <c r="C12" s="2">
        <f>'Non-Rebalanced Portfolio'!I49</f>
        <v>265107.05553144164</v>
      </c>
      <c r="D12" s="63">
        <f>'Panic Portfolio'!I49</f>
        <v>265107.05553144164</v>
      </c>
    </row>
    <row r="13" spans="1:4" x14ac:dyDescent="0.25">
      <c r="A13">
        <f>'Rebalanced Portfolio'!A50</f>
        <v>2002</v>
      </c>
      <c r="B13" s="2">
        <f>'Rebalanced Portfolio'!I50</f>
        <v>205587.77813592594</v>
      </c>
      <c r="C13" s="2">
        <f>'Non-Rebalanced Portfolio'!I50</f>
        <v>233056.55628166997</v>
      </c>
      <c r="D13" s="63">
        <f>'Panic Portfolio'!I50</f>
        <v>233056.55628166997</v>
      </c>
    </row>
    <row r="14" spans="1:4" x14ac:dyDescent="0.25">
      <c r="A14">
        <f>'Rebalanced Portfolio'!A51</f>
        <v>2003</v>
      </c>
      <c r="B14" s="2">
        <f>'Rebalanced Portfolio'!I51</f>
        <v>259760.5688502987</v>
      </c>
      <c r="C14" s="2">
        <f>'Non-Rebalanced Portfolio'!I51</f>
        <v>294815.01967029291</v>
      </c>
      <c r="D14" s="63">
        <f>'Panic Portfolio'!I51</f>
        <v>242308.90156605229</v>
      </c>
    </row>
    <row r="15" spans="1:4" x14ac:dyDescent="0.25">
      <c r="A15">
        <f>'Rebalanced Portfolio'!A52</f>
        <v>2004</v>
      </c>
      <c r="B15" s="2">
        <f>'Rebalanced Portfolio'!I52</f>
        <v>295211.91200528096</v>
      </c>
      <c r="C15" s="2">
        <f>'Non-Rebalanced Portfolio'!I52</f>
        <v>337525.30258681928</v>
      </c>
      <c r="D15" s="63">
        <f>'Panic Portfolio'!I52</f>
        <v>275378.49352508242</v>
      </c>
    </row>
    <row r="16" spans="1:4" x14ac:dyDescent="0.25">
      <c r="A16">
        <f>'Rebalanced Portfolio'!A53</f>
        <v>2005</v>
      </c>
      <c r="B16" s="2">
        <f>'Rebalanced Portfolio'!I53</f>
        <v>320684.47589146788</v>
      </c>
      <c r="C16" s="2">
        <f>'Non-Rebalanced Portfolio'!I53</f>
        <v>367306.72053316666</v>
      </c>
      <c r="D16" s="63">
        <f>'Panic Portfolio'!I53</f>
        <v>299139.71718828636</v>
      </c>
    </row>
    <row r="17" spans="1:4" x14ac:dyDescent="0.25">
      <c r="A17">
        <f>'Rebalanced Portfolio'!A54</f>
        <v>2006</v>
      </c>
      <c r="B17" s="2">
        <f>'Rebalanced Portfolio'!I54</f>
        <v>367910.32779619086</v>
      </c>
      <c r="C17" s="2">
        <f>'Non-Rebalanced Portfolio'!I54</f>
        <v>419768.52339736943</v>
      </c>
      <c r="D17" s="63">
        <f>'Panic Portfolio'!I54</f>
        <v>343192.7632345063</v>
      </c>
    </row>
    <row r="18" spans="1:4" x14ac:dyDescent="0.25">
      <c r="A18">
        <f>'Rebalanced Portfolio'!A55</f>
        <v>2007</v>
      </c>
      <c r="B18" s="2">
        <f>'Rebalanced Portfolio'!I55</f>
        <v>395791.30825724179</v>
      </c>
      <c r="C18" s="2">
        <f>'Non-Rebalanced Portfolio'!I55</f>
        <v>448421.91242156219</v>
      </c>
      <c r="D18" s="63">
        <f>'Panic Portfolio'!I55</f>
        <v>370561.32862730802</v>
      </c>
    </row>
    <row r="19" spans="1:4" x14ac:dyDescent="0.25">
      <c r="A19">
        <f>'Rebalanced Portfolio'!A56</f>
        <v>2008</v>
      </c>
      <c r="B19" s="2">
        <f>'Rebalanced Portfolio'!I56</f>
        <v>289503.30013862246</v>
      </c>
      <c r="C19" s="2">
        <f>'Non-Rebalanced Portfolio'!I56</f>
        <v>304677.17628769233</v>
      </c>
      <c r="D19" s="63">
        <f>'Panic Portfolio'!I56</f>
        <v>259263.53763210637</v>
      </c>
    </row>
    <row r="20" spans="1:4" x14ac:dyDescent="0.25">
      <c r="A20">
        <f>'Rebalanced Portfolio'!A57</f>
        <v>2009</v>
      </c>
      <c r="B20" s="2">
        <f>'Rebalanced Portfolio'!I57</f>
        <v>364999.39174217213</v>
      </c>
      <c r="C20" s="2">
        <f>'Non-Rebalanced Portfolio'!I57</f>
        <v>387172.9433692515</v>
      </c>
      <c r="D20" s="63">
        <f>'Panic Portfolio'!I57</f>
        <v>274637.86541369028</v>
      </c>
    </row>
    <row r="21" spans="1:4" x14ac:dyDescent="0.25">
      <c r="A21">
        <f>'Rebalanced Portfolio'!A58</f>
        <v>2010</v>
      </c>
      <c r="B21" s="2">
        <f>'Rebalanced Portfolio'!I58</f>
        <v>422222.74027101108</v>
      </c>
      <c r="C21" s="2">
        <f>'Non-Rebalanced Portfolio'!I58</f>
        <v>453839.52475426311</v>
      </c>
      <c r="D21" s="63">
        <f>'Panic Portfolio'!I58</f>
        <v>315822.55971112731</v>
      </c>
    </row>
    <row r="22" spans="1:4" x14ac:dyDescent="0.25">
      <c r="A22">
        <f>'Rebalanced Portfolio'!A59</f>
        <v>2011</v>
      </c>
      <c r="B22" s="2">
        <f>'Rebalanced Portfolio'!I59</f>
        <v>418203.17978363112</v>
      </c>
      <c r="C22" s="2">
        <f>'Non-Rebalanced Portfolio'!I59</f>
        <v>448695.84079031146</v>
      </c>
      <c r="D22" s="63">
        <f>'Panic Portfolio'!I59</f>
        <v>312371.67835680407</v>
      </c>
    </row>
    <row r="23" spans="1:4" x14ac:dyDescent="0.25">
      <c r="A23">
        <f>'Rebalanced Portfolio'!A60</f>
        <v>2012</v>
      </c>
      <c r="B23" s="2">
        <f>'Rebalanced Portfolio'!I60</f>
        <v>470895.56443487655</v>
      </c>
      <c r="C23" s="2">
        <f>'Non-Rebalanced Portfolio'!I60</f>
        <v>510290.2215134966</v>
      </c>
      <c r="D23" s="63">
        <f>'Panic Portfolio'!I60</f>
        <v>352641.90211296041</v>
      </c>
    </row>
    <row r="24" spans="1:4" x14ac:dyDescent="0.25">
      <c r="A24">
        <f>'Rebalanced Portfolio'!A61</f>
        <v>2013</v>
      </c>
      <c r="B24" s="2">
        <f>'Rebalanced Portfolio'!I61</f>
        <v>564332.44319260318</v>
      </c>
      <c r="C24" s="2">
        <f>'Non-Rebalanced Portfolio'!I61</f>
        <v>635711.48628505913</v>
      </c>
      <c r="D24" s="63">
        <f>'Panic Portfolio'!I61</f>
        <v>426158.92981952662</v>
      </c>
    </row>
    <row r="25" spans="1:4" x14ac:dyDescent="0.25">
      <c r="A25">
        <f>'Rebalanced Portfolio'!A62</f>
        <v>2014</v>
      </c>
      <c r="B25" s="2">
        <f>'Rebalanced Portfolio'!I62</f>
        <v>604055.80386893055</v>
      </c>
      <c r="C25" s="2">
        <f>'Non-Rebalanced Portfolio'!I62</f>
        <v>694461.66344883118</v>
      </c>
      <c r="D25" s="63">
        <f>'Panic Portfolio'!I62</f>
        <v>460413.89359848504</v>
      </c>
    </row>
    <row r="26" spans="1:4" x14ac:dyDescent="0.25">
      <c r="A26">
        <f>'Rebalanced Portfolio'!A63</f>
        <v>2015</v>
      </c>
      <c r="B26" s="2">
        <f>'Rebalanced Portfolio'!I63</f>
        <v>597308.90477104369</v>
      </c>
      <c r="C26" s="2">
        <f>'Non-Rebalanced Portfolio'!I63</f>
        <v>685819.5383221677</v>
      </c>
      <c r="D26" s="63">
        <f>'Panic Portfolio'!I63</f>
        <v>455153.3908601221</v>
      </c>
    </row>
    <row r="27" spans="1:4" x14ac:dyDescent="0.25">
      <c r="A27">
        <f>'Rebalanced Portfolio'!A64</f>
        <v>2016</v>
      </c>
      <c r="B27" s="2">
        <f>'Rebalanced Portfolio'!I64</f>
        <v>646517.00227258797</v>
      </c>
      <c r="C27" s="2">
        <f>'Non-Rebalanced Portfolio'!I64</f>
        <v>756722.99171532143</v>
      </c>
      <c r="D27" s="63">
        <f>'Panic Portfolio'!I64</f>
        <v>497564.82244377956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
  <sheetViews>
    <sheetView workbookViewId="0">
      <selection activeCell="B2" sqref="B2"/>
    </sheetView>
  </sheetViews>
  <sheetFormatPr defaultColWidth="8.85546875" defaultRowHeight="15" x14ac:dyDescent="0.25"/>
  <cols>
    <col min="1" max="1" width="37.140625" bestFit="1" customWidth="1"/>
    <col min="2" max="2" width="10.85546875" bestFit="1" customWidth="1"/>
  </cols>
  <sheetData>
    <row r="2" spans="1:2" x14ac:dyDescent="0.25">
      <c r="A2" t="s">
        <v>35</v>
      </c>
      <c r="B2" s="2">
        <f>Summary!B6</f>
        <v>646517.00227258797</v>
      </c>
    </row>
    <row r="3" spans="1:2" x14ac:dyDescent="0.25">
      <c r="A3" t="s">
        <v>142</v>
      </c>
      <c r="B3" s="2">
        <f>Summary!D6</f>
        <v>497564.82244377956</v>
      </c>
    </row>
  </sheetData>
  <pageMargins left="0.7" right="0.7" top="0.75" bottom="0.75" header="0.3" footer="0.3"/>
  <pageSetup orientation="portrait"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3"/>
  <sheetViews>
    <sheetView workbookViewId="0">
      <selection activeCell="A14" sqref="A14"/>
    </sheetView>
  </sheetViews>
  <sheetFormatPr defaultColWidth="8.85546875" defaultRowHeight="15" x14ac:dyDescent="0.25"/>
  <sheetData>
    <row r="1" spans="1:2" x14ac:dyDescent="0.25">
      <c r="A1" s="20" t="s">
        <v>90</v>
      </c>
    </row>
    <row r="3" spans="1:2" x14ac:dyDescent="0.25">
      <c r="A3" t="s">
        <v>43</v>
      </c>
    </row>
    <row r="5" spans="1:2" x14ac:dyDescent="0.25">
      <c r="A5" s="37" t="s">
        <v>93</v>
      </c>
    </row>
    <row r="6" spans="1:2" x14ac:dyDescent="0.25">
      <c r="A6" t="s">
        <v>95</v>
      </c>
    </row>
    <row r="7" spans="1:2" x14ac:dyDescent="0.25">
      <c r="A7" t="s">
        <v>59</v>
      </c>
    </row>
    <row r="8" spans="1:2" x14ac:dyDescent="0.25">
      <c r="A8" t="s">
        <v>94</v>
      </c>
    </row>
    <row r="9" spans="1:2" x14ac:dyDescent="0.25">
      <c r="A9" t="s">
        <v>58</v>
      </c>
    </row>
    <row r="10" spans="1:2" x14ac:dyDescent="0.25">
      <c r="A10" t="s">
        <v>96</v>
      </c>
    </row>
    <row r="11" spans="1:2" x14ac:dyDescent="0.25">
      <c r="A11" s="35" t="s">
        <v>97</v>
      </c>
    </row>
    <row r="12" spans="1:2" x14ac:dyDescent="0.25">
      <c r="A12" s="35" t="s">
        <v>98</v>
      </c>
    </row>
    <row r="14" spans="1:2" x14ac:dyDescent="0.25">
      <c r="A14" s="37" t="s">
        <v>100</v>
      </c>
    </row>
    <row r="15" spans="1:2" x14ac:dyDescent="0.25">
      <c r="A15" s="35" t="s">
        <v>99</v>
      </c>
      <c r="B15" s="35"/>
    </row>
    <row r="16" spans="1:2" x14ac:dyDescent="0.25">
      <c r="A16" s="36">
        <v>0.2</v>
      </c>
      <c r="B16" s="35" t="s">
        <v>66</v>
      </c>
    </row>
    <row r="17" spans="1:2" x14ac:dyDescent="0.25">
      <c r="A17" s="36">
        <v>0.2</v>
      </c>
      <c r="B17" s="35" t="s">
        <v>67</v>
      </c>
    </row>
    <row r="18" spans="1:2" x14ac:dyDescent="0.25">
      <c r="A18" s="36">
        <v>0.1</v>
      </c>
      <c r="B18" s="35" t="s">
        <v>68</v>
      </c>
    </row>
    <row r="19" spans="1:2" x14ac:dyDescent="0.25">
      <c r="A19" s="36">
        <v>0.15</v>
      </c>
      <c r="B19" s="35" t="s">
        <v>69</v>
      </c>
    </row>
    <row r="20" spans="1:2" x14ac:dyDescent="0.25">
      <c r="A20" s="36">
        <v>0.05</v>
      </c>
      <c r="B20" s="35" t="s">
        <v>45</v>
      </c>
    </row>
    <row r="21" spans="1:2" x14ac:dyDescent="0.25">
      <c r="A21" s="36">
        <v>0.3</v>
      </c>
      <c r="B21" s="35" t="s">
        <v>63</v>
      </c>
    </row>
    <row r="22" spans="1:2" x14ac:dyDescent="0.25">
      <c r="A22" s="36">
        <f>SUM(A16:A21)</f>
        <v>1</v>
      </c>
      <c r="B22" s="35" t="s">
        <v>70</v>
      </c>
    </row>
    <row r="24" spans="1:2" x14ac:dyDescent="0.25">
      <c r="A24" s="37" t="s">
        <v>101</v>
      </c>
    </row>
    <row r="25" spans="1:2" x14ac:dyDescent="0.25">
      <c r="A25" t="s">
        <v>102</v>
      </c>
    </row>
    <row r="26" spans="1:2" x14ac:dyDescent="0.25">
      <c r="A26" t="s">
        <v>103</v>
      </c>
    </row>
    <row r="29" spans="1:2" x14ac:dyDescent="0.25">
      <c r="A29" s="47" t="s">
        <v>104</v>
      </c>
    </row>
    <row r="30" spans="1:2" x14ac:dyDescent="0.25">
      <c r="A30" t="s">
        <v>26</v>
      </c>
    </row>
    <row r="31" spans="1:2" x14ac:dyDescent="0.25">
      <c r="A31" t="s">
        <v>27</v>
      </c>
    </row>
    <row r="32" spans="1:2" x14ac:dyDescent="0.25">
      <c r="A32" t="s">
        <v>28</v>
      </c>
    </row>
    <row r="33" spans="1:1" x14ac:dyDescent="0.25">
      <c r="A33" t="s">
        <v>29</v>
      </c>
    </row>
    <row r="36" spans="1:1" x14ac:dyDescent="0.25">
      <c r="A36" s="47" t="s">
        <v>143</v>
      </c>
    </row>
    <row r="37" spans="1:1" x14ac:dyDescent="0.25">
      <c r="A37" s="48" t="s">
        <v>141</v>
      </c>
    </row>
    <row r="38" spans="1:1" x14ac:dyDescent="0.25">
      <c r="A38" t="s">
        <v>44</v>
      </c>
    </row>
    <row r="39" spans="1:1" x14ac:dyDescent="0.25">
      <c r="A39" t="s">
        <v>149</v>
      </c>
    </row>
    <row r="40" spans="1:1" x14ac:dyDescent="0.25">
      <c r="A40" t="s">
        <v>150</v>
      </c>
    </row>
    <row r="41" spans="1:1" x14ac:dyDescent="0.25">
      <c r="A41" t="s">
        <v>151</v>
      </c>
    </row>
    <row r="43" spans="1:1" x14ac:dyDescent="0.25">
      <c r="A43" t="s">
        <v>85</v>
      </c>
    </row>
  </sheetData>
  <hyperlinks>
    <hyperlink ref="A37"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4"/>
  <sheetViews>
    <sheetView tabSelected="1" workbookViewId="0">
      <selection activeCell="B6" sqref="B6:B9"/>
    </sheetView>
  </sheetViews>
  <sheetFormatPr defaultColWidth="12.42578125" defaultRowHeight="15" x14ac:dyDescent="0.25"/>
  <cols>
    <col min="1" max="1" width="50.140625" customWidth="1"/>
    <col min="2" max="3" width="14.85546875" customWidth="1"/>
    <col min="4" max="4" width="15.85546875" customWidth="1"/>
    <col min="5" max="5" width="5.28515625" customWidth="1"/>
    <col min="6" max="8" width="0" hidden="1" customWidth="1"/>
    <col min="9" max="9" width="15.85546875" customWidth="1"/>
    <col min="10" max="11" width="0" hidden="1" customWidth="1"/>
    <col min="12" max="12" width="6.28515625" customWidth="1"/>
    <col min="14" max="15" width="12.42578125" customWidth="1"/>
    <col min="257" max="257" width="50.140625" customWidth="1"/>
    <col min="258" max="258" width="14.85546875" customWidth="1"/>
    <col min="259" max="259" width="15.85546875" customWidth="1"/>
    <col min="513" max="513" width="50.140625" customWidth="1"/>
    <col min="514" max="514" width="14.85546875" customWidth="1"/>
    <col min="515" max="515" width="15.85546875" customWidth="1"/>
    <col min="769" max="769" width="50.140625" customWidth="1"/>
    <col min="770" max="770" width="14.85546875" customWidth="1"/>
    <col min="771" max="771" width="15.85546875" customWidth="1"/>
    <col min="1025" max="1025" width="50.140625" customWidth="1"/>
    <col min="1026" max="1026" width="14.85546875" customWidth="1"/>
    <col min="1027" max="1027" width="15.85546875" customWidth="1"/>
    <col min="1281" max="1281" width="50.140625" customWidth="1"/>
    <col min="1282" max="1282" width="14.85546875" customWidth="1"/>
    <col min="1283" max="1283" width="15.85546875" customWidth="1"/>
    <col min="1537" max="1537" width="50.140625" customWidth="1"/>
    <col min="1538" max="1538" width="14.85546875" customWidth="1"/>
    <col min="1539" max="1539" width="15.85546875" customWidth="1"/>
    <col min="1793" max="1793" width="50.140625" customWidth="1"/>
    <col min="1794" max="1794" width="14.85546875" customWidth="1"/>
    <col min="1795" max="1795" width="15.85546875" customWidth="1"/>
    <col min="2049" max="2049" width="50.140625" customWidth="1"/>
    <col min="2050" max="2050" width="14.85546875" customWidth="1"/>
    <col min="2051" max="2051" width="15.85546875" customWidth="1"/>
    <col min="2305" max="2305" width="50.140625" customWidth="1"/>
    <col min="2306" max="2306" width="14.85546875" customWidth="1"/>
    <col min="2307" max="2307" width="15.85546875" customWidth="1"/>
    <col min="2561" max="2561" width="50.140625" customWidth="1"/>
    <col min="2562" max="2562" width="14.85546875" customWidth="1"/>
    <col min="2563" max="2563" width="15.85546875" customWidth="1"/>
    <col min="2817" max="2817" width="50.140625" customWidth="1"/>
    <col min="2818" max="2818" width="14.85546875" customWidth="1"/>
    <col min="2819" max="2819" width="15.85546875" customWidth="1"/>
    <col min="3073" max="3073" width="50.140625" customWidth="1"/>
    <col min="3074" max="3074" width="14.85546875" customWidth="1"/>
    <col min="3075" max="3075" width="15.85546875" customWidth="1"/>
    <col min="3329" max="3329" width="50.140625" customWidth="1"/>
    <col min="3330" max="3330" width="14.85546875" customWidth="1"/>
    <col min="3331" max="3331" width="15.85546875" customWidth="1"/>
    <col min="3585" max="3585" width="50.140625" customWidth="1"/>
    <col min="3586" max="3586" width="14.85546875" customWidth="1"/>
    <col min="3587" max="3587" width="15.85546875" customWidth="1"/>
    <col min="3841" max="3841" width="50.140625" customWidth="1"/>
    <col min="3842" max="3842" width="14.85546875" customWidth="1"/>
    <col min="3843" max="3843" width="15.85546875" customWidth="1"/>
    <col min="4097" max="4097" width="50.140625" customWidth="1"/>
    <col min="4098" max="4098" width="14.85546875" customWidth="1"/>
    <col min="4099" max="4099" width="15.85546875" customWidth="1"/>
    <col min="4353" max="4353" width="50.140625" customWidth="1"/>
    <col min="4354" max="4354" width="14.85546875" customWidth="1"/>
    <col min="4355" max="4355" width="15.85546875" customWidth="1"/>
    <col min="4609" max="4609" width="50.140625" customWidth="1"/>
    <col min="4610" max="4610" width="14.85546875" customWidth="1"/>
    <col min="4611" max="4611" width="15.85546875" customWidth="1"/>
    <col min="4865" max="4865" width="50.140625" customWidth="1"/>
    <col min="4866" max="4866" width="14.85546875" customWidth="1"/>
    <col min="4867" max="4867" width="15.85546875" customWidth="1"/>
    <col min="5121" max="5121" width="50.140625" customWidth="1"/>
    <col min="5122" max="5122" width="14.85546875" customWidth="1"/>
    <col min="5123" max="5123" width="15.85546875" customWidth="1"/>
    <col min="5377" max="5377" width="50.140625" customWidth="1"/>
    <col min="5378" max="5378" width="14.85546875" customWidth="1"/>
    <col min="5379" max="5379" width="15.85546875" customWidth="1"/>
    <col min="5633" max="5633" width="50.140625" customWidth="1"/>
    <col min="5634" max="5634" width="14.85546875" customWidth="1"/>
    <col min="5635" max="5635" width="15.85546875" customWidth="1"/>
    <col min="5889" max="5889" width="50.140625" customWidth="1"/>
    <col min="5890" max="5890" width="14.85546875" customWidth="1"/>
    <col min="5891" max="5891" width="15.85546875" customWidth="1"/>
    <col min="6145" max="6145" width="50.140625" customWidth="1"/>
    <col min="6146" max="6146" width="14.85546875" customWidth="1"/>
    <col min="6147" max="6147" width="15.85546875" customWidth="1"/>
    <col min="6401" max="6401" width="50.140625" customWidth="1"/>
    <col min="6402" max="6402" width="14.85546875" customWidth="1"/>
    <col min="6403" max="6403" width="15.85546875" customWidth="1"/>
    <col min="6657" max="6657" width="50.140625" customWidth="1"/>
    <col min="6658" max="6658" width="14.85546875" customWidth="1"/>
    <col min="6659" max="6659" width="15.85546875" customWidth="1"/>
    <col min="6913" max="6913" width="50.140625" customWidth="1"/>
    <col min="6914" max="6914" width="14.85546875" customWidth="1"/>
    <col min="6915" max="6915" width="15.85546875" customWidth="1"/>
    <col min="7169" max="7169" width="50.140625" customWidth="1"/>
    <col min="7170" max="7170" width="14.85546875" customWidth="1"/>
    <col min="7171" max="7171" width="15.85546875" customWidth="1"/>
    <col min="7425" max="7425" width="50.140625" customWidth="1"/>
    <col min="7426" max="7426" width="14.85546875" customWidth="1"/>
    <col min="7427" max="7427" width="15.85546875" customWidth="1"/>
    <col min="7681" max="7681" width="50.140625" customWidth="1"/>
    <col min="7682" max="7682" width="14.85546875" customWidth="1"/>
    <col min="7683" max="7683" width="15.85546875" customWidth="1"/>
    <col min="7937" max="7937" width="50.140625" customWidth="1"/>
    <col min="7938" max="7938" width="14.85546875" customWidth="1"/>
    <col min="7939" max="7939" width="15.85546875" customWidth="1"/>
    <col min="8193" max="8193" width="50.140625" customWidth="1"/>
    <col min="8194" max="8194" width="14.85546875" customWidth="1"/>
    <col min="8195" max="8195" width="15.85546875" customWidth="1"/>
    <col min="8449" max="8449" width="50.140625" customWidth="1"/>
    <col min="8450" max="8450" width="14.85546875" customWidth="1"/>
    <col min="8451" max="8451" width="15.85546875" customWidth="1"/>
    <col min="8705" max="8705" width="50.140625" customWidth="1"/>
    <col min="8706" max="8706" width="14.85546875" customWidth="1"/>
    <col min="8707" max="8707" width="15.85546875" customWidth="1"/>
    <col min="8961" max="8961" width="50.140625" customWidth="1"/>
    <col min="8962" max="8962" width="14.85546875" customWidth="1"/>
    <col min="8963" max="8963" width="15.85546875" customWidth="1"/>
    <col min="9217" max="9217" width="50.140625" customWidth="1"/>
    <col min="9218" max="9218" width="14.85546875" customWidth="1"/>
    <col min="9219" max="9219" width="15.85546875" customWidth="1"/>
    <col min="9473" max="9473" width="50.140625" customWidth="1"/>
    <col min="9474" max="9474" width="14.85546875" customWidth="1"/>
    <col min="9475" max="9475" width="15.85546875" customWidth="1"/>
    <col min="9729" max="9729" width="50.140625" customWidth="1"/>
    <col min="9730" max="9730" width="14.85546875" customWidth="1"/>
    <col min="9731" max="9731" width="15.85546875" customWidth="1"/>
    <col min="9985" max="9985" width="50.140625" customWidth="1"/>
    <col min="9986" max="9986" width="14.85546875" customWidth="1"/>
    <col min="9987" max="9987" width="15.85546875" customWidth="1"/>
    <col min="10241" max="10241" width="50.140625" customWidth="1"/>
    <col min="10242" max="10242" width="14.85546875" customWidth="1"/>
    <col min="10243" max="10243" width="15.85546875" customWidth="1"/>
    <col min="10497" max="10497" width="50.140625" customWidth="1"/>
    <col min="10498" max="10498" width="14.85546875" customWidth="1"/>
    <col min="10499" max="10499" width="15.85546875" customWidth="1"/>
    <col min="10753" max="10753" width="50.140625" customWidth="1"/>
    <col min="10754" max="10754" width="14.85546875" customWidth="1"/>
    <col min="10755" max="10755" width="15.85546875" customWidth="1"/>
    <col min="11009" max="11009" width="50.140625" customWidth="1"/>
    <col min="11010" max="11010" width="14.85546875" customWidth="1"/>
    <col min="11011" max="11011" width="15.85546875" customWidth="1"/>
    <col min="11265" max="11265" width="50.140625" customWidth="1"/>
    <col min="11266" max="11266" width="14.85546875" customWidth="1"/>
    <col min="11267" max="11267" width="15.85546875" customWidth="1"/>
    <col min="11521" max="11521" width="50.140625" customWidth="1"/>
    <col min="11522" max="11522" width="14.85546875" customWidth="1"/>
    <col min="11523" max="11523" width="15.85546875" customWidth="1"/>
    <col min="11777" max="11777" width="50.140625" customWidth="1"/>
    <col min="11778" max="11778" width="14.85546875" customWidth="1"/>
    <col min="11779" max="11779" width="15.85546875" customWidth="1"/>
    <col min="12033" max="12033" width="50.140625" customWidth="1"/>
    <col min="12034" max="12034" width="14.85546875" customWidth="1"/>
    <col min="12035" max="12035" width="15.85546875" customWidth="1"/>
    <col min="12289" max="12289" width="50.140625" customWidth="1"/>
    <col min="12290" max="12290" width="14.85546875" customWidth="1"/>
    <col min="12291" max="12291" width="15.85546875" customWidth="1"/>
    <col min="12545" max="12545" width="50.140625" customWidth="1"/>
    <col min="12546" max="12546" width="14.85546875" customWidth="1"/>
    <col min="12547" max="12547" width="15.85546875" customWidth="1"/>
    <col min="12801" max="12801" width="50.140625" customWidth="1"/>
    <col min="12802" max="12802" width="14.85546875" customWidth="1"/>
    <col min="12803" max="12803" width="15.85546875" customWidth="1"/>
    <col min="13057" max="13057" width="50.140625" customWidth="1"/>
    <col min="13058" max="13058" width="14.85546875" customWidth="1"/>
    <col min="13059" max="13059" width="15.85546875" customWidth="1"/>
    <col min="13313" max="13313" width="50.140625" customWidth="1"/>
    <col min="13314" max="13314" width="14.85546875" customWidth="1"/>
    <col min="13315" max="13315" width="15.85546875" customWidth="1"/>
    <col min="13569" max="13569" width="50.140625" customWidth="1"/>
    <col min="13570" max="13570" width="14.85546875" customWidth="1"/>
    <col min="13571" max="13571" width="15.85546875" customWidth="1"/>
    <col min="13825" max="13825" width="50.140625" customWidth="1"/>
    <col min="13826" max="13826" width="14.85546875" customWidth="1"/>
    <col min="13827" max="13827" width="15.85546875" customWidth="1"/>
    <col min="14081" max="14081" width="50.140625" customWidth="1"/>
    <col min="14082" max="14082" width="14.85546875" customWidth="1"/>
    <col min="14083" max="14083" width="15.85546875" customWidth="1"/>
    <col min="14337" max="14337" width="50.140625" customWidth="1"/>
    <col min="14338" max="14338" width="14.85546875" customWidth="1"/>
    <col min="14339" max="14339" width="15.85546875" customWidth="1"/>
    <col min="14593" max="14593" width="50.140625" customWidth="1"/>
    <col min="14594" max="14594" width="14.85546875" customWidth="1"/>
    <col min="14595" max="14595" width="15.85546875" customWidth="1"/>
    <col min="14849" max="14849" width="50.140625" customWidth="1"/>
    <col min="14850" max="14850" width="14.85546875" customWidth="1"/>
    <col min="14851" max="14851" width="15.85546875" customWidth="1"/>
    <col min="15105" max="15105" width="50.140625" customWidth="1"/>
    <col min="15106" max="15106" width="14.85546875" customWidth="1"/>
    <col min="15107" max="15107" width="15.85546875" customWidth="1"/>
    <col min="15361" max="15361" width="50.140625" customWidth="1"/>
    <col min="15362" max="15362" width="14.85546875" customWidth="1"/>
    <col min="15363" max="15363" width="15.85546875" customWidth="1"/>
    <col min="15617" max="15617" width="50.140625" customWidth="1"/>
    <col min="15618" max="15618" width="14.85546875" customWidth="1"/>
    <col min="15619" max="15619" width="15.85546875" customWidth="1"/>
    <col min="15873" max="15873" width="50.140625" customWidth="1"/>
    <col min="15874" max="15874" width="14.85546875" customWidth="1"/>
    <col min="15875" max="15875" width="15.85546875" customWidth="1"/>
    <col min="16129" max="16129" width="50.140625" customWidth="1"/>
    <col min="16130" max="16130" width="14.85546875" customWidth="1"/>
    <col min="16131" max="16131" width="15.85546875" customWidth="1"/>
  </cols>
  <sheetData>
    <row r="1" spans="1:15" x14ac:dyDescent="0.25">
      <c r="A1" s="20" t="s">
        <v>115</v>
      </c>
    </row>
    <row r="2" spans="1:15" x14ac:dyDescent="0.25">
      <c r="A2" s="20"/>
      <c r="C2" s="78"/>
    </row>
    <row r="3" spans="1:15" x14ac:dyDescent="0.25">
      <c r="A3" s="64" t="s">
        <v>176</v>
      </c>
      <c r="C3" s="78"/>
    </row>
    <row r="5" spans="1:15" ht="45" x14ac:dyDescent="0.25">
      <c r="A5" t="s">
        <v>34</v>
      </c>
      <c r="B5" s="41" t="s">
        <v>35</v>
      </c>
      <c r="C5" s="41" t="s">
        <v>127</v>
      </c>
      <c r="D5" s="41" t="s">
        <v>114</v>
      </c>
      <c r="F5" s="41" t="s">
        <v>108</v>
      </c>
      <c r="G5" s="41" t="s">
        <v>109</v>
      </c>
      <c r="H5" s="41" t="s">
        <v>110</v>
      </c>
      <c r="I5" s="41" t="s">
        <v>154</v>
      </c>
      <c r="J5" s="71" t="s">
        <v>108</v>
      </c>
      <c r="K5" s="71" t="s">
        <v>109</v>
      </c>
      <c r="L5" s="75"/>
      <c r="M5" t="s">
        <v>153</v>
      </c>
    </row>
    <row r="6" spans="1:15" x14ac:dyDescent="0.25">
      <c r="A6" s="9" t="s">
        <v>78</v>
      </c>
      <c r="B6" s="66">
        <f>'Rebalanced Portfolio'!I65</f>
        <v>646517.00227258797</v>
      </c>
      <c r="C6" s="66">
        <f>'Non-Rebalanced Portfolio'!I65</f>
        <v>756722.99171532143</v>
      </c>
      <c r="D6" s="66">
        <f>'Panic Portfolio'!I65</f>
        <v>497564.82244377956</v>
      </c>
      <c r="E6" s="42"/>
      <c r="F6" s="6">
        <f>(B6-D6)/D6</f>
        <v>0.29936236066133615</v>
      </c>
      <c r="G6" s="6">
        <f>(C6-D6)/D6</f>
        <v>0.52085307799432401</v>
      </c>
      <c r="H6" s="6">
        <f>(B6-C6)/C6</f>
        <v>-0.14563584118532091</v>
      </c>
      <c r="I6" s="66">
        <f>'Annual Rebalance Portfolio'!I65</f>
        <v>727315.30877004343</v>
      </c>
      <c r="J6" s="40">
        <f>B6-D6</f>
        <v>148952.17982880841</v>
      </c>
      <c r="K6" s="40">
        <f>C6-D6</f>
        <v>259158.16927154188</v>
      </c>
      <c r="L6" s="62"/>
    </row>
    <row r="7" spans="1:15" x14ac:dyDescent="0.25">
      <c r="A7" s="11" t="s">
        <v>36</v>
      </c>
      <c r="B7" s="69">
        <f>'Rebalanced Portfolio'!I66</f>
        <v>5.4651700227258795</v>
      </c>
      <c r="C7" s="69">
        <f>'Non-Rebalanced Portfolio'!I66</f>
        <v>6.567229917153214</v>
      </c>
      <c r="D7" s="69">
        <f>'Panic Portfolio'!I66</f>
        <v>3.9756482244377955</v>
      </c>
      <c r="F7" s="6">
        <f>(B7-D7)/D7</f>
        <v>0.37466136695198182</v>
      </c>
      <c r="G7" s="6">
        <f>(C7-D7)/D7</f>
        <v>0.65186393423474964</v>
      </c>
      <c r="H7" s="6">
        <f t="shared" ref="H7:H11" si="0">(B7-C7)/C7</f>
        <v>-0.16781198592557567</v>
      </c>
      <c r="I7" s="69">
        <f>'Annual Rebalance Portfolio'!I66</f>
        <v>6.2731530877004342</v>
      </c>
    </row>
    <row r="8" spans="1:15" x14ac:dyDescent="0.25">
      <c r="A8" s="1" t="s">
        <v>80</v>
      </c>
      <c r="B8" s="69">
        <f>'Rebalanced Portfolio'!I67</f>
        <v>0.11982419945725019</v>
      </c>
      <c r="C8" s="69">
        <f>'Non-Rebalanced Portfolio'!I67</f>
        <v>0.13252127193602248</v>
      </c>
      <c r="D8" s="69">
        <f>'Panic Portfolio'!I67</f>
        <v>0.11607953748853368</v>
      </c>
      <c r="F8" s="6">
        <f>(B8-D8)/D8</f>
        <v>3.2259449423516211E-2</v>
      </c>
      <c r="G8" s="6">
        <f>(C8-D8)/D8</f>
        <v>0.14164197069714296</v>
      </c>
      <c r="H8" s="6">
        <f t="shared" si="0"/>
        <v>-9.5811580233715818E-2</v>
      </c>
      <c r="I8" s="69">
        <f>'Annual Rebalance Portfolio'!I67</f>
        <v>0.11896679357663149</v>
      </c>
      <c r="M8" t="s">
        <v>145</v>
      </c>
      <c r="O8" s="6">
        <f>(B8-C8)/C8</f>
        <v>-9.5811580233715818E-2</v>
      </c>
    </row>
    <row r="9" spans="1:15" x14ac:dyDescent="0.25">
      <c r="A9" s="1" t="s">
        <v>37</v>
      </c>
      <c r="B9" s="69">
        <f>'Rebalanced Portfolio'!I68</f>
        <v>7.751468581892329E-2</v>
      </c>
      <c r="C9" s="69">
        <f>'Non-Rebalanced Portfolio'!I68</f>
        <v>8.4320022176404219E-2</v>
      </c>
      <c r="D9" s="69">
        <f>'Panic Portfolio'!I68</f>
        <v>6.6286686578738818E-2</v>
      </c>
      <c r="F9" s="6">
        <f>(B9-D9)/D9</f>
        <v>0.16938543498998496</v>
      </c>
      <c r="G9" s="6">
        <f>(C9-D9)/D9</f>
        <v>0.27205064136437795</v>
      </c>
      <c r="H9" s="6">
        <f t="shared" si="0"/>
        <v>-8.0708427035794908E-2</v>
      </c>
      <c r="I9" s="69">
        <f>'Annual Rebalance Portfolio'!I68</f>
        <v>8.2602209597595788E-2</v>
      </c>
      <c r="M9" t="s">
        <v>146</v>
      </c>
      <c r="O9" s="6">
        <f>B9-C9</f>
        <v>-6.8053363574809289E-3</v>
      </c>
    </row>
    <row r="10" spans="1:15" x14ac:dyDescent="0.25">
      <c r="A10" s="1" t="s">
        <v>82</v>
      </c>
      <c r="B10" s="67">
        <f>'Rebalanced Portfolio'!I69</f>
        <v>52692.384651245433</v>
      </c>
      <c r="C10" s="67">
        <f>'Non-Rebalanced Portfolio'!I69</f>
        <v>61594.380723185139</v>
      </c>
      <c r="D10" s="68">
        <f>'Panic Portfolio'!I69</f>
        <v>40270.223756156338</v>
      </c>
      <c r="F10" s="2">
        <f>B10-D10</f>
        <v>12422.160895089095</v>
      </c>
      <c r="G10" s="2">
        <f>C10-D10</f>
        <v>21324.156967028801</v>
      </c>
      <c r="H10" s="2">
        <f>B10-C10</f>
        <v>-8901.9960719397059</v>
      </c>
      <c r="I10" s="68">
        <f>'Annual Rebalance Portfolio'!I69</f>
        <v>61129.791371635569</v>
      </c>
    </row>
    <row r="11" spans="1:15" x14ac:dyDescent="0.25">
      <c r="A11" s="1" t="s">
        <v>38</v>
      </c>
      <c r="B11" s="6">
        <f>'Rebalanced Portfolio'!I70</f>
        <v>0.12599709231887543</v>
      </c>
      <c r="C11" s="6">
        <f>'Non-Rebalanced Portfolio'!I70</f>
        <v>0.1372742404179538</v>
      </c>
      <c r="D11" s="12">
        <f>'Panic Portfolio'!I70</f>
        <v>0.1289176533800801</v>
      </c>
      <c r="F11" s="6">
        <f>(B11-D11)/D11</f>
        <v>-2.2654469613980294E-2</v>
      </c>
      <c r="G11" s="6">
        <f>(C11-D11)/D11</f>
        <v>6.4821122777006218E-2</v>
      </c>
      <c r="H11" s="6">
        <f t="shared" si="0"/>
        <v>-8.2150504455484552E-2</v>
      </c>
      <c r="I11" s="12">
        <f>'Annual Rebalance Portfolio'!I70</f>
        <v>0.12970999999999991</v>
      </c>
    </row>
    <row r="12" spans="1:15" x14ac:dyDescent="0.25">
      <c r="A12" s="1" t="s">
        <v>105</v>
      </c>
      <c r="B12" s="6">
        <f>'Rebalanced Portfolio'!I74</f>
        <v>0.71527699207284356</v>
      </c>
      <c r="C12" s="6">
        <f>'Non-Rebalanced Portfolio'!I74</f>
        <v>0.85083687649744777</v>
      </c>
      <c r="D12" s="12">
        <f>'Panic Portfolio'!I74</f>
        <v>0.79041185725530427</v>
      </c>
      <c r="I12" s="12">
        <f>'Annual Rebalance Portfolio'!I74</f>
        <v>0.71547536433032621</v>
      </c>
    </row>
    <row r="13" spans="1:15" x14ac:dyDescent="0.25">
      <c r="A13" s="1" t="s">
        <v>106</v>
      </c>
      <c r="B13" s="6">
        <f>'Rebalanced Portfolio'!I75</f>
        <v>0.28472300792715649</v>
      </c>
      <c r="C13" s="6">
        <f>'Non-Rebalanced Portfolio'!I75</f>
        <v>0.14916312350255229</v>
      </c>
      <c r="D13" s="12">
        <f>'Panic Portfolio'!I75</f>
        <v>0.20958814274469575</v>
      </c>
      <c r="I13" s="12">
        <f>'Annual Rebalance Portfolio'!I75</f>
        <v>0.28452463566967379</v>
      </c>
    </row>
    <row r="14" spans="1:15" hidden="1" x14ac:dyDescent="0.25">
      <c r="A14" s="3" t="s">
        <v>107</v>
      </c>
      <c r="B14" s="58">
        <f>B12+B13</f>
        <v>1</v>
      </c>
      <c r="C14" s="58">
        <f>C12+C13</f>
        <v>1</v>
      </c>
      <c r="D14" s="58">
        <f>D12+D13</f>
        <v>1</v>
      </c>
      <c r="I14" s="58">
        <f>I12+I13</f>
        <v>1</v>
      </c>
    </row>
    <row r="15" spans="1:15" x14ac:dyDescent="0.25">
      <c r="A15" s="1"/>
      <c r="B15" s="6"/>
      <c r="C15" s="6"/>
      <c r="F15" s="41"/>
      <c r="G15" s="41"/>
      <c r="H15" s="41"/>
    </row>
    <row r="16" spans="1:15" x14ac:dyDescent="0.25">
      <c r="A16" s="1"/>
      <c r="B16" s="6"/>
      <c r="C16" s="6"/>
      <c r="F16" s="6"/>
      <c r="G16" s="6"/>
      <c r="H16" s="6"/>
    </row>
    <row r="17" spans="1:15" x14ac:dyDescent="0.25">
      <c r="B17" s="6"/>
      <c r="C17" s="6"/>
      <c r="F17" s="6"/>
      <c r="G17" s="6"/>
      <c r="H17" s="6"/>
    </row>
    <row r="18" spans="1:15" x14ac:dyDescent="0.25">
      <c r="A18" s="64" t="s">
        <v>177</v>
      </c>
      <c r="F18" s="6"/>
      <c r="G18" s="6"/>
      <c r="H18" s="6"/>
    </row>
    <row r="19" spans="1:15" x14ac:dyDescent="0.25">
      <c r="F19" s="6"/>
      <c r="G19" s="6"/>
      <c r="H19" s="6"/>
    </row>
    <row r="20" spans="1:15" ht="45" x14ac:dyDescent="0.25">
      <c r="A20" t="s">
        <v>34</v>
      </c>
      <c r="B20" s="41" t="s">
        <v>35</v>
      </c>
      <c r="C20" s="41" t="s">
        <v>127</v>
      </c>
      <c r="D20" s="41" t="s">
        <v>114</v>
      </c>
      <c r="F20" s="41" t="s">
        <v>108</v>
      </c>
      <c r="G20" s="41" t="s">
        <v>109</v>
      </c>
      <c r="H20" s="41" t="s">
        <v>108</v>
      </c>
      <c r="I20" s="41" t="str">
        <f>I5</f>
        <v>Rebalancing Annually</v>
      </c>
      <c r="J20" s="71" t="s">
        <v>108</v>
      </c>
      <c r="K20" s="71" t="s">
        <v>109</v>
      </c>
      <c r="L20" s="75"/>
      <c r="M20" t="s">
        <v>153</v>
      </c>
    </row>
    <row r="21" spans="1:15" x14ac:dyDescent="0.25">
      <c r="A21" s="9" t="s">
        <v>78</v>
      </c>
      <c r="B21" s="66">
        <f>'4.5% Withdrawals-Rebalanced'!I65</f>
        <v>265073.89706512808</v>
      </c>
      <c r="C21" s="66">
        <f>'4.5% Withdrawals-No Rebalancing'!I65</f>
        <v>266634.03670039703</v>
      </c>
      <c r="D21" s="66">
        <f>'4.5% Withdrawals-Panic'!I65</f>
        <v>163065.64073698272</v>
      </c>
      <c r="E21" s="76"/>
      <c r="F21" s="6">
        <f>(B21-D21)/D21</f>
        <v>0.62556560577148146</v>
      </c>
      <c r="G21" s="6">
        <f>(C21-D21)/D21</f>
        <v>0.6351331616846575</v>
      </c>
      <c r="H21" s="6">
        <f>(B21-C21)/C21</f>
        <v>-5.8512396038244612E-3</v>
      </c>
      <c r="I21" s="66">
        <f>'4.5% Withdrawals-Annual Rebal'!I65</f>
        <v>323562.08407179476</v>
      </c>
      <c r="J21" s="40">
        <f>B21-D21</f>
        <v>102008.25632814536</v>
      </c>
      <c r="K21" s="40">
        <f>C21-D21</f>
        <v>103568.39596341431</v>
      </c>
      <c r="L21" s="62"/>
    </row>
    <row r="22" spans="1:15" x14ac:dyDescent="0.25">
      <c r="A22" s="11" t="s">
        <v>36</v>
      </c>
      <c r="B22" s="69">
        <f>'4.5% Withdrawals-Rebalanced'!I66</f>
        <v>1.6507389706512807</v>
      </c>
      <c r="C22" s="69">
        <f>'4.5% Withdrawals-No Rebalancing'!I66</f>
        <v>1.6663403670039703</v>
      </c>
      <c r="D22" s="69">
        <f>'4.5% Withdrawals-Panic'!I66</f>
        <v>0.6306564073698272</v>
      </c>
      <c r="E22" s="76"/>
      <c r="F22" s="6">
        <f>(B22-D22)/D22</f>
        <v>1.6174933788998362</v>
      </c>
      <c r="G22" s="6">
        <f>(C22-D22)/D22</f>
        <v>1.6422317248047891</v>
      </c>
      <c r="H22" s="6">
        <f t="shared" ref="H22:H26" si="1">(B22-C22)/C22</f>
        <v>-9.3626708334146481E-3</v>
      </c>
      <c r="I22" s="69">
        <f>'4.5% Withdrawals-Annual Rebal'!I66</f>
        <v>2.2356208407179476</v>
      </c>
    </row>
    <row r="23" spans="1:15" x14ac:dyDescent="0.25">
      <c r="A23" s="1" t="s">
        <v>80</v>
      </c>
      <c r="B23" s="69">
        <f>'4.5% Withdrawals-Rebalanced'!I67</f>
        <v>0.11404284343281662</v>
      </c>
      <c r="C23" s="69">
        <f>'4.5% Withdrawals-No Rebalancing'!I67</f>
        <v>0.12181323170923099</v>
      </c>
      <c r="D23" s="69">
        <f>'4.5% Withdrawals-Panic'!I67</f>
        <v>0.11087669318843783</v>
      </c>
      <c r="E23" s="76"/>
      <c r="F23" s="6">
        <f>(B23-D23)/D23</f>
        <v>2.8555597694439105E-2</v>
      </c>
      <c r="G23" s="6">
        <f>(C23-D23)/D23</f>
        <v>9.8636947101283234E-2</v>
      </c>
      <c r="H23" s="6">
        <f t="shared" si="1"/>
        <v>-6.3789361528165806E-2</v>
      </c>
      <c r="I23" s="69">
        <f>'4.5% Withdrawals-Annual Rebal'!I67</f>
        <v>0.11692049988972551</v>
      </c>
      <c r="M23" t="s">
        <v>145</v>
      </c>
      <c r="O23" s="6">
        <f>(B23-C23)/C23</f>
        <v>-6.3789361528165806E-2</v>
      </c>
    </row>
    <row r="24" spans="1:15" x14ac:dyDescent="0.25">
      <c r="A24" s="1" t="s">
        <v>37</v>
      </c>
      <c r="B24" s="69">
        <f>'4.5% Withdrawals-Rebalanced'!I68</f>
        <v>3.9763765006658236E-2</v>
      </c>
      <c r="C24" s="69">
        <f>'4.5% Withdrawals-No Rebalancing'!I68</f>
        <v>4.0007864689419748E-2</v>
      </c>
      <c r="D24" s="69">
        <f>'4.5% Withdrawals-Panic'!I68</f>
        <v>1.9751841966903161E-2</v>
      </c>
      <c r="E24" s="76"/>
      <c r="F24" s="6">
        <f>(B24-D24)/D24</f>
        <v>1.0131674338670649</v>
      </c>
      <c r="G24" s="6">
        <f>(C24-D24)/D24</f>
        <v>1.0255257588866014</v>
      </c>
      <c r="H24" s="6">
        <f t="shared" si="1"/>
        <v>-6.1012924497833758E-3</v>
      </c>
      <c r="I24" s="69">
        <f>'4.5% Withdrawals-Annual Rebal'!I68</f>
        <v>4.8089342694946469E-2</v>
      </c>
      <c r="M24" t="s">
        <v>146</v>
      </c>
      <c r="O24" s="6">
        <f>B24-C24</f>
        <v>-2.4409968276151162E-4</v>
      </c>
    </row>
    <row r="25" spans="1:15" x14ac:dyDescent="0.25">
      <c r="A25" s="1" t="s">
        <v>82</v>
      </c>
      <c r="B25" s="67">
        <f>'4.5% Withdrawals-Rebalanced'!I69</f>
        <v>17443.864501448814</v>
      </c>
      <c r="C25" s="67">
        <f>'4.5% Withdrawals-No Rebalancing'!I69</f>
        <v>16131.278955302609</v>
      </c>
      <c r="D25" s="68">
        <f>'4.5% Withdrawals-Panic'!I69</f>
        <v>9189.0730709489726</v>
      </c>
      <c r="E25" s="76"/>
      <c r="F25" s="67">
        <f>B25-D25</f>
        <v>8254.7914304998412</v>
      </c>
      <c r="G25" s="67">
        <f>C25-D25</f>
        <v>6942.2058843536361</v>
      </c>
      <c r="H25" s="67">
        <f>B25-C25</f>
        <v>1312.5855461462052</v>
      </c>
      <c r="I25" s="68">
        <f>'4.5% Withdrawals-Annual Rebal'!I69</f>
        <v>23790.734989762859</v>
      </c>
    </row>
    <row r="26" spans="1:15" x14ac:dyDescent="0.25">
      <c r="A26" s="1" t="s">
        <v>38</v>
      </c>
      <c r="B26" s="6">
        <f>'4.5% Withdrawals-Rebalanced'!I70</f>
        <v>8.4203055319791539E-2</v>
      </c>
      <c r="C26" s="69">
        <f>'4.5% Withdrawals-No Rebalancing'!I70</f>
        <v>8.3106844274429215E-2</v>
      </c>
      <c r="D26" s="69">
        <f>'4.5% Withdrawals-Panic'!I70</f>
        <v>6.6059898910327555E-2</v>
      </c>
      <c r="E26" s="76"/>
      <c r="F26" s="6">
        <f>(B26-D26)/D26</f>
        <v>0.27464705076361468</v>
      </c>
      <c r="G26" s="6">
        <f>(C26-D26)/D26</f>
        <v>0.25805285271843798</v>
      </c>
      <c r="H26" s="6">
        <f t="shared" si="1"/>
        <v>1.3190382271555138E-2</v>
      </c>
      <c r="I26" s="69">
        <f>'4.5% Withdrawals-Annual Rebal'!I70</f>
        <v>9.8299494161633375E-2</v>
      </c>
    </row>
    <row r="27" spans="1:15" x14ac:dyDescent="0.25">
      <c r="A27" s="1" t="s">
        <v>42</v>
      </c>
      <c r="B27" s="67">
        <f>'4.5% Withdrawals-Rebalanced'!I71</f>
        <v>161096.15649493449</v>
      </c>
      <c r="C27" s="67">
        <f>'4.5% Withdrawals-No Rebalancing'!I71</f>
        <v>161096.15649493449</v>
      </c>
      <c r="D27" s="68">
        <f>'4.5% Withdrawals-Panic'!I71</f>
        <v>161096.15649493449</v>
      </c>
      <c r="E27" s="76"/>
      <c r="F27" s="67">
        <f>B27-D27</f>
        <v>0</v>
      </c>
      <c r="G27" s="67">
        <f>C27-D27</f>
        <v>0</v>
      </c>
      <c r="H27" s="67">
        <f>B27-C27</f>
        <v>0</v>
      </c>
      <c r="I27" s="68">
        <f>'4.5% Withdrawals-Annual Rebal'!I71</f>
        <v>143196.5835510529</v>
      </c>
    </row>
    <row r="28" spans="1:15" x14ac:dyDescent="0.25">
      <c r="A28" t="str">
        <f>A12</f>
        <v>Ending Equity Allocation</v>
      </c>
      <c r="B28" s="6">
        <f>'4.5% Withdrawals-Rebalanced'!I76</f>
        <v>0.71290339786682766</v>
      </c>
      <c r="C28" s="6">
        <f>'4.5% Withdrawals-No Rebalancing'!I76</f>
        <v>0.80415235229743687</v>
      </c>
      <c r="D28" s="12">
        <f>'4.5% Withdrawals-Panic'!I76</f>
        <v>0.77171705675286906</v>
      </c>
      <c r="E28" s="76"/>
      <c r="F28" s="77"/>
      <c r="G28" s="6"/>
      <c r="H28" s="77"/>
      <c r="I28" s="69">
        <f>'4.5% Withdrawals-Annual Rebal'!I76</f>
        <v>0.70000000000000007</v>
      </c>
    </row>
    <row r="29" spans="1:15" x14ac:dyDescent="0.25">
      <c r="A29" t="str">
        <f t="shared" ref="A29:A30" si="2">A13</f>
        <v>Ending Fixed-Income Allocation</v>
      </c>
      <c r="B29" s="6">
        <f>'4.5% Withdrawals-Rebalanced'!I77</f>
        <v>0.28709660213317229</v>
      </c>
      <c r="C29" s="6">
        <f>'4.5% Withdrawals-No Rebalancing'!I77</f>
        <v>0.19584764770256319</v>
      </c>
      <c r="D29" s="12">
        <f>'4.5% Withdrawals-Panic'!I77</f>
        <v>0.22828294324713092</v>
      </c>
      <c r="E29" s="76"/>
      <c r="F29" s="76"/>
      <c r="G29" s="76"/>
      <c r="H29" s="76"/>
      <c r="I29" s="69">
        <f>'4.5% Withdrawals-Annual Rebal'!I77</f>
        <v>0.3</v>
      </c>
    </row>
    <row r="30" spans="1:15" hidden="1" x14ac:dyDescent="0.25">
      <c r="A30" s="3" t="str">
        <f t="shared" si="2"/>
        <v>Allocation Check</v>
      </c>
      <c r="B30" s="65">
        <f>SUM(B28:B29)</f>
        <v>1</v>
      </c>
      <c r="C30" s="65">
        <f>SUM(C28:C29)</f>
        <v>1</v>
      </c>
      <c r="D30" s="65">
        <f>SUM(D28:D29)</f>
        <v>1</v>
      </c>
      <c r="I30" s="65">
        <f>SUM(I28:I29)</f>
        <v>1</v>
      </c>
    </row>
    <row r="34" spans="5:5" x14ac:dyDescent="0.25">
      <c r="E34" s="20"/>
    </row>
  </sheetData>
  <phoneticPr fontId="11" type="noConversion"/>
  <pageMargins left="0.45" right="0.45" top="0.5" bottom="0.5" header="0.3" footer="0.3"/>
  <pageSetup orientation="landscape" horizontalDpi="4294967293" verticalDpi="4294967293"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76"/>
  <sheetViews>
    <sheetView topLeftCell="A43" workbookViewId="0">
      <selection activeCell="A74" sqref="A74:I76"/>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9" x14ac:dyDescent="0.25">
      <c r="A1" s="20" t="s">
        <v>49</v>
      </c>
    </row>
    <row r="2" spans="1:9" x14ac:dyDescent="0.25">
      <c r="A2" s="14"/>
      <c r="B2" s="14" t="s">
        <v>50</v>
      </c>
      <c r="C2" s="14" t="s">
        <v>51</v>
      </c>
      <c r="D2" s="14" t="s">
        <v>52</v>
      </c>
      <c r="E2" s="14" t="s">
        <v>53</v>
      </c>
      <c r="F2" s="14" t="s">
        <v>60</v>
      </c>
      <c r="G2" s="14" t="s">
        <v>62</v>
      </c>
      <c r="H2" s="14" t="s">
        <v>63</v>
      </c>
    </row>
    <row r="3" spans="1:9" x14ac:dyDescent="0.25">
      <c r="A3" s="14" t="s">
        <v>48</v>
      </c>
      <c r="B3" s="14" t="s">
        <v>54</v>
      </c>
      <c r="C3" s="14" t="s">
        <v>55</v>
      </c>
      <c r="D3" s="14" t="s">
        <v>56</v>
      </c>
      <c r="E3" s="14" t="s">
        <v>57</v>
      </c>
      <c r="F3" s="14" t="s">
        <v>61</v>
      </c>
      <c r="G3" s="14" t="s">
        <v>64</v>
      </c>
      <c r="H3" s="14" t="s">
        <v>65</v>
      </c>
      <c r="I3" s="14" t="s">
        <v>48</v>
      </c>
    </row>
    <row r="4" spans="1:9" x14ac:dyDescent="0.25">
      <c r="A4" s="14">
        <v>1992</v>
      </c>
      <c r="B4" s="14">
        <v>7.42</v>
      </c>
      <c r="C4" s="14">
        <v>12.465999999999999</v>
      </c>
      <c r="D4" s="14"/>
      <c r="E4" s="14"/>
      <c r="F4" s="14">
        <v>-8.7210000000000001</v>
      </c>
      <c r="G4" s="14"/>
      <c r="H4" s="14">
        <v>7.14</v>
      </c>
      <c r="I4">
        <v>1</v>
      </c>
    </row>
    <row r="5" spans="1:9" x14ac:dyDescent="0.25">
      <c r="A5" s="14">
        <v>1993</v>
      </c>
      <c r="B5" s="14">
        <v>9.89</v>
      </c>
      <c r="C5" s="14">
        <v>14.49</v>
      </c>
      <c r="D5" s="14"/>
      <c r="E5" s="14"/>
      <c r="F5" s="14">
        <v>30.494</v>
      </c>
      <c r="G5" s="14"/>
      <c r="H5" s="14">
        <v>9.68</v>
      </c>
      <c r="I5">
        <f>I4+1</f>
        <v>2</v>
      </c>
    </row>
    <row r="6" spans="1:9" x14ac:dyDescent="0.25">
      <c r="A6" s="14">
        <v>1994</v>
      </c>
      <c r="B6" s="14">
        <v>1.18</v>
      </c>
      <c r="C6" s="14">
        <v>-1.764</v>
      </c>
      <c r="D6" s="14"/>
      <c r="E6" s="14"/>
      <c r="F6" s="14">
        <v>5.2549999999999999</v>
      </c>
      <c r="G6" s="14"/>
      <c r="H6" s="14">
        <v>-2.66</v>
      </c>
      <c r="I6">
        <f t="shared" ref="I6:I28" si="0">I5+1</f>
        <v>3</v>
      </c>
    </row>
    <row r="7" spans="1:9" x14ac:dyDescent="0.25">
      <c r="A7" s="14">
        <v>1995</v>
      </c>
      <c r="B7" s="14">
        <v>37.450000000000003</v>
      </c>
      <c r="C7" s="14">
        <v>33.796999999999997</v>
      </c>
      <c r="D7" s="14"/>
      <c r="E7" s="14"/>
      <c r="F7" s="14">
        <v>9.6460000000000008</v>
      </c>
      <c r="G7" s="14"/>
      <c r="H7" s="14">
        <v>18.18</v>
      </c>
      <c r="I7">
        <f t="shared" si="0"/>
        <v>4</v>
      </c>
    </row>
    <row r="8" spans="1:9" x14ac:dyDescent="0.25">
      <c r="A8" s="14">
        <v>1996</v>
      </c>
      <c r="B8" s="14">
        <v>22.88</v>
      </c>
      <c r="C8" s="14">
        <v>17.646999999999998</v>
      </c>
      <c r="D8" s="14"/>
      <c r="E8" s="14"/>
      <c r="F8" s="14">
        <v>10.218999999999999</v>
      </c>
      <c r="G8" s="14"/>
      <c r="H8" s="14">
        <v>3.58</v>
      </c>
      <c r="I8">
        <f t="shared" si="0"/>
        <v>5</v>
      </c>
    </row>
    <row r="9" spans="1:9" x14ac:dyDescent="0.25">
      <c r="A9" s="14">
        <v>1997</v>
      </c>
      <c r="B9" s="14">
        <v>33.19</v>
      </c>
      <c r="C9" s="14">
        <v>26.687000000000001</v>
      </c>
      <c r="D9" s="14"/>
      <c r="E9" s="14"/>
      <c r="F9" s="14"/>
      <c r="G9" s="16">
        <v>-0.77500000000000002</v>
      </c>
      <c r="H9" s="14">
        <v>9.44</v>
      </c>
      <c r="I9">
        <f t="shared" si="0"/>
        <v>6</v>
      </c>
    </row>
    <row r="10" spans="1:9" x14ac:dyDescent="0.25">
      <c r="A10" s="14">
        <v>1998</v>
      </c>
      <c r="B10" s="14">
        <v>28.66</v>
      </c>
      <c r="C10" s="14">
        <v>8.3529999999999998</v>
      </c>
      <c r="D10" s="14"/>
      <c r="E10" s="14"/>
      <c r="F10" s="14"/>
      <c r="G10" s="14">
        <v>15.603</v>
      </c>
      <c r="H10" s="14">
        <v>8.58</v>
      </c>
      <c r="I10">
        <f t="shared" si="0"/>
        <v>7</v>
      </c>
    </row>
    <row r="11" spans="1:9" x14ac:dyDescent="0.25">
      <c r="A11" s="14">
        <v>1999</v>
      </c>
      <c r="B11" s="14">
        <v>21.07</v>
      </c>
      <c r="C11" s="14"/>
      <c r="D11" s="16">
        <v>15.319000000000001</v>
      </c>
      <c r="E11" s="16">
        <v>23.132999999999999</v>
      </c>
      <c r="F11" s="14"/>
      <c r="G11" s="14">
        <v>29.919</v>
      </c>
      <c r="H11" s="14">
        <v>-0.76</v>
      </c>
      <c r="I11">
        <f t="shared" si="0"/>
        <v>8</v>
      </c>
    </row>
    <row r="12" spans="1:9" x14ac:dyDescent="0.25">
      <c r="A12" s="14">
        <v>2000</v>
      </c>
      <c r="B12" s="14">
        <v>-9.06</v>
      </c>
      <c r="C12" s="14"/>
      <c r="D12" s="14">
        <v>18.097999999999999</v>
      </c>
      <c r="E12" s="14">
        <v>-2.665</v>
      </c>
      <c r="F12" s="14"/>
      <c r="G12" s="14">
        <v>-15.614000000000001</v>
      </c>
      <c r="H12" s="14">
        <v>11.39</v>
      </c>
      <c r="I12">
        <f t="shared" si="0"/>
        <v>9</v>
      </c>
    </row>
    <row r="13" spans="1:9" x14ac:dyDescent="0.25">
      <c r="A13" s="14">
        <v>2001</v>
      </c>
      <c r="B13" s="14">
        <v>-12.02</v>
      </c>
      <c r="C13" s="14"/>
      <c r="D13" s="14">
        <v>-0.499</v>
      </c>
      <c r="E13" s="14">
        <v>3.1</v>
      </c>
      <c r="F13" s="14"/>
      <c r="G13" s="14">
        <v>-20.152999999999999</v>
      </c>
      <c r="H13" s="14">
        <v>8.43</v>
      </c>
      <c r="I13">
        <f t="shared" si="0"/>
        <v>10</v>
      </c>
    </row>
    <row r="14" spans="1:9" x14ac:dyDescent="0.25">
      <c r="A14" s="14">
        <v>2002</v>
      </c>
      <c r="B14" s="14">
        <v>-22.15</v>
      </c>
      <c r="C14" s="14"/>
      <c r="D14" s="14">
        <v>-14.608000000000001</v>
      </c>
      <c r="E14" s="14">
        <v>-20.021999999999998</v>
      </c>
      <c r="F14" s="14"/>
      <c r="G14" s="14">
        <v>-15.083</v>
      </c>
      <c r="H14" s="14">
        <v>8.26</v>
      </c>
      <c r="I14">
        <f t="shared" si="0"/>
        <v>11</v>
      </c>
    </row>
    <row r="15" spans="1:9" x14ac:dyDescent="0.25">
      <c r="A15" s="14">
        <v>2003</v>
      </c>
      <c r="B15" s="14">
        <v>28.5</v>
      </c>
      <c r="C15" s="14"/>
      <c r="D15" s="14">
        <v>34.142000000000003</v>
      </c>
      <c r="E15" s="14">
        <v>45.628</v>
      </c>
      <c r="F15" s="14"/>
      <c r="G15" s="14">
        <v>40.340000000000003</v>
      </c>
      <c r="H15" s="14">
        <v>3.97</v>
      </c>
      <c r="I15">
        <f t="shared" si="0"/>
        <v>12</v>
      </c>
    </row>
    <row r="16" spans="1:9" x14ac:dyDescent="0.25">
      <c r="A16" s="14">
        <v>2004</v>
      </c>
      <c r="B16" s="14">
        <v>10.74</v>
      </c>
      <c r="C16" s="14"/>
      <c r="D16" s="14">
        <v>20.353000000000002</v>
      </c>
      <c r="E16" s="14">
        <v>19.896999999999998</v>
      </c>
      <c r="F16" s="14"/>
      <c r="G16" s="14">
        <v>20.837</v>
      </c>
      <c r="H16" s="14">
        <v>4.24</v>
      </c>
      <c r="I16">
        <f t="shared" si="0"/>
        <v>13</v>
      </c>
    </row>
    <row r="17" spans="1:9" x14ac:dyDescent="0.25">
      <c r="A17" s="14">
        <v>2005</v>
      </c>
      <c r="B17" s="14">
        <v>4.7699999999999996</v>
      </c>
      <c r="C17" s="14"/>
      <c r="D17" s="14">
        <v>13.930999999999999</v>
      </c>
      <c r="E17" s="14">
        <v>7.3630000000000004</v>
      </c>
      <c r="F17" s="14"/>
      <c r="G17" s="14">
        <v>15.571</v>
      </c>
      <c r="H17" s="14">
        <v>2.4</v>
      </c>
      <c r="I17">
        <f t="shared" si="0"/>
        <v>14</v>
      </c>
    </row>
    <row r="18" spans="1:9" x14ac:dyDescent="0.25">
      <c r="A18" s="14">
        <v>2006</v>
      </c>
      <c r="B18" s="14">
        <v>15.64</v>
      </c>
      <c r="C18" s="14"/>
      <c r="D18" s="14">
        <v>13.597</v>
      </c>
      <c r="E18" s="14">
        <v>15.656000000000001</v>
      </c>
      <c r="F18" s="14"/>
      <c r="G18" s="14">
        <v>26.637</v>
      </c>
      <c r="H18" s="14">
        <v>4.2699999999999996</v>
      </c>
      <c r="I18">
        <f t="shared" si="0"/>
        <v>15</v>
      </c>
    </row>
    <row r="19" spans="1:9" x14ac:dyDescent="0.25">
      <c r="A19" s="14">
        <v>2007</v>
      </c>
      <c r="B19" s="14">
        <v>5.39</v>
      </c>
      <c r="C19" s="14"/>
      <c r="D19" s="14">
        <v>6.0209999999999999</v>
      </c>
      <c r="E19" s="14">
        <v>1.1559999999999999</v>
      </c>
      <c r="F19" s="14"/>
      <c r="G19" s="14">
        <v>15.522</v>
      </c>
      <c r="H19" s="14">
        <v>6.92</v>
      </c>
      <c r="I19">
        <f t="shared" si="0"/>
        <v>16</v>
      </c>
    </row>
    <row r="20" spans="1:9" x14ac:dyDescent="0.25">
      <c r="A20" s="14">
        <v>2008</v>
      </c>
      <c r="B20" s="14">
        <v>-37.020000000000003</v>
      </c>
      <c r="C20" s="14"/>
      <c r="D20" s="14">
        <v>-41.823999999999998</v>
      </c>
      <c r="E20" s="14">
        <v>-36.07</v>
      </c>
      <c r="F20" s="14"/>
      <c r="G20" s="14">
        <v>-44.100999999999999</v>
      </c>
      <c r="H20" s="14">
        <v>5.05</v>
      </c>
      <c r="I20">
        <f t="shared" si="0"/>
        <v>17</v>
      </c>
    </row>
    <row r="21" spans="1:9" x14ac:dyDescent="0.25">
      <c r="A21" s="14">
        <v>2009</v>
      </c>
      <c r="B21" s="14">
        <v>26.49</v>
      </c>
      <c r="C21" s="14"/>
      <c r="D21" s="14">
        <v>40.218000000000004</v>
      </c>
      <c r="E21" s="14">
        <v>36.118000000000002</v>
      </c>
      <c r="F21" s="14"/>
      <c r="G21" s="14">
        <v>36.726999999999997</v>
      </c>
      <c r="H21" s="14">
        <v>5.93</v>
      </c>
      <c r="I21">
        <f t="shared" si="0"/>
        <v>18</v>
      </c>
    </row>
    <row r="22" spans="1:9" x14ac:dyDescent="0.25">
      <c r="A22" s="14">
        <v>2010</v>
      </c>
      <c r="B22" s="14">
        <v>14.91</v>
      </c>
      <c r="C22" s="14"/>
      <c r="D22" s="14">
        <v>25.46</v>
      </c>
      <c r="E22" s="14">
        <v>27.72</v>
      </c>
      <c r="F22" s="14"/>
      <c r="G22" s="14">
        <v>11.12</v>
      </c>
      <c r="H22" s="14">
        <v>6.42</v>
      </c>
      <c r="I22">
        <f t="shared" si="0"/>
        <v>19</v>
      </c>
    </row>
    <row r="23" spans="1:9" x14ac:dyDescent="0.25">
      <c r="A23" s="14">
        <v>2011</v>
      </c>
      <c r="B23" s="14">
        <v>1.97</v>
      </c>
      <c r="C23" s="14"/>
      <c r="D23" s="14">
        <v>-2.11</v>
      </c>
      <c r="E23" s="15">
        <v>-2.8</v>
      </c>
      <c r="F23" s="14"/>
      <c r="G23" s="14">
        <v>-14.56</v>
      </c>
      <c r="H23" s="14">
        <v>7.56</v>
      </c>
      <c r="I23">
        <f t="shared" si="0"/>
        <v>20</v>
      </c>
    </row>
    <row r="24" spans="1:9" x14ac:dyDescent="0.25">
      <c r="A24" s="14">
        <v>2012</v>
      </c>
      <c r="B24" s="15">
        <v>15.82</v>
      </c>
      <c r="C24" s="15"/>
      <c r="D24" s="15">
        <v>15.8</v>
      </c>
      <c r="E24" s="15">
        <v>18.04</v>
      </c>
      <c r="F24" s="15"/>
      <c r="G24" s="15">
        <v>18.14</v>
      </c>
      <c r="H24" s="15">
        <v>4.05</v>
      </c>
      <c r="I24">
        <f t="shared" si="0"/>
        <v>21</v>
      </c>
    </row>
    <row r="25" spans="1:9" x14ac:dyDescent="0.25">
      <c r="A25" s="14">
        <v>2013</v>
      </c>
      <c r="B25" s="15">
        <v>32.18</v>
      </c>
      <c r="C25" s="15"/>
      <c r="D25" s="15">
        <v>35</v>
      </c>
      <c r="E25" s="15">
        <v>37.619999999999997</v>
      </c>
      <c r="F25" s="15"/>
      <c r="G25" s="15">
        <v>15.04</v>
      </c>
      <c r="H25" s="15">
        <v>-2.2599999999999998</v>
      </c>
      <c r="I25">
        <f t="shared" si="0"/>
        <v>22</v>
      </c>
    </row>
    <row r="26" spans="1:9" x14ac:dyDescent="0.25">
      <c r="A26" s="14">
        <v>2014</v>
      </c>
      <c r="B26" s="15">
        <v>13.51</v>
      </c>
      <c r="C26" s="15"/>
      <c r="D26" s="15">
        <v>13.6</v>
      </c>
      <c r="E26" s="15">
        <v>7.37</v>
      </c>
      <c r="F26" s="15"/>
      <c r="G26" s="15">
        <v>-4.24</v>
      </c>
      <c r="H26" s="15">
        <v>5.76</v>
      </c>
      <c r="I26">
        <f t="shared" si="0"/>
        <v>23</v>
      </c>
    </row>
    <row r="27" spans="1:9" x14ac:dyDescent="0.25">
      <c r="A27" s="14">
        <v>2015</v>
      </c>
      <c r="B27" s="15">
        <v>1.25</v>
      </c>
      <c r="C27" s="15"/>
      <c r="D27" s="15">
        <v>-1.46</v>
      </c>
      <c r="E27" s="15">
        <v>-3.78</v>
      </c>
      <c r="F27" s="15"/>
      <c r="G27" s="15">
        <v>-4.37</v>
      </c>
      <c r="H27" s="15">
        <v>0.3</v>
      </c>
      <c r="I27">
        <f t="shared" si="0"/>
        <v>24</v>
      </c>
    </row>
    <row r="28" spans="1:9" x14ac:dyDescent="0.25">
      <c r="A28" s="14">
        <v>2016</v>
      </c>
      <c r="B28" s="15">
        <v>11.82</v>
      </c>
      <c r="C28" s="15"/>
      <c r="D28" s="15">
        <v>11.07</v>
      </c>
      <c r="E28" s="15">
        <v>18.170000000000002</v>
      </c>
      <c r="F28" s="15"/>
      <c r="G28" s="15">
        <v>4.6500000000000004</v>
      </c>
      <c r="H28" s="15">
        <v>2.5</v>
      </c>
      <c r="I28">
        <f t="shared" si="0"/>
        <v>25</v>
      </c>
    </row>
    <row r="29" spans="1:9" x14ac:dyDescent="0.25">
      <c r="A29" s="14">
        <v>2017</v>
      </c>
      <c r="B29" s="15">
        <v>21.67</v>
      </c>
      <c r="C29" s="15"/>
      <c r="D29" s="15">
        <v>19.600000000000001</v>
      </c>
      <c r="E29" s="15">
        <v>16.100000000000001</v>
      </c>
      <c r="F29" s="15"/>
      <c r="G29" s="15">
        <v>27.4</v>
      </c>
      <c r="H29" s="15">
        <v>3.46</v>
      </c>
    </row>
    <row r="30" spans="1:9" x14ac:dyDescent="0.25">
      <c r="A30" s="14">
        <v>2017</v>
      </c>
      <c r="B30" s="15">
        <v>21.67</v>
      </c>
      <c r="C30" s="15"/>
      <c r="D30" s="15">
        <v>19.600000000000001</v>
      </c>
      <c r="E30" s="15">
        <v>16.100000000000001</v>
      </c>
      <c r="F30" s="15"/>
      <c r="G30" s="15">
        <v>27.4</v>
      </c>
      <c r="H30" s="15">
        <v>3.46</v>
      </c>
    </row>
    <row r="31" spans="1:9" x14ac:dyDescent="0.25">
      <c r="A31" s="14">
        <v>2017</v>
      </c>
      <c r="B31" s="15">
        <v>21.67</v>
      </c>
      <c r="C31" s="15"/>
      <c r="D31" s="15">
        <v>19.600000000000001</v>
      </c>
      <c r="E31" s="15">
        <v>16.100000000000001</v>
      </c>
      <c r="F31" s="15"/>
      <c r="G31" s="15">
        <v>27.4</v>
      </c>
      <c r="H31" s="15">
        <v>3.46</v>
      </c>
    </row>
    <row r="32" spans="1:9" x14ac:dyDescent="0.25">
      <c r="A32" s="14">
        <v>2017</v>
      </c>
      <c r="B32" s="15">
        <v>21.67</v>
      </c>
      <c r="C32" s="15"/>
      <c r="D32" s="15">
        <v>19.600000000000001</v>
      </c>
      <c r="E32" s="15">
        <v>16.100000000000001</v>
      </c>
      <c r="F32" s="15"/>
      <c r="G32" s="15">
        <v>27.4</v>
      </c>
      <c r="H32" s="15">
        <v>3.46</v>
      </c>
    </row>
    <row r="33" spans="1:25" x14ac:dyDescent="0.25">
      <c r="A33" s="14">
        <v>2017</v>
      </c>
      <c r="B33" s="15">
        <v>21.67</v>
      </c>
      <c r="C33" s="15"/>
      <c r="D33" s="15">
        <v>19.600000000000001</v>
      </c>
      <c r="E33" s="15">
        <v>16.100000000000001</v>
      </c>
      <c r="F33" s="15"/>
      <c r="G33" s="15">
        <v>27.4</v>
      </c>
      <c r="H33" s="15">
        <v>3.46</v>
      </c>
    </row>
    <row r="36" spans="1:25" x14ac:dyDescent="0.25">
      <c r="A36" s="20" t="s">
        <v>123</v>
      </c>
      <c r="O36" s="20" t="s">
        <v>130</v>
      </c>
    </row>
    <row r="37" spans="1:25" x14ac:dyDescent="0.25">
      <c r="B37" s="4" t="str">
        <f t="shared" ref="B37:H38" si="1">B2</f>
        <v>LC Stocks</v>
      </c>
      <c r="C37" s="4" t="str">
        <f t="shared" si="1"/>
        <v>Ext Mkt</v>
      </c>
      <c r="D37" s="4" t="str">
        <f t="shared" si="1"/>
        <v>Mcap Stk</v>
      </c>
      <c r="E37" s="4" t="str">
        <f t="shared" si="1"/>
        <v>Small Cap</v>
      </c>
      <c r="F37" s="4" t="str">
        <f t="shared" si="1"/>
        <v>Intl Val</v>
      </c>
      <c r="G37" s="4" t="str">
        <f t="shared" si="1"/>
        <v>Tot Int Stk</v>
      </c>
      <c r="H37" s="4" t="str">
        <f t="shared" si="1"/>
        <v>Bonds</v>
      </c>
      <c r="I37" s="5"/>
      <c r="J37" s="5" t="s">
        <v>76</v>
      </c>
      <c r="K37" s="5" t="s">
        <v>73</v>
      </c>
      <c r="L37" s="5" t="s">
        <v>74</v>
      </c>
      <c r="P37" s="4" t="str">
        <f>B37</f>
        <v>LC Stocks</v>
      </c>
      <c r="Q37" s="4" t="str">
        <f t="shared" ref="Q37:V38" si="2">C37</f>
        <v>Ext Mkt</v>
      </c>
      <c r="R37" s="4" t="str">
        <f t="shared" si="2"/>
        <v>Mcap Stk</v>
      </c>
      <c r="S37" s="4" t="str">
        <f t="shared" si="2"/>
        <v>Small Cap</v>
      </c>
      <c r="T37" s="4" t="str">
        <f t="shared" si="2"/>
        <v>Intl Val</v>
      </c>
      <c r="U37" s="4" t="str">
        <f t="shared" si="2"/>
        <v>Tot Int Stk</v>
      </c>
      <c r="V37" s="4" t="str">
        <f t="shared" si="2"/>
        <v>Bonds</v>
      </c>
      <c r="W37" s="5"/>
      <c r="X37" s="5" t="s">
        <v>111</v>
      </c>
      <c r="Y37" s="3" t="s">
        <v>112</v>
      </c>
    </row>
    <row r="38" spans="1:25" x14ac:dyDescent="0.25">
      <c r="A38" t="s">
        <v>72</v>
      </c>
      <c r="B38" s="4" t="str">
        <f t="shared" si="1"/>
        <v>VFINX</v>
      </c>
      <c r="C38" s="4" t="str">
        <f t="shared" si="1"/>
        <v>VEXMX</v>
      </c>
      <c r="D38" s="4" t="str">
        <f t="shared" si="1"/>
        <v>VIMSX</v>
      </c>
      <c r="E38" s="4" t="str">
        <f t="shared" si="1"/>
        <v>NAESX</v>
      </c>
      <c r="F38" s="4" t="str">
        <f t="shared" si="1"/>
        <v>VTRIX</v>
      </c>
      <c r="G38" s="4" t="str">
        <f t="shared" si="1"/>
        <v>VGTSX</v>
      </c>
      <c r="H38" s="4" t="str">
        <f t="shared" si="1"/>
        <v>VBMFX</v>
      </c>
      <c r="I38" s="5" t="s">
        <v>70</v>
      </c>
      <c r="J38" s="5" t="s">
        <v>77</v>
      </c>
      <c r="K38" s="5" t="s">
        <v>75</v>
      </c>
      <c r="L38" s="5" t="s">
        <v>75</v>
      </c>
      <c r="O38" t="s">
        <v>72</v>
      </c>
      <c r="P38" s="4" t="str">
        <f>B38</f>
        <v>VFINX</v>
      </c>
      <c r="Q38" s="4" t="str">
        <f t="shared" si="2"/>
        <v>VEXMX</v>
      </c>
      <c r="R38" s="4" t="str">
        <f t="shared" si="2"/>
        <v>VIMSX</v>
      </c>
      <c r="S38" s="4" t="str">
        <f t="shared" si="2"/>
        <v>NAESX</v>
      </c>
      <c r="T38" s="4" t="str">
        <f t="shared" si="2"/>
        <v>VTRIX</v>
      </c>
      <c r="U38" s="4" t="str">
        <f t="shared" si="2"/>
        <v>VGTSX</v>
      </c>
      <c r="V38" s="4" t="str">
        <f t="shared" si="2"/>
        <v>VBMFX</v>
      </c>
      <c r="W38" s="5" t="s">
        <v>70</v>
      </c>
      <c r="X38" s="5" t="s">
        <v>112</v>
      </c>
      <c r="Y38" s="3" t="s">
        <v>87</v>
      </c>
    </row>
    <row r="39" spans="1:25" x14ac:dyDescent="0.25">
      <c r="A39" t="s">
        <v>71</v>
      </c>
      <c r="B39" s="31">
        <v>20000</v>
      </c>
      <c r="C39" s="31">
        <v>30000</v>
      </c>
      <c r="F39" s="31">
        <v>20000</v>
      </c>
      <c r="H39" s="31">
        <v>30000</v>
      </c>
      <c r="I39" s="2">
        <f>SUM(B39:H39)</f>
        <v>100000</v>
      </c>
      <c r="O39" s="21" t="s">
        <v>86</v>
      </c>
      <c r="P39" s="22">
        <f>B39/$I39</f>
        <v>0.2</v>
      </c>
      <c r="Q39" s="22">
        <f>C39/$I39</f>
        <v>0.3</v>
      </c>
      <c r="R39" s="23">
        <v>0.2</v>
      </c>
      <c r="S39" s="23">
        <v>0.1</v>
      </c>
      <c r="T39" s="22">
        <f>F39/$I39</f>
        <v>0.2</v>
      </c>
      <c r="U39" s="23">
        <v>0.2</v>
      </c>
      <c r="V39" s="22">
        <f>H39/$I39</f>
        <v>0.3</v>
      </c>
      <c r="W39" s="6">
        <f>I39/$I39</f>
        <v>1</v>
      </c>
      <c r="X39" s="24"/>
    </row>
    <row r="40" spans="1:25" x14ac:dyDescent="0.25">
      <c r="A40">
        <f t="shared" ref="A40:A64" si="3">A4</f>
        <v>1992</v>
      </c>
      <c r="B40" s="2">
        <f t="shared" ref="B40:B50" si="4">B39*(1+(B4/100))</f>
        <v>21484</v>
      </c>
      <c r="C40" s="2">
        <f t="shared" ref="C40:E51" si="5">C39*(1+(C4/100))</f>
        <v>33739.800000000003</v>
      </c>
      <c r="D40" s="2"/>
      <c r="E40" s="2"/>
      <c r="F40" s="2">
        <f t="shared" ref="F40:F44" si="6">F39*(1+(F4/100))</f>
        <v>18255.8</v>
      </c>
      <c r="G40" s="2"/>
      <c r="H40" s="2">
        <f t="shared" ref="H40:H64" si="7">H39*(1+(H4/100))</f>
        <v>32141.999999999996</v>
      </c>
      <c r="I40" s="2">
        <f>SUM(B40:H40)</f>
        <v>105621.6</v>
      </c>
      <c r="J40" s="2">
        <f>I40-I39</f>
        <v>5621.6000000000058</v>
      </c>
      <c r="K40" s="6">
        <f>(J40/I39)</f>
        <v>5.6216000000000058E-2</v>
      </c>
      <c r="L40" s="7">
        <f>K40+1</f>
        <v>1.056216</v>
      </c>
      <c r="O40">
        <f>A40</f>
        <v>1992</v>
      </c>
      <c r="P40" s="6">
        <f t="shared" ref="P40:U64" si="8">B40/$I40</f>
        <v>0.20340536405432222</v>
      </c>
      <c r="Q40" s="6">
        <f t="shared" si="8"/>
        <v>0.31944034174827879</v>
      </c>
      <c r="R40" s="7"/>
      <c r="S40" s="7"/>
      <c r="T40" s="6">
        <f t="shared" ref="T40:T46" si="9">F40/$I40</f>
        <v>0.17284153998803273</v>
      </c>
      <c r="U40" s="7"/>
      <c r="V40" s="6">
        <f t="shared" ref="V40:V64" si="10">H40/$I40</f>
        <v>0.30431275420936621</v>
      </c>
      <c r="W40" s="6">
        <f>SUM(P40:V40)</f>
        <v>1</v>
      </c>
      <c r="X40" s="7">
        <f>SUM(P40:U40)</f>
        <v>0.69568724579063379</v>
      </c>
      <c r="Y40" s="7">
        <f>W40-(X40+V40)</f>
        <v>0</v>
      </c>
    </row>
    <row r="41" spans="1:25" x14ac:dyDescent="0.25">
      <c r="A41">
        <f t="shared" si="3"/>
        <v>1993</v>
      </c>
      <c r="B41" s="2">
        <f t="shared" si="4"/>
        <v>23608.767599999999</v>
      </c>
      <c r="C41" s="2">
        <f t="shared" si="5"/>
        <v>38628.697020000007</v>
      </c>
      <c r="D41" s="2"/>
      <c r="E41" s="2"/>
      <c r="F41" s="2">
        <f t="shared" si="6"/>
        <v>23822.723652000001</v>
      </c>
      <c r="G41" s="2"/>
      <c r="H41" s="2">
        <f t="shared" si="7"/>
        <v>35253.345599999993</v>
      </c>
      <c r="I41" s="2">
        <f t="shared" ref="I41:I48" si="11">SUM(B41:H41)</f>
        <v>121313.533872</v>
      </c>
      <c r="J41" s="2">
        <f t="shared" ref="J41:J64" si="12">I41-I40</f>
        <v>15691.933871999994</v>
      </c>
      <c r="K41" s="6">
        <f t="shared" ref="K41:K48" si="13">(J41/I40)</f>
        <v>0.14856746983571537</v>
      </c>
      <c r="L41" s="7">
        <f t="shared" ref="L41:L64" si="14">K41+1</f>
        <v>1.1485674698357153</v>
      </c>
      <c r="O41">
        <f t="shared" ref="O41:O64" si="15">A41</f>
        <v>1993</v>
      </c>
      <c r="P41" s="6">
        <f t="shared" si="8"/>
        <v>0.19460951178711863</v>
      </c>
      <c r="Q41" s="6">
        <f t="shared" si="8"/>
        <v>0.31842034262028679</v>
      </c>
      <c r="R41" s="7"/>
      <c r="S41" s="7"/>
      <c r="T41" s="6">
        <f t="shared" si="9"/>
        <v>0.19637317364059123</v>
      </c>
      <c r="U41" s="7"/>
      <c r="V41" s="6">
        <f t="shared" si="10"/>
        <v>0.29059697195200335</v>
      </c>
      <c r="W41" s="6">
        <f t="shared" ref="W41:W64" si="16">SUM(P41:V41)</f>
        <v>1</v>
      </c>
      <c r="X41" s="7">
        <f t="shared" ref="X41:X64" si="17">SUM(P41:U41)</f>
        <v>0.70940302804799671</v>
      </c>
      <c r="Y41" s="7">
        <f t="shared" ref="Y41:Y64" si="18">W41-(X41+V41)</f>
        <v>0</v>
      </c>
    </row>
    <row r="42" spans="1:25" x14ac:dyDescent="0.25">
      <c r="A42">
        <f t="shared" si="3"/>
        <v>1994</v>
      </c>
      <c r="B42" s="2">
        <f t="shared" si="4"/>
        <v>23887.35105768</v>
      </c>
      <c r="C42" s="2">
        <f t="shared" si="5"/>
        <v>37947.286804567208</v>
      </c>
      <c r="D42" s="2"/>
      <c r="E42" s="2"/>
      <c r="F42" s="2">
        <f t="shared" si="6"/>
        <v>25074.607779912603</v>
      </c>
      <c r="G42" s="2"/>
      <c r="H42" s="2">
        <f t="shared" si="7"/>
        <v>34315.606607039997</v>
      </c>
      <c r="I42" s="2">
        <f t="shared" si="11"/>
        <v>121224.85224919982</v>
      </c>
      <c r="J42" s="2">
        <f t="shared" si="12"/>
        <v>-88.681622800184414</v>
      </c>
      <c r="K42" s="6">
        <f t="shared" si="13"/>
        <v>-7.3101178384395204E-4</v>
      </c>
      <c r="L42" s="7">
        <f t="shared" si="14"/>
        <v>0.99926898821615606</v>
      </c>
      <c r="O42">
        <f t="shared" si="15"/>
        <v>1994</v>
      </c>
      <c r="P42" s="6">
        <f t="shared" si="8"/>
        <v>0.1970499498615613</v>
      </c>
      <c r="Q42" s="6">
        <f t="shared" si="8"/>
        <v>0.31303223803118879</v>
      </c>
      <c r="R42" s="7"/>
      <c r="S42" s="7"/>
      <c r="T42" s="6">
        <f t="shared" si="9"/>
        <v>0.20684378916269719</v>
      </c>
      <c r="U42" s="7"/>
      <c r="V42" s="6">
        <f t="shared" si="10"/>
        <v>0.28307402294455269</v>
      </c>
      <c r="W42" s="6">
        <f t="shared" si="16"/>
        <v>1</v>
      </c>
      <c r="X42" s="7">
        <f t="shared" si="17"/>
        <v>0.71692597705544725</v>
      </c>
      <c r="Y42" s="7">
        <f t="shared" si="18"/>
        <v>0</v>
      </c>
    </row>
    <row r="43" spans="1:25" x14ac:dyDescent="0.25">
      <c r="A43">
        <f t="shared" si="3"/>
        <v>1995</v>
      </c>
      <c r="B43" s="2">
        <f t="shared" si="4"/>
        <v>32833.164028781161</v>
      </c>
      <c r="C43" s="2">
        <f t="shared" si="5"/>
        <v>50772.33132590678</v>
      </c>
      <c r="D43" s="2"/>
      <c r="E43" s="2"/>
      <c r="F43" s="2">
        <f t="shared" si="6"/>
        <v>27493.304446362974</v>
      </c>
      <c r="G43" s="2"/>
      <c r="H43" s="2">
        <f t="shared" si="7"/>
        <v>40554.18388819987</v>
      </c>
      <c r="I43" s="2">
        <f t="shared" si="11"/>
        <v>151652.98368925077</v>
      </c>
      <c r="J43" s="2">
        <f t="shared" si="12"/>
        <v>30428.131440050958</v>
      </c>
      <c r="K43" s="6">
        <f t="shared" si="13"/>
        <v>0.25100572098450885</v>
      </c>
      <c r="L43" s="7">
        <f t="shared" si="14"/>
        <v>1.2510057209845089</v>
      </c>
      <c r="O43">
        <f t="shared" si="15"/>
        <v>1995</v>
      </c>
      <c r="P43" s="6">
        <f t="shared" si="8"/>
        <v>0.21650193243846075</v>
      </c>
      <c r="Q43" s="6">
        <f t="shared" si="8"/>
        <v>0.33479282827658302</v>
      </c>
      <c r="R43" s="7"/>
      <c r="S43" s="7"/>
      <c r="T43" s="6">
        <f t="shared" si="9"/>
        <v>0.18129089041003624</v>
      </c>
      <c r="U43" s="7"/>
      <c r="V43" s="6">
        <f t="shared" si="10"/>
        <v>0.26741434887492005</v>
      </c>
      <c r="W43" s="6">
        <f t="shared" si="16"/>
        <v>1</v>
      </c>
      <c r="X43" s="7">
        <f t="shared" si="17"/>
        <v>0.73258565112508001</v>
      </c>
      <c r="Y43" s="7">
        <f t="shared" si="18"/>
        <v>0</v>
      </c>
    </row>
    <row r="44" spans="1:25" x14ac:dyDescent="0.25">
      <c r="A44">
        <f t="shared" si="3"/>
        <v>1996</v>
      </c>
      <c r="B44" s="2">
        <f t="shared" si="4"/>
        <v>40345.391958566295</v>
      </c>
      <c r="C44" s="2">
        <f t="shared" si="5"/>
        <v>59732.124634989545</v>
      </c>
      <c r="D44" s="2"/>
      <c r="E44" s="2"/>
      <c r="F44" s="2">
        <f t="shared" si="6"/>
        <v>30302.845227736805</v>
      </c>
      <c r="G44" s="2"/>
      <c r="H44" s="2">
        <f t="shared" si="7"/>
        <v>42006.02367139743</v>
      </c>
      <c r="I44" s="2">
        <f t="shared" si="11"/>
        <v>172386.38549269008</v>
      </c>
      <c r="J44" s="2">
        <f t="shared" si="12"/>
        <v>20733.401803439308</v>
      </c>
      <c r="K44" s="6">
        <f t="shared" si="13"/>
        <v>0.13671608232861232</v>
      </c>
      <c r="L44" s="7">
        <f t="shared" si="14"/>
        <v>1.1367160823286122</v>
      </c>
      <c r="O44">
        <f t="shared" si="15"/>
        <v>1996</v>
      </c>
      <c r="P44" s="6">
        <f t="shared" si="8"/>
        <v>0.23404047740346126</v>
      </c>
      <c r="Q44" s="6">
        <f t="shared" si="8"/>
        <v>0.34650140418149461</v>
      </c>
      <c r="R44" s="7"/>
      <c r="S44" s="7"/>
      <c r="T44" s="6">
        <f t="shared" si="9"/>
        <v>0.17578444574453808</v>
      </c>
      <c r="U44" s="7"/>
      <c r="V44" s="6">
        <f t="shared" si="10"/>
        <v>0.24367367267050602</v>
      </c>
      <c r="W44" s="6">
        <f t="shared" si="16"/>
        <v>1</v>
      </c>
      <c r="X44" s="7">
        <f t="shared" si="17"/>
        <v>0.75632632732949401</v>
      </c>
      <c r="Y44" s="7">
        <f t="shared" si="18"/>
        <v>0</v>
      </c>
    </row>
    <row r="45" spans="1:25" x14ac:dyDescent="0.25">
      <c r="A45">
        <f t="shared" si="3"/>
        <v>1997</v>
      </c>
      <c r="B45" s="2">
        <f t="shared" si="4"/>
        <v>53736.027549614453</v>
      </c>
      <c r="C45" s="2">
        <f t="shared" si="5"/>
        <v>75672.836736329205</v>
      </c>
      <c r="D45" s="2"/>
      <c r="E45" s="2"/>
      <c r="F45" s="2"/>
      <c r="G45" s="2">
        <f>F44*(1+(G9/100))</f>
        <v>30067.998177221845</v>
      </c>
      <c r="H45" s="2">
        <f t="shared" si="7"/>
        <v>45971.392305977351</v>
      </c>
      <c r="I45" s="2">
        <f t="shared" si="11"/>
        <v>205448.25476914283</v>
      </c>
      <c r="J45" s="2">
        <f t="shared" si="12"/>
        <v>33061.869276452751</v>
      </c>
      <c r="K45" s="6">
        <f t="shared" si="13"/>
        <v>0.19178932942969976</v>
      </c>
      <c r="L45" s="7">
        <f t="shared" si="14"/>
        <v>1.1917893294296997</v>
      </c>
      <c r="O45">
        <f t="shared" si="15"/>
        <v>1997</v>
      </c>
      <c r="P45" s="6">
        <f t="shared" si="8"/>
        <v>0.2615550451377468</v>
      </c>
      <c r="Q45" s="6">
        <f t="shared" si="8"/>
        <v>0.3683303945383275</v>
      </c>
      <c r="R45" s="7"/>
      <c r="S45" s="7"/>
      <c r="T45" s="6">
        <f t="shared" si="9"/>
        <v>0</v>
      </c>
      <c r="U45" s="7"/>
      <c r="V45" s="6">
        <f t="shared" si="10"/>
        <v>0.22376141553324111</v>
      </c>
      <c r="W45" s="6">
        <f t="shared" si="16"/>
        <v>0.85364685520931538</v>
      </c>
      <c r="X45" s="7">
        <f t="shared" si="17"/>
        <v>0.62988543967607424</v>
      </c>
      <c r="Y45" s="7">
        <f t="shared" si="18"/>
        <v>0</v>
      </c>
    </row>
    <row r="46" spans="1:25" x14ac:dyDescent="0.25">
      <c r="A46">
        <f t="shared" si="3"/>
        <v>1998</v>
      </c>
      <c r="B46" s="2">
        <f t="shared" si="4"/>
        <v>69136.773045333946</v>
      </c>
      <c r="C46" s="2">
        <f t="shared" si="5"/>
        <v>81993.788788914797</v>
      </c>
      <c r="D46" s="2"/>
      <c r="E46" s="2"/>
      <c r="F46" s="2"/>
      <c r="G46" s="2">
        <f t="shared" ref="G46:G64" si="19">G45*(1+(G10/100))</f>
        <v>34759.507932813765</v>
      </c>
      <c r="H46" s="2">
        <f t="shared" si="7"/>
        <v>49915.737765830214</v>
      </c>
      <c r="I46" s="2">
        <f t="shared" si="11"/>
        <v>235805.80753289271</v>
      </c>
      <c r="J46" s="2">
        <f t="shared" si="12"/>
        <v>30357.552763749874</v>
      </c>
      <c r="K46" s="6">
        <f t="shared" si="13"/>
        <v>0.1477625244267074</v>
      </c>
      <c r="L46" s="7">
        <f t="shared" si="14"/>
        <v>1.1477625244267073</v>
      </c>
      <c r="O46">
        <f t="shared" si="15"/>
        <v>1998</v>
      </c>
      <c r="P46" s="6">
        <f t="shared" si="8"/>
        <v>0.29319368241467086</v>
      </c>
      <c r="Q46" s="6">
        <f t="shared" si="8"/>
        <v>0.34771742751703616</v>
      </c>
      <c r="R46" s="7"/>
      <c r="S46" s="7"/>
      <c r="T46" s="6">
        <f t="shared" si="9"/>
        <v>0</v>
      </c>
      <c r="U46" s="7"/>
      <c r="V46" s="6">
        <f t="shared" si="10"/>
        <v>0.21168154545501358</v>
      </c>
      <c r="W46" s="6">
        <f t="shared" si="16"/>
        <v>0.85259265538672069</v>
      </c>
      <c r="X46" s="7">
        <f t="shared" si="17"/>
        <v>0.64091110993170708</v>
      </c>
      <c r="Y46" s="7">
        <f t="shared" si="18"/>
        <v>0</v>
      </c>
    </row>
    <row r="47" spans="1:25" x14ac:dyDescent="0.25">
      <c r="A47">
        <f t="shared" si="3"/>
        <v>1999</v>
      </c>
      <c r="B47" s="2">
        <f t="shared" si="4"/>
        <v>83703.891125985814</v>
      </c>
      <c r="C47" s="2"/>
      <c r="D47" s="2">
        <f>($C46*0.67)*(1+(D11/100))</f>
        <v>63351.4595866374</v>
      </c>
      <c r="E47" s="2">
        <f>($C46*0.33)*(1+(E11/100))</f>
        <v>33317.265943319973</v>
      </c>
      <c r="F47" s="2"/>
      <c r="G47" s="2">
        <f t="shared" si="19"/>
        <v>45159.205111232317</v>
      </c>
      <c r="H47" s="2">
        <f t="shared" si="7"/>
        <v>49536.378158809901</v>
      </c>
      <c r="I47" s="2">
        <f t="shared" si="11"/>
        <v>275068.19992598542</v>
      </c>
      <c r="J47" s="2">
        <f t="shared" si="12"/>
        <v>39262.392393092712</v>
      </c>
      <c r="K47" s="6">
        <f t="shared" si="13"/>
        <v>0.16650307642493484</v>
      </c>
      <c r="L47" s="7">
        <f t="shared" si="14"/>
        <v>1.1665030764249349</v>
      </c>
      <c r="O47">
        <f t="shared" si="15"/>
        <v>1999</v>
      </c>
      <c r="P47" s="6">
        <f t="shared" si="8"/>
        <v>0.30430231901945998</v>
      </c>
      <c r="Q47" s="6">
        <f t="shared" si="8"/>
        <v>0</v>
      </c>
      <c r="R47" s="7"/>
      <c r="S47" s="7"/>
      <c r="T47" s="6"/>
      <c r="U47" s="6">
        <f t="shared" si="8"/>
        <v>0.16417457606289507</v>
      </c>
      <c r="V47" s="6">
        <f t="shared" si="10"/>
        <v>0.18008762253193575</v>
      </c>
      <c r="W47" s="6">
        <f t="shared" si="16"/>
        <v>0.64856451761429079</v>
      </c>
      <c r="X47" s="7">
        <f t="shared" si="17"/>
        <v>0.46847689508235502</v>
      </c>
      <c r="Y47" s="7">
        <f t="shared" si="18"/>
        <v>0</v>
      </c>
    </row>
    <row r="48" spans="1:25" x14ac:dyDescent="0.25">
      <c r="A48">
        <f t="shared" si="3"/>
        <v>2000</v>
      </c>
      <c r="B48" s="2">
        <f t="shared" si="4"/>
        <v>76120.318589971503</v>
      </c>
      <c r="C48" s="2"/>
      <c r="D48" s="2">
        <f t="shared" ref="D48:E48" si="20">D47*(1+(D12/100))</f>
        <v>74816.806742627028</v>
      </c>
      <c r="E48" s="2">
        <f t="shared" si="20"/>
        <v>32429.360805930497</v>
      </c>
      <c r="F48" s="2"/>
      <c r="G48" s="2">
        <f t="shared" si="19"/>
        <v>38108.046825164507</v>
      </c>
      <c r="H48" s="2">
        <f t="shared" si="7"/>
        <v>55178.571631098355</v>
      </c>
      <c r="I48" s="2">
        <f t="shared" si="11"/>
        <v>276653.10459479189</v>
      </c>
      <c r="J48" s="2">
        <f t="shared" si="12"/>
        <v>1584.90466880647</v>
      </c>
      <c r="K48" s="6">
        <f t="shared" si="13"/>
        <v>5.7618607648318911E-3</v>
      </c>
      <c r="L48" s="7">
        <f t="shared" si="14"/>
        <v>1.005761860764832</v>
      </c>
      <c r="O48">
        <f t="shared" si="15"/>
        <v>2000</v>
      </c>
      <c r="P48" s="6">
        <f t="shared" si="8"/>
        <v>0.27514716923731386</v>
      </c>
      <c r="Q48" s="6">
        <f t="shared" si="8"/>
        <v>0</v>
      </c>
      <c r="R48" s="7"/>
      <c r="S48" s="7"/>
      <c r="T48" s="6"/>
      <c r="U48" s="6">
        <f t="shared" si="8"/>
        <v>0.13774668056221737</v>
      </c>
      <c r="V48" s="6">
        <f t="shared" si="10"/>
        <v>0.19945039731947803</v>
      </c>
      <c r="W48" s="6">
        <f t="shared" si="16"/>
        <v>0.61234424711900926</v>
      </c>
      <c r="X48" s="7">
        <f t="shared" si="17"/>
        <v>0.41289384979953125</v>
      </c>
      <c r="Y48" s="7">
        <f t="shared" si="18"/>
        <v>0</v>
      </c>
    </row>
    <row r="49" spans="1:25" x14ac:dyDescent="0.25">
      <c r="A49">
        <f t="shared" si="3"/>
        <v>2001</v>
      </c>
      <c r="B49" s="2">
        <f t="shared" si="4"/>
        <v>66970.656295456924</v>
      </c>
      <c r="C49" s="2"/>
      <c r="D49" s="2">
        <f t="shared" ref="D49:E49" si="21">D48*(1+(D13/100))</f>
        <v>74443.470876981315</v>
      </c>
      <c r="E49" s="2">
        <f t="shared" si="21"/>
        <v>33434.670990914339</v>
      </c>
      <c r="F49" s="2"/>
      <c r="G49" s="2">
        <f t="shared" si="19"/>
        <v>30428.132148489105</v>
      </c>
      <c r="H49" s="2">
        <f t="shared" si="7"/>
        <v>59830.125219599948</v>
      </c>
      <c r="I49" s="2">
        <f t="shared" ref="I49:I64" si="22">SUM(B49:H49)</f>
        <v>265107.05553144164</v>
      </c>
      <c r="J49" s="2">
        <f t="shared" si="12"/>
        <v>-11546.049063350249</v>
      </c>
      <c r="K49" s="6">
        <f t="shared" ref="K49:K64" si="23">(J49/I48)</f>
        <v>-4.1734753276170565E-2</v>
      </c>
      <c r="L49" s="7">
        <f t="shared" si="14"/>
        <v>0.9582652467238294</v>
      </c>
      <c r="O49">
        <f t="shared" si="15"/>
        <v>2001</v>
      </c>
      <c r="P49" s="6">
        <f t="shared" si="8"/>
        <v>0.25261740454702541</v>
      </c>
      <c r="Q49" s="6"/>
      <c r="R49" s="6">
        <f t="shared" ref="R49:R50" si="24">D49/$I49</f>
        <v>0.28080531741318493</v>
      </c>
      <c r="S49" s="6">
        <f t="shared" ref="S49:S50" si="25">E49/$I49</f>
        <v>0.12611762038505608</v>
      </c>
      <c r="T49" s="6"/>
      <c r="U49" s="6">
        <f t="shared" si="8"/>
        <v>0.11477677230238911</v>
      </c>
      <c r="V49" s="6">
        <f t="shared" si="10"/>
        <v>0.2256828853523444</v>
      </c>
      <c r="W49" s="6">
        <f t="shared" si="16"/>
        <v>0.99999999999999989</v>
      </c>
      <c r="X49" s="7">
        <f t="shared" si="17"/>
        <v>0.77431711464765551</v>
      </c>
      <c r="Y49" s="7">
        <f t="shared" si="18"/>
        <v>0</v>
      </c>
    </row>
    <row r="50" spans="1:25" x14ac:dyDescent="0.25">
      <c r="A50">
        <f t="shared" si="3"/>
        <v>2002</v>
      </c>
      <c r="B50" s="2">
        <f t="shared" si="4"/>
        <v>52136.655926013213</v>
      </c>
      <c r="C50" s="2"/>
      <c r="D50" s="2">
        <f t="shared" si="5"/>
        <v>63568.768651271886</v>
      </c>
      <c r="E50" s="2">
        <f t="shared" si="5"/>
        <v>26740.381165113471</v>
      </c>
      <c r="F50" s="2"/>
      <c r="G50" s="2">
        <f t="shared" si="19"/>
        <v>25838.656976532493</v>
      </c>
      <c r="H50" s="2">
        <f t="shared" si="7"/>
        <v>64772.093562738904</v>
      </c>
      <c r="I50" s="2">
        <f t="shared" si="22"/>
        <v>233056.55628166997</v>
      </c>
      <c r="J50" s="2">
        <f t="shared" si="12"/>
        <v>-32050.499249771674</v>
      </c>
      <c r="K50" s="6">
        <f t="shared" si="23"/>
        <v>-0.12089644006464585</v>
      </c>
      <c r="L50" s="7">
        <f t="shared" si="14"/>
        <v>0.87910355993535416</v>
      </c>
      <c r="O50">
        <f t="shared" si="15"/>
        <v>2002</v>
      </c>
      <c r="P50" s="6">
        <f t="shared" si="8"/>
        <v>0.22370817091711137</v>
      </c>
      <c r="Q50" s="6"/>
      <c r="R50" s="6">
        <f t="shared" si="24"/>
        <v>0.27276112573483352</v>
      </c>
      <c r="S50" s="6">
        <f t="shared" si="25"/>
        <v>0.11473773401506585</v>
      </c>
      <c r="T50" s="7"/>
      <c r="U50" s="6">
        <f t="shared" si="8"/>
        <v>0.11086861227497129</v>
      </c>
      <c r="V50" s="6">
        <f t="shared" si="10"/>
        <v>0.27792435705801799</v>
      </c>
      <c r="W50" s="6">
        <f t="shared" si="16"/>
        <v>1</v>
      </c>
      <c r="X50" s="7">
        <f t="shared" si="17"/>
        <v>0.72207564294198201</v>
      </c>
      <c r="Y50" s="7">
        <f t="shared" si="18"/>
        <v>0</v>
      </c>
    </row>
    <row r="51" spans="1:25" x14ac:dyDescent="0.25">
      <c r="A51">
        <f t="shared" si="3"/>
        <v>2003</v>
      </c>
      <c r="B51" s="2">
        <f t="shared" ref="B51:B64" si="26">B50*(1+(B15/100))</f>
        <v>66995.602864926972</v>
      </c>
      <c r="C51" s="2"/>
      <c r="D51" s="2">
        <f t="shared" si="5"/>
        <v>85272.417644189132</v>
      </c>
      <c r="E51" s="2">
        <f t="shared" si="5"/>
        <v>38941.482283131445</v>
      </c>
      <c r="F51" s="2"/>
      <c r="G51" s="2">
        <f t="shared" si="19"/>
        <v>36261.971200865701</v>
      </c>
      <c r="H51" s="2">
        <f t="shared" si="7"/>
        <v>67343.545677179645</v>
      </c>
      <c r="I51" s="2">
        <f t="shared" si="22"/>
        <v>294815.01967029291</v>
      </c>
      <c r="J51" s="2">
        <f t="shared" si="12"/>
        <v>61758.463388622942</v>
      </c>
      <c r="K51" s="6">
        <f t="shared" si="23"/>
        <v>0.2649934607030846</v>
      </c>
      <c r="L51" s="7">
        <f t="shared" si="14"/>
        <v>1.2649934607030846</v>
      </c>
      <c r="O51">
        <f t="shared" si="15"/>
        <v>2003</v>
      </c>
      <c r="P51" s="6">
        <f t="shared" si="8"/>
        <v>0.2272462337225955</v>
      </c>
      <c r="Q51" s="7"/>
      <c r="R51" s="6">
        <f t="shared" si="8"/>
        <v>0.28924041163015962</v>
      </c>
      <c r="S51" s="6">
        <f t="shared" si="8"/>
        <v>0.13208785063488876</v>
      </c>
      <c r="T51" s="7"/>
      <c r="U51" s="6">
        <f t="shared" si="8"/>
        <v>0.12299906307833082</v>
      </c>
      <c r="V51" s="6">
        <f t="shared" si="10"/>
        <v>0.22842644093402523</v>
      </c>
      <c r="W51" s="6">
        <f t="shared" si="16"/>
        <v>0.99999999999999989</v>
      </c>
      <c r="X51" s="7">
        <f t="shared" si="17"/>
        <v>0.77157355906597469</v>
      </c>
      <c r="Y51" s="7">
        <f t="shared" si="18"/>
        <v>0</v>
      </c>
    </row>
    <row r="52" spans="1:25" x14ac:dyDescent="0.25">
      <c r="A52">
        <f t="shared" si="3"/>
        <v>2004</v>
      </c>
      <c r="B52" s="2">
        <f t="shared" si="26"/>
        <v>74190.930612620126</v>
      </c>
      <c r="C52" s="2"/>
      <c r="D52" s="2">
        <f t="shared" ref="D52:D64" si="27">D51*(1+(D16/100))</f>
        <v>102627.91280731095</v>
      </c>
      <c r="E52" s="2">
        <f t="shared" ref="E52:E64" si="28">E51*(1+(E16/100))</f>
        <v>46689.669013006111</v>
      </c>
      <c r="F52" s="2"/>
      <c r="G52" s="2">
        <f t="shared" si="19"/>
        <v>43817.878139990084</v>
      </c>
      <c r="H52" s="2">
        <f t="shared" si="7"/>
        <v>70198.912013892055</v>
      </c>
      <c r="I52" s="2">
        <f t="shared" si="22"/>
        <v>337525.30258681928</v>
      </c>
      <c r="J52" s="2">
        <f t="shared" si="12"/>
        <v>42710.282916526368</v>
      </c>
      <c r="K52" s="6">
        <f t="shared" si="23"/>
        <v>0.14487146199095119</v>
      </c>
      <c r="L52" s="7">
        <f t="shared" si="14"/>
        <v>1.1448714619909512</v>
      </c>
      <c r="O52">
        <f t="shared" si="15"/>
        <v>2004</v>
      </c>
      <c r="P52" s="6">
        <f t="shared" si="8"/>
        <v>0.21980850041171807</v>
      </c>
      <c r="Q52" s="7"/>
      <c r="R52" s="6">
        <f t="shared" si="8"/>
        <v>0.30405990905204117</v>
      </c>
      <c r="S52" s="6">
        <f t="shared" si="8"/>
        <v>0.13832938939739622</v>
      </c>
      <c r="T52" s="7"/>
      <c r="U52" s="6">
        <f t="shared" si="8"/>
        <v>0.12982101728127218</v>
      </c>
      <c r="V52" s="6">
        <f t="shared" si="10"/>
        <v>0.2079811838575725</v>
      </c>
      <c r="W52" s="6">
        <f t="shared" si="16"/>
        <v>1.0000000000000002</v>
      </c>
      <c r="X52" s="7">
        <f t="shared" si="17"/>
        <v>0.79201881614242764</v>
      </c>
      <c r="Y52" s="7">
        <f t="shared" si="18"/>
        <v>0</v>
      </c>
    </row>
    <row r="53" spans="1:25" x14ac:dyDescent="0.25">
      <c r="A53">
        <f t="shared" si="3"/>
        <v>2005</v>
      </c>
      <c r="B53" s="2">
        <f t="shared" si="26"/>
        <v>77729.838002842109</v>
      </c>
      <c r="C53" s="2"/>
      <c r="D53" s="2">
        <f t="shared" si="27"/>
        <v>116925.00734049744</v>
      </c>
      <c r="E53" s="2">
        <f t="shared" si="28"/>
        <v>50127.429342433752</v>
      </c>
      <c r="F53" s="2"/>
      <c r="G53" s="2">
        <f t="shared" si="19"/>
        <v>50640.759945167942</v>
      </c>
      <c r="H53" s="2">
        <f t="shared" si="7"/>
        <v>71883.685902225465</v>
      </c>
      <c r="I53" s="2">
        <f t="shared" si="22"/>
        <v>367306.72053316666</v>
      </c>
      <c r="J53" s="2">
        <f t="shared" si="12"/>
        <v>29781.417946347385</v>
      </c>
      <c r="K53" s="6">
        <f t="shared" si="23"/>
        <v>8.8234623354457753E-2</v>
      </c>
      <c r="L53" s="7">
        <f t="shared" si="14"/>
        <v>1.0882346233544578</v>
      </c>
      <c r="O53">
        <f t="shared" si="15"/>
        <v>2005</v>
      </c>
      <c r="P53" s="6">
        <f t="shared" si="8"/>
        <v>0.21162106124824728</v>
      </c>
      <c r="Q53" s="7"/>
      <c r="R53" s="6">
        <f t="shared" si="8"/>
        <v>0.31833070511417305</v>
      </c>
      <c r="S53" s="6">
        <f t="shared" si="8"/>
        <v>0.13647294356517878</v>
      </c>
      <c r="T53" s="7"/>
      <c r="U53" s="6">
        <f t="shared" si="8"/>
        <v>0.137870496547572</v>
      </c>
      <c r="V53" s="6">
        <f t="shared" si="10"/>
        <v>0.19570479352482903</v>
      </c>
      <c r="W53" s="6">
        <f t="shared" si="16"/>
        <v>1.0000000000000002</v>
      </c>
      <c r="X53" s="7">
        <f t="shared" si="17"/>
        <v>0.80429520647517116</v>
      </c>
      <c r="Y53" s="7">
        <f t="shared" si="18"/>
        <v>0</v>
      </c>
    </row>
    <row r="54" spans="1:25" x14ac:dyDescent="0.25">
      <c r="A54">
        <f t="shared" si="3"/>
        <v>2006</v>
      </c>
      <c r="B54" s="2">
        <f t="shared" si="26"/>
        <v>89886.784666486623</v>
      </c>
      <c r="C54" s="2"/>
      <c r="D54" s="2">
        <f t="shared" si="27"/>
        <v>132823.30058858485</v>
      </c>
      <c r="E54" s="2">
        <f t="shared" si="28"/>
        <v>57975.379680285179</v>
      </c>
      <c r="F54" s="2"/>
      <c r="G54" s="2">
        <f t="shared" si="19"/>
        <v>64129.939171762329</v>
      </c>
      <c r="H54" s="2">
        <f t="shared" si="7"/>
        <v>74953.119290250484</v>
      </c>
      <c r="I54" s="2">
        <f t="shared" si="22"/>
        <v>419768.52339736943</v>
      </c>
      <c r="J54" s="2">
        <f t="shared" si="12"/>
        <v>52461.802864202764</v>
      </c>
      <c r="K54" s="6">
        <f t="shared" si="23"/>
        <v>0.14282832284705127</v>
      </c>
      <c r="L54" s="7">
        <f t="shared" si="14"/>
        <v>1.1428283228470513</v>
      </c>
      <c r="O54">
        <f t="shared" si="15"/>
        <v>2006</v>
      </c>
      <c r="P54" s="6">
        <f t="shared" si="8"/>
        <v>0.21413417075438085</v>
      </c>
      <c r="Q54" s="7"/>
      <c r="R54" s="6">
        <f t="shared" si="8"/>
        <v>0.31642034403529845</v>
      </c>
      <c r="S54" s="6">
        <f t="shared" si="8"/>
        <v>0.13811273701769058</v>
      </c>
      <c r="T54" s="7"/>
      <c r="U54" s="6">
        <f t="shared" si="8"/>
        <v>0.15277453071690753</v>
      </c>
      <c r="V54" s="6">
        <f t="shared" si="10"/>
        <v>0.1785582174757227</v>
      </c>
      <c r="W54" s="6">
        <f t="shared" si="16"/>
        <v>1</v>
      </c>
      <c r="X54" s="7">
        <f t="shared" si="17"/>
        <v>0.82144178252427735</v>
      </c>
      <c r="Y54" s="7">
        <f t="shared" si="18"/>
        <v>0</v>
      </c>
    </row>
    <row r="55" spans="1:25" x14ac:dyDescent="0.25">
      <c r="A55">
        <f t="shared" si="3"/>
        <v>2007</v>
      </c>
      <c r="B55" s="2">
        <f t="shared" si="26"/>
        <v>94731.682360010251</v>
      </c>
      <c r="C55" s="2"/>
      <c r="D55" s="2">
        <f t="shared" si="27"/>
        <v>140820.59151702357</v>
      </c>
      <c r="E55" s="2">
        <f t="shared" si="28"/>
        <v>58645.575069389277</v>
      </c>
      <c r="F55" s="2"/>
      <c r="G55" s="2">
        <f t="shared" si="19"/>
        <v>74084.188330003279</v>
      </c>
      <c r="H55" s="2">
        <f t="shared" si="7"/>
        <v>80139.875145135811</v>
      </c>
      <c r="I55" s="2">
        <f t="shared" si="22"/>
        <v>448421.91242156219</v>
      </c>
      <c r="J55" s="2">
        <f t="shared" si="12"/>
        <v>28653.389024192758</v>
      </c>
      <c r="K55" s="6">
        <f t="shared" si="23"/>
        <v>6.8259975265149486E-2</v>
      </c>
      <c r="L55" s="7">
        <f t="shared" si="14"/>
        <v>1.0682599752651494</v>
      </c>
      <c r="O55">
        <f t="shared" si="15"/>
        <v>2007</v>
      </c>
      <c r="P55" s="6">
        <f t="shared" si="8"/>
        <v>0.21125569410388856</v>
      </c>
      <c r="Q55" s="7"/>
      <c r="R55" s="6">
        <f t="shared" si="8"/>
        <v>0.31403592825463422</v>
      </c>
      <c r="S55" s="6">
        <f t="shared" si="8"/>
        <v>0.13078213496011426</v>
      </c>
      <c r="T55" s="7"/>
      <c r="U55" s="6">
        <f t="shared" si="8"/>
        <v>0.16521090133605382</v>
      </c>
      <c r="V55" s="6">
        <f t="shared" si="10"/>
        <v>0.17871534134530914</v>
      </c>
      <c r="W55" s="6">
        <f t="shared" si="16"/>
        <v>1</v>
      </c>
      <c r="X55" s="7">
        <f t="shared" si="17"/>
        <v>0.82128465865469091</v>
      </c>
      <c r="Y55" s="7">
        <f t="shared" si="18"/>
        <v>0</v>
      </c>
    </row>
    <row r="56" spans="1:25" x14ac:dyDescent="0.25">
      <c r="A56">
        <f t="shared" si="3"/>
        <v>2008</v>
      </c>
      <c r="B56" s="2">
        <f t="shared" si="26"/>
        <v>59662.01355033445</v>
      </c>
      <c r="C56" s="2"/>
      <c r="D56" s="2">
        <f t="shared" si="27"/>
        <v>81923.787320943637</v>
      </c>
      <c r="E56" s="2">
        <f t="shared" si="28"/>
        <v>37492.116141860562</v>
      </c>
      <c r="F56" s="2"/>
      <c r="G56" s="2">
        <f t="shared" si="19"/>
        <v>41412.320434588531</v>
      </c>
      <c r="H56" s="2">
        <f t="shared" si="7"/>
        <v>84186.938839965165</v>
      </c>
      <c r="I56" s="2">
        <f t="shared" si="22"/>
        <v>304677.17628769233</v>
      </c>
      <c r="J56" s="2">
        <f>I56-I55</f>
        <v>-143744.73613386985</v>
      </c>
      <c r="K56" s="6">
        <f>(J56/I55)</f>
        <v>-0.32055689553086603</v>
      </c>
      <c r="L56" s="7">
        <f t="shared" si="14"/>
        <v>0.67944310446913403</v>
      </c>
      <c r="O56">
        <f t="shared" si="15"/>
        <v>2008</v>
      </c>
      <c r="P56" s="6">
        <f t="shared" si="8"/>
        <v>0.19582042303686842</v>
      </c>
      <c r="Q56" s="7"/>
      <c r="R56" s="6">
        <f t="shared" si="8"/>
        <v>0.26888718189900401</v>
      </c>
      <c r="S56" s="6">
        <f t="shared" si="8"/>
        <v>0.12305521732438048</v>
      </c>
      <c r="T56" s="7"/>
      <c r="U56" s="6">
        <f t="shared" si="8"/>
        <v>0.13592196481263441</v>
      </c>
      <c r="V56" s="6">
        <f t="shared" si="10"/>
        <v>0.2763152129271127</v>
      </c>
      <c r="W56" s="6">
        <f t="shared" si="16"/>
        <v>1</v>
      </c>
      <c r="X56" s="7">
        <f t="shared" si="17"/>
        <v>0.7236847870728873</v>
      </c>
      <c r="Y56" s="7">
        <f t="shared" si="18"/>
        <v>0</v>
      </c>
    </row>
    <row r="57" spans="1:25" x14ac:dyDescent="0.25">
      <c r="A57">
        <f t="shared" si="3"/>
        <v>2009</v>
      </c>
      <c r="B57" s="2">
        <f t="shared" si="26"/>
        <v>75466.480939818037</v>
      </c>
      <c r="C57" s="2"/>
      <c r="D57" s="2">
        <f t="shared" si="27"/>
        <v>114871.89610568075</v>
      </c>
      <c r="E57" s="2">
        <f t="shared" si="28"/>
        <v>51033.518649977763</v>
      </c>
      <c r="F57" s="2"/>
      <c r="G57" s="2">
        <f t="shared" si="19"/>
        <v>56621.823360599861</v>
      </c>
      <c r="H57" s="2">
        <f t="shared" si="7"/>
        <v>89179.224313175087</v>
      </c>
      <c r="I57" s="2">
        <f t="shared" si="22"/>
        <v>387172.9433692515</v>
      </c>
      <c r="J57" s="2">
        <f t="shared" si="12"/>
        <v>82495.76708155917</v>
      </c>
      <c r="K57" s="6">
        <f t="shared" si="23"/>
        <v>0.27076451241514166</v>
      </c>
      <c r="L57" s="7">
        <f t="shared" si="14"/>
        <v>1.2707645124151417</v>
      </c>
      <c r="O57">
        <f t="shared" si="15"/>
        <v>2009</v>
      </c>
      <c r="P57" s="6">
        <f t="shared" si="8"/>
        <v>0.1949167219255937</v>
      </c>
      <c r="Q57" s="7"/>
      <c r="R57" s="6">
        <f t="shared" si="8"/>
        <v>0.29669401768120462</v>
      </c>
      <c r="S57" s="6">
        <f t="shared" si="8"/>
        <v>0.13181065341465889</v>
      </c>
      <c r="T57" s="7"/>
      <c r="U57" s="6">
        <f t="shared" si="8"/>
        <v>0.14624426714291072</v>
      </c>
      <c r="V57" s="6">
        <f t="shared" si="10"/>
        <v>0.23033433983563203</v>
      </c>
      <c r="W57" s="6">
        <f t="shared" si="16"/>
        <v>1</v>
      </c>
      <c r="X57" s="7">
        <f t="shared" si="17"/>
        <v>0.76966566016436799</v>
      </c>
      <c r="Y57" s="7">
        <f t="shared" si="18"/>
        <v>0</v>
      </c>
    </row>
    <row r="58" spans="1:25" x14ac:dyDescent="0.25">
      <c r="A58">
        <f t="shared" si="3"/>
        <v>2010</v>
      </c>
      <c r="B58" s="2">
        <f t="shared" si="26"/>
        <v>86718.533247944913</v>
      </c>
      <c r="C58" s="2"/>
      <c r="D58" s="2">
        <f t="shared" si="27"/>
        <v>144118.28085418706</v>
      </c>
      <c r="E58" s="2">
        <f t="shared" si="28"/>
        <v>65180.010019751608</v>
      </c>
      <c r="F58" s="2"/>
      <c r="G58" s="2">
        <f t="shared" si="19"/>
        <v>62918.170118298563</v>
      </c>
      <c r="H58" s="2">
        <f t="shared" si="7"/>
        <v>94904.530514080936</v>
      </c>
      <c r="I58" s="2">
        <f t="shared" si="22"/>
        <v>453839.52475426311</v>
      </c>
      <c r="J58" s="2">
        <f t="shared" si="12"/>
        <v>66666.58138501161</v>
      </c>
      <c r="K58" s="6">
        <f t="shared" si="23"/>
        <v>0.17218812039102352</v>
      </c>
      <c r="L58" s="7">
        <f t="shared" si="14"/>
        <v>1.1721881203910236</v>
      </c>
      <c r="O58">
        <f t="shared" si="15"/>
        <v>2010</v>
      </c>
      <c r="P58" s="6">
        <f t="shared" si="8"/>
        <v>0.1910775252439719</v>
      </c>
      <c r="Q58" s="7"/>
      <c r="R58" s="6">
        <f t="shared" si="8"/>
        <v>0.3175533927597462</v>
      </c>
      <c r="S58" s="6">
        <f t="shared" si="8"/>
        <v>0.14361906899810922</v>
      </c>
      <c r="T58" s="7"/>
      <c r="U58" s="6">
        <f t="shared" si="8"/>
        <v>0.1386352811654436</v>
      </c>
      <c r="V58" s="6">
        <f t="shared" si="10"/>
        <v>0.20911473183272908</v>
      </c>
      <c r="W58" s="6">
        <f t="shared" si="16"/>
        <v>1</v>
      </c>
      <c r="X58" s="7">
        <f t="shared" si="17"/>
        <v>0.79088526816727089</v>
      </c>
      <c r="Y58" s="7">
        <f t="shared" si="18"/>
        <v>0</v>
      </c>
    </row>
    <row r="59" spans="1:25" x14ac:dyDescent="0.25">
      <c r="A59">
        <f t="shared" si="3"/>
        <v>2011</v>
      </c>
      <c r="B59" s="2">
        <f t="shared" si="26"/>
        <v>88426.88835292944</v>
      </c>
      <c r="C59" s="2"/>
      <c r="D59" s="2">
        <f t="shared" si="27"/>
        <v>141077.3851281637</v>
      </c>
      <c r="E59" s="2">
        <f t="shared" si="28"/>
        <v>63354.969739198561</v>
      </c>
      <c r="F59" s="2"/>
      <c r="G59" s="2">
        <f t="shared" si="19"/>
        <v>53757.284549074298</v>
      </c>
      <c r="H59" s="2">
        <f t="shared" si="7"/>
        <v>102079.31302094547</v>
      </c>
      <c r="I59" s="2">
        <f t="shared" si="22"/>
        <v>448695.84079031146</v>
      </c>
      <c r="J59" s="2">
        <f t="shared" si="12"/>
        <v>-5143.6839639516547</v>
      </c>
      <c r="K59" s="6">
        <f t="shared" si="23"/>
        <v>-1.1333706483005782E-2</v>
      </c>
      <c r="L59" s="7">
        <f t="shared" si="14"/>
        <v>0.9886662935169942</v>
      </c>
      <c r="O59">
        <f t="shared" si="15"/>
        <v>2011</v>
      </c>
      <c r="P59" s="6">
        <f t="shared" si="8"/>
        <v>0.19707534662496209</v>
      </c>
      <c r="Q59" s="7"/>
      <c r="R59" s="6">
        <f t="shared" si="8"/>
        <v>0.31441652073189874</v>
      </c>
      <c r="S59" s="6">
        <f t="shared" si="8"/>
        <v>0.14119803211816748</v>
      </c>
      <c r="T59" s="7"/>
      <c r="U59" s="6">
        <f t="shared" si="8"/>
        <v>0.11980785124816129</v>
      </c>
      <c r="V59" s="6">
        <f t="shared" si="10"/>
        <v>0.2275022492768104</v>
      </c>
      <c r="W59" s="6">
        <f t="shared" si="16"/>
        <v>1</v>
      </c>
      <c r="X59" s="7">
        <f t="shared" si="17"/>
        <v>0.7724977507231896</v>
      </c>
      <c r="Y59" s="7">
        <f t="shared" si="18"/>
        <v>0</v>
      </c>
    </row>
    <row r="60" spans="1:25" x14ac:dyDescent="0.25">
      <c r="A60">
        <f t="shared" si="3"/>
        <v>2012</v>
      </c>
      <c r="B60" s="2">
        <f t="shared" si="26"/>
        <v>102416.02209036287</v>
      </c>
      <c r="C60" s="2"/>
      <c r="D60" s="2">
        <f t="shared" si="27"/>
        <v>163367.61197841357</v>
      </c>
      <c r="E60" s="2">
        <f t="shared" si="28"/>
        <v>74784.206280149985</v>
      </c>
      <c r="F60" s="2"/>
      <c r="G60" s="2">
        <f t="shared" si="19"/>
        <v>63508.85596627638</v>
      </c>
      <c r="H60" s="2">
        <f t="shared" si="7"/>
        <v>106213.52519829376</v>
      </c>
      <c r="I60" s="2">
        <f t="shared" si="22"/>
        <v>510290.2215134966</v>
      </c>
      <c r="J60" s="2">
        <f t="shared" si="12"/>
        <v>61594.380723185139</v>
      </c>
      <c r="K60" s="6">
        <f t="shared" si="23"/>
        <v>0.1372742404179538</v>
      </c>
      <c r="L60" s="7">
        <f t="shared" si="14"/>
        <v>1.1372742404179539</v>
      </c>
      <c r="O60">
        <f t="shared" si="15"/>
        <v>2012</v>
      </c>
      <c r="P60" s="6">
        <f t="shared" si="8"/>
        <v>0.20070151802360978</v>
      </c>
      <c r="Q60" s="7"/>
      <c r="R60" s="6">
        <f t="shared" si="8"/>
        <v>0.32014646781565398</v>
      </c>
      <c r="S60" s="6">
        <f t="shared" si="8"/>
        <v>0.14655230127346666</v>
      </c>
      <c r="T60" s="7"/>
      <c r="U60" s="6">
        <f t="shared" si="8"/>
        <v>0.12445634521059824</v>
      </c>
      <c r="V60" s="6">
        <f t="shared" si="10"/>
        <v>0.2081433676766713</v>
      </c>
      <c r="W60" s="6">
        <f t="shared" si="16"/>
        <v>0.99999999999999989</v>
      </c>
      <c r="X60" s="7">
        <f t="shared" si="17"/>
        <v>0.79185663232332859</v>
      </c>
      <c r="Y60" s="7">
        <f t="shared" si="18"/>
        <v>0</v>
      </c>
    </row>
    <row r="61" spans="1:25" x14ac:dyDescent="0.25">
      <c r="A61">
        <f t="shared" si="3"/>
        <v>2013</v>
      </c>
      <c r="B61" s="2">
        <f t="shared" si="26"/>
        <v>135373.49799904163</v>
      </c>
      <c r="C61" s="2"/>
      <c r="D61" s="2">
        <f t="shared" si="27"/>
        <v>220546.27617085833</v>
      </c>
      <c r="E61" s="2">
        <f t="shared" si="28"/>
        <v>102918.0246827424</v>
      </c>
      <c r="F61" s="2"/>
      <c r="G61" s="2">
        <f t="shared" si="19"/>
        <v>73060.587903604333</v>
      </c>
      <c r="H61" s="2">
        <f t="shared" si="7"/>
        <v>103813.09952881232</v>
      </c>
      <c r="I61" s="2">
        <f t="shared" si="22"/>
        <v>635711.48628505913</v>
      </c>
      <c r="J61" s="2">
        <f t="shared" si="12"/>
        <v>125421.26477156254</v>
      </c>
      <c r="K61" s="6">
        <f t="shared" si="23"/>
        <v>0.24578418218473599</v>
      </c>
      <c r="L61" s="7">
        <f t="shared" si="14"/>
        <v>1.245784182184736</v>
      </c>
      <c r="O61">
        <f t="shared" si="15"/>
        <v>2013</v>
      </c>
      <c r="P61" s="6">
        <f t="shared" si="8"/>
        <v>0.21294801324124393</v>
      </c>
      <c r="Q61" s="7"/>
      <c r="R61" s="6">
        <f t="shared" si="8"/>
        <v>0.34692825429295965</v>
      </c>
      <c r="S61" s="6">
        <f t="shared" si="8"/>
        <v>0.16189423488974519</v>
      </c>
      <c r="T61" s="7"/>
      <c r="U61" s="6">
        <f t="shared" si="8"/>
        <v>0.11492727358215966</v>
      </c>
      <c r="V61" s="6">
        <f t="shared" si="10"/>
        <v>0.16330222399389135</v>
      </c>
      <c r="W61" s="6">
        <f t="shared" si="16"/>
        <v>0.99999999999999989</v>
      </c>
      <c r="X61" s="7">
        <f t="shared" si="17"/>
        <v>0.83669777600610851</v>
      </c>
      <c r="Y61" s="7">
        <f t="shared" si="18"/>
        <v>0</v>
      </c>
    </row>
    <row r="62" spans="1:25" x14ac:dyDescent="0.25">
      <c r="A62">
        <f t="shared" si="3"/>
        <v>2014</v>
      </c>
      <c r="B62" s="2">
        <f t="shared" si="26"/>
        <v>153662.45757871214</v>
      </c>
      <c r="C62" s="2"/>
      <c r="D62" s="2">
        <f t="shared" si="27"/>
        <v>250540.5697300951</v>
      </c>
      <c r="E62" s="2">
        <f t="shared" si="28"/>
        <v>110503.08310186052</v>
      </c>
      <c r="F62" s="2"/>
      <c r="G62" s="2">
        <f t="shared" si="19"/>
        <v>69962.818976491515</v>
      </c>
      <c r="H62" s="2">
        <f t="shared" si="7"/>
        <v>109792.73406167192</v>
      </c>
      <c r="I62" s="2">
        <f t="shared" si="22"/>
        <v>694461.66344883118</v>
      </c>
      <c r="J62" s="2">
        <f t="shared" si="12"/>
        <v>58750.177163772052</v>
      </c>
      <c r="K62" s="6">
        <f t="shared" si="23"/>
        <v>9.2416415986273232E-2</v>
      </c>
      <c r="L62" s="7">
        <f t="shared" si="14"/>
        <v>1.0924164159862733</v>
      </c>
      <c r="O62">
        <f t="shared" si="15"/>
        <v>2014</v>
      </c>
      <c r="P62" s="6">
        <f t="shared" si="8"/>
        <v>0.22126845248101185</v>
      </c>
      <c r="Q62" s="7"/>
      <c r="R62" s="6">
        <f t="shared" si="8"/>
        <v>0.36076947500004836</v>
      </c>
      <c r="S62" s="6">
        <f t="shared" si="8"/>
        <v>0.15912049421573654</v>
      </c>
      <c r="T62" s="7"/>
      <c r="U62" s="6">
        <f t="shared" si="8"/>
        <v>0.10074396134272208</v>
      </c>
      <c r="V62" s="6">
        <f t="shared" si="10"/>
        <v>0.15809761696048119</v>
      </c>
      <c r="W62" s="6">
        <f t="shared" si="16"/>
        <v>1</v>
      </c>
      <c r="X62" s="7">
        <f t="shared" si="17"/>
        <v>0.84190238303951892</v>
      </c>
      <c r="Y62" s="7">
        <f t="shared" si="18"/>
        <v>0</v>
      </c>
    </row>
    <row r="63" spans="1:25" x14ac:dyDescent="0.25">
      <c r="A63">
        <f t="shared" si="3"/>
        <v>2015</v>
      </c>
      <c r="B63" s="2">
        <f t="shared" si="26"/>
        <v>155583.23829844603</v>
      </c>
      <c r="C63" s="2"/>
      <c r="D63" s="2">
        <f t="shared" si="27"/>
        <v>246882.67741203573</v>
      </c>
      <c r="E63" s="2">
        <f t="shared" si="28"/>
        <v>106326.06656061018</v>
      </c>
      <c r="F63" s="2"/>
      <c r="G63" s="2">
        <f t="shared" si="19"/>
        <v>66905.443787218843</v>
      </c>
      <c r="H63" s="2">
        <f t="shared" si="7"/>
        <v>110122.11226385692</v>
      </c>
      <c r="I63" s="2">
        <f t="shared" si="22"/>
        <v>685819.5383221677</v>
      </c>
      <c r="J63" s="2">
        <f t="shared" si="12"/>
        <v>-8642.125126663479</v>
      </c>
      <c r="K63" s="6">
        <f t="shared" si="23"/>
        <v>-1.2444351620138412E-2</v>
      </c>
      <c r="L63" s="7">
        <f t="shared" si="14"/>
        <v>0.98755564837986154</v>
      </c>
      <c r="O63">
        <f t="shared" si="15"/>
        <v>2015</v>
      </c>
      <c r="P63" s="6">
        <f t="shared" si="8"/>
        <v>0.22685740140777369</v>
      </c>
      <c r="Q63" s="7"/>
      <c r="R63" s="6">
        <f t="shared" si="8"/>
        <v>0.35998198303889845</v>
      </c>
      <c r="S63" s="6">
        <f t="shared" si="8"/>
        <v>0.15503505021267402</v>
      </c>
      <c r="T63" s="7"/>
      <c r="U63" s="6">
        <f t="shared" si="8"/>
        <v>9.7555464737707168E-2</v>
      </c>
      <c r="V63" s="6">
        <f t="shared" si="10"/>
        <v>0.16057010060294669</v>
      </c>
      <c r="W63" s="6">
        <f t="shared" si="16"/>
        <v>1</v>
      </c>
      <c r="X63" s="7">
        <f t="shared" si="17"/>
        <v>0.83942989939705337</v>
      </c>
      <c r="Y63" s="7">
        <f t="shared" si="18"/>
        <v>0</v>
      </c>
    </row>
    <row r="64" spans="1:25" x14ac:dyDescent="0.25">
      <c r="A64">
        <f t="shared" si="3"/>
        <v>2016</v>
      </c>
      <c r="B64" s="2">
        <f t="shared" si="26"/>
        <v>173973.17706532235</v>
      </c>
      <c r="C64" s="2"/>
      <c r="D64" s="2">
        <f t="shared" si="27"/>
        <v>274212.58980154811</v>
      </c>
      <c r="E64" s="2">
        <f t="shared" si="28"/>
        <v>125645.51285467306</v>
      </c>
      <c r="F64" s="2"/>
      <c r="G64" s="2">
        <f t="shared" si="19"/>
        <v>70016.546923324524</v>
      </c>
      <c r="H64" s="2">
        <f t="shared" si="7"/>
        <v>112875.16507045334</v>
      </c>
      <c r="I64" s="2">
        <f t="shared" si="22"/>
        <v>756722.99171532143</v>
      </c>
      <c r="J64" s="2">
        <f t="shared" si="12"/>
        <v>70903.45339315373</v>
      </c>
      <c r="K64" s="6">
        <f t="shared" si="23"/>
        <v>0.10338500061782495</v>
      </c>
      <c r="L64" s="7">
        <f t="shared" si="14"/>
        <v>1.103385000617825</v>
      </c>
      <c r="O64">
        <f t="shared" si="15"/>
        <v>2016</v>
      </c>
      <c r="P64" s="6">
        <f t="shared" si="8"/>
        <v>0.22990338468633567</v>
      </c>
      <c r="Q64" s="7"/>
      <c r="R64" s="6">
        <f t="shared" si="8"/>
        <v>0.36236851900055211</v>
      </c>
      <c r="S64" s="6">
        <f t="shared" si="8"/>
        <v>0.16603897890014263</v>
      </c>
      <c r="T64" s="7"/>
      <c r="U64" s="6">
        <f t="shared" si="8"/>
        <v>9.2525993910417215E-2</v>
      </c>
      <c r="V64" s="6">
        <f t="shared" si="10"/>
        <v>0.14916312350255229</v>
      </c>
      <c r="W64" s="6">
        <f t="shared" si="16"/>
        <v>1</v>
      </c>
      <c r="X64" s="7">
        <f t="shared" si="17"/>
        <v>0.85083687649744766</v>
      </c>
      <c r="Y64" s="7">
        <f t="shared" si="18"/>
        <v>0</v>
      </c>
    </row>
    <row r="65" spans="1:19" x14ac:dyDescent="0.25">
      <c r="A65" s="9" t="s">
        <v>78</v>
      </c>
      <c r="B65" s="10">
        <f>B64</f>
        <v>173973.17706532235</v>
      </c>
      <c r="C65" s="10"/>
      <c r="D65" s="10">
        <f>D64</f>
        <v>274212.58980154811</v>
      </c>
      <c r="E65" s="10">
        <f>E64</f>
        <v>125645.51285467306</v>
      </c>
      <c r="F65" s="10"/>
      <c r="G65" s="10">
        <f>G64</f>
        <v>70016.546923324524</v>
      </c>
      <c r="H65" s="10">
        <f>H64</f>
        <v>112875.16507045334</v>
      </c>
      <c r="I65" s="52">
        <f>SUM(B64:H64)</f>
        <v>756722.99171532143</v>
      </c>
      <c r="J65" s="10"/>
      <c r="K65" s="10"/>
      <c r="L65" s="73"/>
      <c r="S65" s="7"/>
    </row>
    <row r="66" spans="1:19" x14ac:dyDescent="0.25">
      <c r="A66" s="11" t="s">
        <v>79</v>
      </c>
      <c r="I66" s="51">
        <f>(I65-I39)/I39</f>
        <v>6.567229917153214</v>
      </c>
      <c r="K66" s="6"/>
      <c r="R66" s="7"/>
    </row>
    <row r="67" spans="1:19" x14ac:dyDescent="0.25">
      <c r="A67" s="1" t="s">
        <v>80</v>
      </c>
      <c r="I67" s="29">
        <f>STDEV(L40:L64)</f>
        <v>0.13252127193602248</v>
      </c>
    </row>
    <row r="68" spans="1:19" x14ac:dyDescent="0.25">
      <c r="A68" s="1" t="s">
        <v>81</v>
      </c>
      <c r="I68" s="13">
        <f>((1+I66)^(1/I73))-1</f>
        <v>8.4320022176404219E-2</v>
      </c>
    </row>
    <row r="69" spans="1:19" x14ac:dyDescent="0.25">
      <c r="A69" s="1" t="s">
        <v>82</v>
      </c>
      <c r="I69" s="31">
        <f>J60</f>
        <v>61594.380723185139</v>
      </c>
    </row>
    <row r="70" spans="1:19" x14ac:dyDescent="0.25">
      <c r="A70" s="1" t="s">
        <v>83</v>
      </c>
      <c r="I70" s="32">
        <f>K60</f>
        <v>0.1372742404179538</v>
      </c>
    </row>
    <row r="71" spans="1:19" x14ac:dyDescent="0.25">
      <c r="A71" s="3" t="s">
        <v>84</v>
      </c>
      <c r="I71" s="33">
        <f>I64-I65</f>
        <v>0</v>
      </c>
    </row>
    <row r="72" spans="1:19" x14ac:dyDescent="0.25">
      <c r="A72" s="3" t="s">
        <v>148</v>
      </c>
      <c r="I72" s="33">
        <f>((SUM(J40:J64))-(I65-I39))</f>
        <v>0</v>
      </c>
    </row>
    <row r="73" spans="1:19" x14ac:dyDescent="0.25">
      <c r="A73" s="3" t="s">
        <v>159</v>
      </c>
      <c r="I73" s="3">
        <f>COUNTA(I40:I64)</f>
        <v>25</v>
      </c>
    </row>
    <row r="74" spans="1:19" x14ac:dyDescent="0.25">
      <c r="A74" s="1" t="s">
        <v>105</v>
      </c>
      <c r="B74" s="62"/>
      <c r="C74" s="62"/>
      <c r="D74" s="62"/>
      <c r="E74" s="62"/>
      <c r="G74" s="62"/>
      <c r="H74" s="62"/>
      <c r="I74" s="85">
        <f>(SUM(B65:G65)/I65)</f>
        <v>0.85083687649744777</v>
      </c>
    </row>
    <row r="75" spans="1:19" x14ac:dyDescent="0.25">
      <c r="A75" s="1" t="s">
        <v>106</v>
      </c>
      <c r="B75" s="62"/>
      <c r="C75" s="62"/>
      <c r="D75" s="62"/>
      <c r="E75" s="62"/>
      <c r="G75" s="62"/>
      <c r="H75" s="62"/>
      <c r="I75" s="85">
        <f>(H65/I65)</f>
        <v>0.14916312350255229</v>
      </c>
    </row>
    <row r="76" spans="1:19" x14ac:dyDescent="0.25">
      <c r="A76" s="3" t="s">
        <v>107</v>
      </c>
      <c r="I76" s="3">
        <f>100%-(I74+I75)</f>
        <v>0</v>
      </c>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76"/>
  <sheetViews>
    <sheetView topLeftCell="A41" zoomScaleNormal="100" workbookViewId="0">
      <selection activeCell="A71" sqref="A71"/>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49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1992</v>
      </c>
      <c r="B4" s="17">
        <f>'Non-Rebalanced Portfolio'!B4</f>
        <v>7.42</v>
      </c>
      <c r="C4" s="17">
        <f>'Non-Rebalanced Portfolio'!C4</f>
        <v>12.465999999999999</v>
      </c>
      <c r="D4" s="17"/>
      <c r="E4" s="17"/>
      <c r="F4" s="17">
        <f>'Non-Rebalanced Portfolio'!F4</f>
        <v>-8.7210000000000001</v>
      </c>
      <c r="G4" s="17"/>
      <c r="H4" s="17">
        <f>'Non-Rebalanced Portfolio'!H4</f>
        <v>7.14</v>
      </c>
    </row>
    <row r="5" spans="1:8" x14ac:dyDescent="0.25">
      <c r="A5" s="17">
        <f>'Non-Rebalanced Portfolio'!A5</f>
        <v>1993</v>
      </c>
      <c r="B5" s="17">
        <f>'Non-Rebalanced Portfolio'!B5</f>
        <v>9.89</v>
      </c>
      <c r="C5" s="17">
        <f>'Non-Rebalanced Portfolio'!C5</f>
        <v>14.49</v>
      </c>
      <c r="D5" s="17"/>
      <c r="E5" s="17"/>
      <c r="F5" s="17">
        <f>'Non-Rebalanced Portfolio'!F5</f>
        <v>30.494</v>
      </c>
      <c r="G5" s="17"/>
      <c r="H5" s="17">
        <f>'Non-Rebalanced Portfolio'!H5</f>
        <v>9.68</v>
      </c>
    </row>
    <row r="6" spans="1:8" x14ac:dyDescent="0.25">
      <c r="A6" s="17">
        <f>'Non-Rebalanced Portfolio'!A6</f>
        <v>1994</v>
      </c>
      <c r="B6" s="17">
        <f>'Non-Rebalanced Portfolio'!B6</f>
        <v>1.18</v>
      </c>
      <c r="C6" s="17">
        <f>'Non-Rebalanced Portfolio'!C6</f>
        <v>-1.764</v>
      </c>
      <c r="D6" s="17"/>
      <c r="E6" s="17"/>
      <c r="F6" s="17">
        <f>'Non-Rebalanced Portfolio'!F6</f>
        <v>5.2549999999999999</v>
      </c>
      <c r="G6" s="17"/>
      <c r="H6" s="17">
        <f>'Non-Rebalanced Portfolio'!H6</f>
        <v>-2.66</v>
      </c>
    </row>
    <row r="7" spans="1:8" x14ac:dyDescent="0.25">
      <c r="A7" s="17">
        <f>'Non-Rebalanced Portfolio'!A7</f>
        <v>1995</v>
      </c>
      <c r="B7" s="17">
        <f>'Non-Rebalanced Portfolio'!B7</f>
        <v>37.450000000000003</v>
      </c>
      <c r="C7" s="17">
        <f>'Non-Rebalanced Portfolio'!C7</f>
        <v>33.796999999999997</v>
      </c>
      <c r="D7" s="17"/>
      <c r="E7" s="17"/>
      <c r="F7" s="17">
        <f>'Non-Rebalanced Portfolio'!F7</f>
        <v>9.6460000000000008</v>
      </c>
      <c r="G7" s="17"/>
      <c r="H7" s="17">
        <f>'Non-Rebalanced Portfolio'!H7</f>
        <v>18.18</v>
      </c>
    </row>
    <row r="8" spans="1:8" x14ac:dyDescent="0.25">
      <c r="A8" s="17">
        <f>'Non-Rebalanced Portfolio'!A8</f>
        <v>1996</v>
      </c>
      <c r="B8" s="17">
        <f>'Non-Rebalanced Portfolio'!B8</f>
        <v>22.88</v>
      </c>
      <c r="C8" s="17">
        <f>'Non-Rebalanced Portfolio'!C8</f>
        <v>17.646999999999998</v>
      </c>
      <c r="D8" s="17"/>
      <c r="E8" s="17"/>
      <c r="F8" s="17">
        <f>'Non-Rebalanced Portfolio'!F8</f>
        <v>10.218999999999999</v>
      </c>
      <c r="G8" s="17"/>
      <c r="H8" s="17">
        <f>'Non-Rebalanced Portfolio'!H8</f>
        <v>3.58</v>
      </c>
    </row>
    <row r="9" spans="1:8" x14ac:dyDescent="0.25">
      <c r="A9" s="17">
        <f>'Non-Rebalanced Portfolio'!A9</f>
        <v>1997</v>
      </c>
      <c r="B9" s="17">
        <f>'Non-Rebalanced Portfolio'!B9</f>
        <v>33.19</v>
      </c>
      <c r="C9" s="17">
        <f>'Non-Rebalanced Portfolio'!C9</f>
        <v>26.687000000000001</v>
      </c>
      <c r="D9" s="17"/>
      <c r="E9" s="17"/>
      <c r="F9" s="17">
        <f>'Non-Rebalanced Portfolio'!F9</f>
        <v>0</v>
      </c>
      <c r="G9" s="17">
        <f>'Non-Rebalanced Portfolio'!G9</f>
        <v>-0.77500000000000002</v>
      </c>
      <c r="H9" s="17">
        <f>'Non-Rebalanced Portfolio'!H9</f>
        <v>9.44</v>
      </c>
    </row>
    <row r="10" spans="1:8" x14ac:dyDescent="0.25">
      <c r="A10" s="17">
        <f>'Non-Rebalanced Portfolio'!A10</f>
        <v>1998</v>
      </c>
      <c r="B10" s="17">
        <f>'Non-Rebalanced Portfolio'!B10</f>
        <v>28.66</v>
      </c>
      <c r="C10" s="17">
        <f>'Non-Rebalanced Portfolio'!C10</f>
        <v>8.3529999999999998</v>
      </c>
      <c r="D10" s="17"/>
      <c r="E10" s="17"/>
      <c r="F10" s="17">
        <f>'Non-Rebalanced Portfolio'!F10</f>
        <v>0</v>
      </c>
      <c r="G10" s="17">
        <f>'Non-Rebalanced Portfolio'!G10</f>
        <v>15.603</v>
      </c>
      <c r="H10" s="17">
        <f>'Non-Rebalanced Portfolio'!H10</f>
        <v>8.58</v>
      </c>
    </row>
    <row r="11" spans="1:8" x14ac:dyDescent="0.25">
      <c r="A11" s="17">
        <f>'Non-Rebalanced Portfolio'!A11</f>
        <v>1999</v>
      </c>
      <c r="B11" s="17">
        <f>'Non-Rebalanced Portfolio'!B11</f>
        <v>21.07</v>
      </c>
      <c r="C11" s="17">
        <f>'Non-Rebalanced Portfolio'!C11</f>
        <v>0</v>
      </c>
      <c r="D11" s="17">
        <f>'Non-Rebalanced Portfolio'!D11</f>
        <v>15.319000000000001</v>
      </c>
      <c r="E11" s="17">
        <f>'Non-Rebalanced Portfolio'!E11</f>
        <v>23.132999999999999</v>
      </c>
      <c r="F11" s="17">
        <f>'Non-Rebalanced Portfolio'!F11</f>
        <v>0</v>
      </c>
      <c r="G11" s="17">
        <f>'Non-Rebalanced Portfolio'!G11</f>
        <v>29.919</v>
      </c>
      <c r="H11" s="17">
        <f>'Non-Rebalanced Portfolio'!H11</f>
        <v>-0.76</v>
      </c>
    </row>
    <row r="12" spans="1:8" x14ac:dyDescent="0.25">
      <c r="A12" s="17">
        <f>'Non-Rebalanced Portfolio'!A12</f>
        <v>2000</v>
      </c>
      <c r="B12" s="17">
        <f>'Non-Rebalanced Portfolio'!B12</f>
        <v>-9.06</v>
      </c>
      <c r="C12" s="17">
        <f>'Non-Rebalanced Portfolio'!C12</f>
        <v>0</v>
      </c>
      <c r="D12" s="17">
        <f>'Non-Rebalanced Portfolio'!D12</f>
        <v>18.097999999999999</v>
      </c>
      <c r="E12" s="17">
        <f>'Non-Rebalanced Portfolio'!E12</f>
        <v>-2.665</v>
      </c>
      <c r="F12" s="17"/>
      <c r="G12" s="17">
        <f>'Non-Rebalanced Portfolio'!G12</f>
        <v>-15.614000000000001</v>
      </c>
      <c r="H12" s="17">
        <f>'Non-Rebalanced Portfolio'!H12</f>
        <v>11.39</v>
      </c>
    </row>
    <row r="13" spans="1:8" x14ac:dyDescent="0.25">
      <c r="A13" s="17">
        <f>'Non-Rebalanced Portfolio'!A13</f>
        <v>2001</v>
      </c>
      <c r="B13" s="17">
        <f>'Non-Rebalanced Portfolio'!B13</f>
        <v>-12.02</v>
      </c>
      <c r="C13" s="17">
        <f>'Non-Rebalanced Portfolio'!C13</f>
        <v>0</v>
      </c>
      <c r="D13" s="17">
        <f>'Non-Rebalanced Portfolio'!D13</f>
        <v>-0.499</v>
      </c>
      <c r="E13" s="17">
        <f>'Non-Rebalanced Portfolio'!E13</f>
        <v>3.1</v>
      </c>
      <c r="F13" s="17"/>
      <c r="G13" s="18">
        <f>'Non-Rebalanced Portfolio'!G13</f>
        <v>-20.152999999999999</v>
      </c>
      <c r="H13" s="17">
        <f>'Non-Rebalanced Portfolio'!H13</f>
        <v>8.43</v>
      </c>
    </row>
    <row r="14" spans="1:8" x14ac:dyDescent="0.25">
      <c r="A14" s="17">
        <f>'Non-Rebalanced Portfolio'!A14</f>
        <v>2002</v>
      </c>
      <c r="B14" s="17">
        <f>'Non-Rebalanced Portfolio'!B14</f>
        <v>-22.15</v>
      </c>
      <c r="C14" s="17"/>
      <c r="D14" s="18">
        <f>'Non-Rebalanced Portfolio'!D14</f>
        <v>-14.608000000000001</v>
      </c>
      <c r="E14" s="18">
        <f>'Non-Rebalanced Portfolio'!E14</f>
        <v>-20.021999999999998</v>
      </c>
      <c r="F14" s="17"/>
      <c r="G14" s="17">
        <f>'Non-Rebalanced Portfolio'!G14</f>
        <v>-15.083</v>
      </c>
      <c r="H14" s="17">
        <f>'Non-Rebalanced Portfolio'!H14</f>
        <v>8.26</v>
      </c>
    </row>
    <row r="15" spans="1:8" x14ac:dyDescent="0.25">
      <c r="A15" s="17">
        <f>'Non-Rebalanced Portfolio'!A15</f>
        <v>2003</v>
      </c>
      <c r="B15" s="17">
        <f>'Non-Rebalanced Portfolio'!B15</f>
        <v>28.5</v>
      </c>
      <c r="C15" s="17"/>
      <c r="D15" s="18">
        <f>'Non-Rebalanced Portfolio'!D15</f>
        <v>34.142000000000003</v>
      </c>
      <c r="E15" s="18">
        <f>'Non-Rebalanced Portfolio'!E15</f>
        <v>45.628</v>
      </c>
      <c r="F15" s="17"/>
      <c r="G15" s="17">
        <f>'Non-Rebalanced Portfolio'!G15</f>
        <v>40.340000000000003</v>
      </c>
      <c r="H15" s="17">
        <f>'Non-Rebalanced Portfolio'!H15</f>
        <v>3.97</v>
      </c>
    </row>
    <row r="16" spans="1:8"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row>
    <row r="17" spans="1:8"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row>
    <row r="18" spans="1:8"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row>
    <row r="19" spans="1:8"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row>
    <row r="20" spans="1:8"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row>
    <row r="21" spans="1:8"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row>
    <row r="22" spans="1:8"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row>
    <row r="23" spans="1:8"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row>
    <row r="24" spans="1:8"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row>
    <row r="25" spans="1:8"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row>
    <row r="26" spans="1:8"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row>
    <row r="27" spans="1:8"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row>
    <row r="28" spans="1:8" x14ac:dyDescent="0.25">
      <c r="A28" s="17">
        <f>'Non-Rebalanced Portfolio'!A28</f>
        <v>2016</v>
      </c>
      <c r="B28" s="17">
        <f>'Non-Rebalanced Portfolio'!B28</f>
        <v>11.82</v>
      </c>
      <c r="C28" s="19"/>
      <c r="D28" s="17">
        <f>'Non-Rebalanced Portfolio'!D28</f>
        <v>11.07</v>
      </c>
      <c r="E28" s="17">
        <f>'Non-Rebalanced Portfolio'!E28</f>
        <v>18.170000000000002</v>
      </c>
      <c r="F28" s="19"/>
      <c r="G28" s="17">
        <f>'Non-Rebalanced Portfolio'!G28</f>
        <v>4.6500000000000004</v>
      </c>
      <c r="H28" s="17">
        <f>'Non-Rebalanced Portfolio'!H28</f>
        <v>2.5</v>
      </c>
    </row>
    <row r="29" spans="1:8"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5">
      <c r="A36" s="20" t="s">
        <v>116</v>
      </c>
      <c r="O36" s="20" t="s">
        <v>126</v>
      </c>
      <c r="AB36" s="20" t="s">
        <v>18</v>
      </c>
      <c r="AL36" s="20" t="s">
        <v>21</v>
      </c>
    </row>
    <row r="37" spans="1:47"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c r="Z37" s="61"/>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88</v>
      </c>
    </row>
    <row r="38" spans="1:47"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c r="Z38" s="61"/>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72</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87</v>
      </c>
    </row>
    <row r="39" spans="1:47" x14ac:dyDescent="0.25">
      <c r="A39" t="s">
        <v>71</v>
      </c>
      <c r="B39" s="2">
        <f>'Non-Rebalanced Portfolio'!B39</f>
        <v>20000</v>
      </c>
      <c r="C39" s="2">
        <f>'Non-Rebalanced Portfolio'!C39</f>
        <v>30000</v>
      </c>
      <c r="F39" s="2">
        <f>'Non-Rebalanced Portfolio'!F39</f>
        <v>20000</v>
      </c>
      <c r="H39" s="2">
        <f>'Non-Rebalanced Portfolio'!H39</f>
        <v>30000</v>
      </c>
      <c r="I39" s="2">
        <f>SUM(B39:H39)</f>
        <v>100000</v>
      </c>
      <c r="O39" s="21" t="s">
        <v>86</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5">
      <c r="A40">
        <f t="shared" ref="A40:A64" si="4">A4</f>
        <v>1992</v>
      </c>
      <c r="B40" s="2">
        <f>B39*(1+(B4/100))</f>
        <v>21484</v>
      </c>
      <c r="C40" s="2">
        <f>C39*(1+(C4/100))</f>
        <v>33739.800000000003</v>
      </c>
      <c r="D40" s="2"/>
      <c r="E40" s="2"/>
      <c r="F40" s="2">
        <f>F39*(1+(F4/100))</f>
        <v>18255.8</v>
      </c>
      <c r="G40" s="2"/>
      <c r="H40" s="2">
        <f>H39*(1+(H4/100))</f>
        <v>32141.999999999996</v>
      </c>
      <c r="I40" s="2">
        <f>SUM(B40:H40)</f>
        <v>105621.6</v>
      </c>
      <c r="J40" s="2">
        <f>I40-I39</f>
        <v>5621.6000000000058</v>
      </c>
      <c r="K40" s="6">
        <f>(J40/I39)</f>
        <v>5.6216000000000058E-2</v>
      </c>
      <c r="L40" s="7">
        <f>K40+1</f>
        <v>1.056216</v>
      </c>
      <c r="O40">
        <f>A40</f>
        <v>1992</v>
      </c>
      <c r="P40" s="6">
        <f t="shared" ref="P40:U64" si="5">B40/$I40</f>
        <v>0.20340536405432222</v>
      </c>
      <c r="Q40" s="6">
        <f t="shared" ref="Q40:Q46" si="6">C40/$I40</f>
        <v>0.31944034174827879</v>
      </c>
      <c r="R40" s="7"/>
      <c r="S40" s="7"/>
      <c r="T40" s="6">
        <f t="shared" ref="T40:T44" si="7">F40/$I40</f>
        <v>0.17284153998803273</v>
      </c>
      <c r="U40" s="7"/>
      <c r="V40" s="6">
        <f t="shared" ref="V40:V64" si="8">H40/$I40</f>
        <v>0.30431275420936621</v>
      </c>
      <c r="W40" s="6">
        <f>SUM(P40:V40)</f>
        <v>1</v>
      </c>
      <c r="X40" s="7">
        <f>SUM(P40:U40)</f>
        <v>0.69568724579063379</v>
      </c>
      <c r="Y40" s="7">
        <f>W40-(X40+V40)</f>
        <v>0</v>
      </c>
      <c r="Z40" s="6"/>
      <c r="AB40">
        <f>O40</f>
        <v>1992</v>
      </c>
      <c r="AC40" s="1" t="b">
        <f>AND((B40/$I40)&gt;0.15,(B40/$I40)&lt;0.25)</f>
        <v>1</v>
      </c>
      <c r="AD40" s="1" t="b">
        <f>AND((C40/$I40)&gt;0.25,(C40/$I40)&lt;0.35)</f>
        <v>1</v>
      </c>
      <c r="AG40" s="1" t="b">
        <f t="shared" ref="AG40:AH45" si="9">AND((F40/$I40)&gt;0.15,(F40/$I40)&lt;0.25)</f>
        <v>1</v>
      </c>
      <c r="AI40" s="1" t="b">
        <f>AND((H40/$I40)&gt;0.25,(H40/$I40)&lt;0.35)</f>
        <v>1</v>
      </c>
      <c r="AJ40" s="1" t="b">
        <f>AND((I40/$I40)&gt;0.999,(I40/$I40)&lt;1.01)</f>
        <v>1</v>
      </c>
      <c r="AL40">
        <f>A40</f>
        <v>1992</v>
      </c>
      <c r="AM40" s="2">
        <f>B40</f>
        <v>21484</v>
      </c>
      <c r="AN40" s="2">
        <f t="shared" ref="AN40:AN41" si="10">C40</f>
        <v>33739.800000000003</v>
      </c>
      <c r="AO40" s="2"/>
      <c r="AP40" s="2"/>
      <c r="AQ40" s="2">
        <f t="shared" ref="AQ40:AQ41" si="11">F40</f>
        <v>18255.8</v>
      </c>
      <c r="AR40" s="2"/>
      <c r="AS40" s="2">
        <f t="shared" ref="AS40:AS64" si="12">H40</f>
        <v>32141.999999999996</v>
      </c>
      <c r="AT40" s="2">
        <f>SUM(AM40:AS40)</f>
        <v>105621.6</v>
      </c>
      <c r="AU40" s="2">
        <f>AT40-I40</f>
        <v>0</v>
      </c>
    </row>
    <row r="41" spans="1:47" x14ac:dyDescent="0.25">
      <c r="A41">
        <f t="shared" si="4"/>
        <v>1993</v>
      </c>
      <c r="B41" s="2">
        <f t="shared" ref="B41:B50" si="13">AM40*(1+(B5/100))</f>
        <v>23608.767599999999</v>
      </c>
      <c r="C41" s="2">
        <f t="shared" ref="C41:C46" si="14">AN40*(1+(C5/100))</f>
        <v>38628.697020000007</v>
      </c>
      <c r="D41" s="2"/>
      <c r="E41" s="2"/>
      <c r="F41" s="2">
        <f t="shared" ref="F41:F44" si="15">AQ40*(1+(F5/100))</f>
        <v>23822.723652000001</v>
      </c>
      <c r="G41" s="2"/>
      <c r="H41" s="2">
        <f t="shared" ref="H41:H64" si="16">AS40*(1+(H5/100))</f>
        <v>35253.345599999993</v>
      </c>
      <c r="I41" s="2">
        <f t="shared" ref="I41:I64" si="17">SUM(B41:H41)</f>
        <v>121313.533872</v>
      </c>
      <c r="J41" s="2">
        <f t="shared" ref="J41:J64" si="18">I41-I40</f>
        <v>15691.933871999994</v>
      </c>
      <c r="K41" s="6">
        <f t="shared" ref="K41:K64" si="19">(J41/I40)</f>
        <v>0.14856746983571537</v>
      </c>
      <c r="L41" s="7">
        <f t="shared" ref="L41:L64" si="20">K41+1</f>
        <v>1.1485674698357153</v>
      </c>
      <c r="O41">
        <f t="shared" ref="O41:O64" si="21">A41</f>
        <v>1993</v>
      </c>
      <c r="P41" s="6">
        <f t="shared" si="5"/>
        <v>0.19460951178711863</v>
      </c>
      <c r="Q41" s="6">
        <f t="shared" si="6"/>
        <v>0.31842034262028679</v>
      </c>
      <c r="R41" s="7"/>
      <c r="S41" s="7"/>
      <c r="T41" s="6">
        <f t="shared" si="7"/>
        <v>0.19637317364059123</v>
      </c>
      <c r="U41" s="7"/>
      <c r="V41" s="6">
        <f t="shared" si="8"/>
        <v>0.29059697195200335</v>
      </c>
      <c r="W41" s="6">
        <f t="shared" ref="W41:W64" si="22">SUM(P41:V41)</f>
        <v>1</v>
      </c>
      <c r="X41" s="7">
        <f t="shared" ref="X41:X64" si="23">SUM(P41:U41)</f>
        <v>0.70940302804799671</v>
      </c>
      <c r="Y41" s="7">
        <f t="shared" ref="Y41:Y64" si="24">W41-(X41+V41)</f>
        <v>0</v>
      </c>
      <c r="Z41" s="6"/>
      <c r="AB41">
        <f t="shared" ref="AB41:AB64" si="25">O41</f>
        <v>1993</v>
      </c>
      <c r="AC41" s="1" t="b">
        <f t="shared" ref="AC41:AC64" si="26">AND((B41/$I41)&gt;0.15,(B41/$I41)&lt;0.25)</f>
        <v>1</v>
      </c>
      <c r="AD41" s="1" t="b">
        <f t="shared" ref="AD41:AD46" si="27">AND((C41/$I41)&gt;0.25,(C41/$I41)&lt;0.35)</f>
        <v>1</v>
      </c>
      <c r="AG41" s="1" t="b">
        <f t="shared" si="9"/>
        <v>1</v>
      </c>
      <c r="AI41" s="1" t="b">
        <f t="shared" ref="AI41:AI64" si="28">AND((H41/$I41)&gt;0.25,(H41/$I41)&lt;0.35)</f>
        <v>1</v>
      </c>
      <c r="AJ41" s="1" t="b">
        <f t="shared" ref="AJ41:AJ64" si="29">AND((I41/$I41)&gt;0.999,(I41/$I41)&lt;1.01)</f>
        <v>1</v>
      </c>
      <c r="AL41">
        <f t="shared" ref="AL41:AL64" si="30">A41</f>
        <v>1993</v>
      </c>
      <c r="AM41" s="2">
        <f>B41</f>
        <v>23608.767599999999</v>
      </c>
      <c r="AN41" s="2">
        <f t="shared" si="10"/>
        <v>38628.697020000007</v>
      </c>
      <c r="AO41" s="2"/>
      <c r="AP41" s="2"/>
      <c r="AQ41" s="2">
        <f t="shared" si="11"/>
        <v>23822.723652000001</v>
      </c>
      <c r="AR41" s="2"/>
      <c r="AS41" s="2">
        <f t="shared" si="12"/>
        <v>35253.345599999993</v>
      </c>
      <c r="AT41" s="2">
        <f t="shared" ref="AT41:AT64" si="31">I41</f>
        <v>121313.533872</v>
      </c>
      <c r="AU41" s="2">
        <f t="shared" ref="AU41:AU64" si="32">AT41-I41</f>
        <v>0</v>
      </c>
    </row>
    <row r="42" spans="1:47" x14ac:dyDescent="0.25">
      <c r="A42">
        <f t="shared" si="4"/>
        <v>1994</v>
      </c>
      <c r="B42" s="2">
        <f t="shared" si="13"/>
        <v>23887.35105768</v>
      </c>
      <c r="C42" s="2">
        <f t="shared" si="14"/>
        <v>37947.286804567208</v>
      </c>
      <c r="D42" s="2"/>
      <c r="E42" s="2"/>
      <c r="F42" s="2">
        <f t="shared" si="15"/>
        <v>25074.607779912603</v>
      </c>
      <c r="G42" s="2"/>
      <c r="H42" s="2">
        <f t="shared" si="16"/>
        <v>34315.606607039997</v>
      </c>
      <c r="I42" s="2">
        <f t="shared" ref="I42:I48" si="33">SUM(B42:H42)</f>
        <v>121224.85224919982</v>
      </c>
      <c r="J42" s="2">
        <f t="shared" si="18"/>
        <v>-88.681622800184414</v>
      </c>
      <c r="K42" s="6">
        <f t="shared" si="19"/>
        <v>-7.3101178384395204E-4</v>
      </c>
      <c r="L42" s="7">
        <f t="shared" si="20"/>
        <v>0.99926898821615606</v>
      </c>
      <c r="O42">
        <f t="shared" si="21"/>
        <v>1994</v>
      </c>
      <c r="P42" s="6">
        <f t="shared" si="5"/>
        <v>0.1970499498615613</v>
      </c>
      <c r="Q42" s="6">
        <f t="shared" si="6"/>
        <v>0.31303223803118879</v>
      </c>
      <c r="R42" s="7"/>
      <c r="S42" s="7"/>
      <c r="T42" s="6">
        <f t="shared" si="7"/>
        <v>0.20684378916269719</v>
      </c>
      <c r="U42" s="7"/>
      <c r="V42" s="6">
        <f t="shared" si="8"/>
        <v>0.28307402294455269</v>
      </c>
      <c r="W42" s="6">
        <f t="shared" si="22"/>
        <v>1</v>
      </c>
      <c r="X42" s="7">
        <f t="shared" si="23"/>
        <v>0.71692597705544725</v>
      </c>
      <c r="Y42" s="7">
        <f t="shared" si="24"/>
        <v>0</v>
      </c>
      <c r="Z42" s="6"/>
      <c r="AB42">
        <f t="shared" si="25"/>
        <v>1994</v>
      </c>
      <c r="AC42" s="1" t="b">
        <f t="shared" si="26"/>
        <v>1</v>
      </c>
      <c r="AD42" s="1" t="b">
        <f t="shared" si="27"/>
        <v>1</v>
      </c>
      <c r="AG42" s="1" t="b">
        <f t="shared" si="9"/>
        <v>1</v>
      </c>
      <c r="AI42" s="1" t="b">
        <f t="shared" si="28"/>
        <v>1</v>
      </c>
      <c r="AJ42" s="1" t="b">
        <f t="shared" si="29"/>
        <v>1</v>
      </c>
      <c r="AL42">
        <f t="shared" si="30"/>
        <v>1994</v>
      </c>
      <c r="AM42" s="2">
        <f>B42</f>
        <v>23887.35105768</v>
      </c>
      <c r="AN42" s="2">
        <f t="shared" ref="AN42" si="34">C42</f>
        <v>37947.286804567208</v>
      </c>
      <c r="AO42" s="2"/>
      <c r="AP42" s="2"/>
      <c r="AQ42" s="2">
        <f t="shared" ref="AQ42" si="35">F42</f>
        <v>25074.607779912603</v>
      </c>
      <c r="AR42" s="2"/>
      <c r="AS42" s="2">
        <f t="shared" ref="AS42" si="36">H42</f>
        <v>34315.606607039997</v>
      </c>
      <c r="AT42" s="2">
        <f t="shared" si="31"/>
        <v>121224.85224919982</v>
      </c>
      <c r="AU42" s="2">
        <f t="shared" si="32"/>
        <v>0</v>
      </c>
    </row>
    <row r="43" spans="1:47" x14ac:dyDescent="0.25">
      <c r="A43">
        <f t="shared" si="4"/>
        <v>1995</v>
      </c>
      <c r="B43" s="2">
        <f t="shared" si="13"/>
        <v>32833.164028781161</v>
      </c>
      <c r="C43" s="2">
        <f t="shared" si="14"/>
        <v>50772.33132590678</v>
      </c>
      <c r="D43" s="2"/>
      <c r="E43" s="2"/>
      <c r="F43" s="2">
        <f t="shared" si="15"/>
        <v>27493.304446362974</v>
      </c>
      <c r="G43" s="2"/>
      <c r="H43" s="2">
        <f t="shared" si="16"/>
        <v>40554.18388819987</v>
      </c>
      <c r="I43" s="2">
        <f t="shared" si="33"/>
        <v>151652.98368925077</v>
      </c>
      <c r="J43" s="2">
        <f t="shared" si="18"/>
        <v>30428.131440050958</v>
      </c>
      <c r="K43" s="6">
        <f t="shared" si="19"/>
        <v>0.25100572098450885</v>
      </c>
      <c r="L43" s="7">
        <f t="shared" si="20"/>
        <v>1.2510057209845089</v>
      </c>
      <c r="O43">
        <f t="shared" si="21"/>
        <v>1995</v>
      </c>
      <c r="P43" s="6">
        <f t="shared" si="5"/>
        <v>0.21650193243846075</v>
      </c>
      <c r="Q43" s="6">
        <f t="shared" si="6"/>
        <v>0.33479282827658302</v>
      </c>
      <c r="R43" s="7"/>
      <c r="S43" s="7"/>
      <c r="T43" s="38">
        <f t="shared" si="7"/>
        <v>0.18129089041003624</v>
      </c>
      <c r="U43" s="7"/>
      <c r="V43" s="6">
        <f t="shared" si="8"/>
        <v>0.26741434887492005</v>
      </c>
      <c r="W43" s="6">
        <f t="shared" si="22"/>
        <v>1</v>
      </c>
      <c r="X43" s="7">
        <f t="shared" si="23"/>
        <v>0.73258565112508001</v>
      </c>
      <c r="Y43" s="7">
        <f t="shared" si="24"/>
        <v>0</v>
      </c>
      <c r="Z43" s="6"/>
      <c r="AB43">
        <f t="shared" si="25"/>
        <v>1995</v>
      </c>
      <c r="AC43" s="1" t="b">
        <f t="shared" si="26"/>
        <v>1</v>
      </c>
      <c r="AD43" s="1" t="b">
        <f t="shared" si="27"/>
        <v>1</v>
      </c>
      <c r="AG43" s="1" t="b">
        <f t="shared" si="9"/>
        <v>1</v>
      </c>
      <c r="AI43" s="1" t="b">
        <f t="shared" si="28"/>
        <v>1</v>
      </c>
      <c r="AJ43" s="1" t="b">
        <f t="shared" si="29"/>
        <v>1</v>
      </c>
      <c r="AL43">
        <f t="shared" si="30"/>
        <v>1995</v>
      </c>
      <c r="AM43" s="2">
        <f>B43</f>
        <v>32833.164028781161</v>
      </c>
      <c r="AN43" s="2">
        <f t="shared" ref="AN43" si="37">C43</f>
        <v>50772.33132590678</v>
      </c>
      <c r="AO43" s="2"/>
      <c r="AP43" s="2"/>
      <c r="AQ43" s="2">
        <f t="shared" ref="AQ43" si="38">F43</f>
        <v>27493.304446362974</v>
      </c>
      <c r="AR43" s="2"/>
      <c r="AS43" s="2">
        <f t="shared" ref="AS43" si="39">H43</f>
        <v>40554.18388819987</v>
      </c>
      <c r="AT43" s="2">
        <f t="shared" si="31"/>
        <v>151652.98368925077</v>
      </c>
      <c r="AU43" s="2">
        <f t="shared" si="32"/>
        <v>0</v>
      </c>
    </row>
    <row r="44" spans="1:47" x14ac:dyDescent="0.25">
      <c r="A44">
        <f t="shared" si="4"/>
        <v>1996</v>
      </c>
      <c r="B44" s="2">
        <f t="shared" si="13"/>
        <v>40345.391958566295</v>
      </c>
      <c r="C44" s="2">
        <f t="shared" si="14"/>
        <v>59732.124634989545</v>
      </c>
      <c r="D44" s="2"/>
      <c r="E44" s="2"/>
      <c r="F44" s="2">
        <f t="shared" si="15"/>
        <v>30302.845227736805</v>
      </c>
      <c r="G44" s="2"/>
      <c r="H44" s="2">
        <f t="shared" si="16"/>
        <v>42006.02367139743</v>
      </c>
      <c r="I44" s="2">
        <f t="shared" si="33"/>
        <v>172386.38549269008</v>
      </c>
      <c r="J44" s="2">
        <f t="shared" si="18"/>
        <v>20733.401803439308</v>
      </c>
      <c r="K44" s="6">
        <f t="shared" si="19"/>
        <v>0.13671608232861232</v>
      </c>
      <c r="L44" s="7">
        <f t="shared" si="20"/>
        <v>1.1367160823286122</v>
      </c>
      <c r="O44">
        <f t="shared" si="21"/>
        <v>1996</v>
      </c>
      <c r="P44" s="6">
        <f t="shared" si="5"/>
        <v>0.23404047740346126</v>
      </c>
      <c r="Q44" s="6">
        <f t="shared" si="6"/>
        <v>0.34650140418149461</v>
      </c>
      <c r="R44" s="7"/>
      <c r="S44" s="7"/>
      <c r="T44" s="38">
        <f t="shared" si="7"/>
        <v>0.17578444574453808</v>
      </c>
      <c r="U44" s="7"/>
      <c r="V44" s="6">
        <f t="shared" si="8"/>
        <v>0.24367367267050602</v>
      </c>
      <c r="W44" s="6">
        <f t="shared" si="22"/>
        <v>1</v>
      </c>
      <c r="X44" s="7">
        <f t="shared" si="23"/>
        <v>0.75632632732949401</v>
      </c>
      <c r="Y44" s="7">
        <f t="shared" si="24"/>
        <v>0</v>
      </c>
      <c r="Z44" s="6"/>
      <c r="AB44">
        <f t="shared" si="25"/>
        <v>1996</v>
      </c>
      <c r="AC44" s="1" t="b">
        <f t="shared" si="26"/>
        <v>1</v>
      </c>
      <c r="AD44" s="1" t="b">
        <f t="shared" si="27"/>
        <v>1</v>
      </c>
      <c r="AG44" s="1" t="b">
        <f t="shared" si="9"/>
        <v>1</v>
      </c>
      <c r="AI44" s="39" t="b">
        <f t="shared" si="28"/>
        <v>0</v>
      </c>
      <c r="AJ44" s="1" t="b">
        <f t="shared" si="29"/>
        <v>1</v>
      </c>
      <c r="AL44">
        <f t="shared" si="30"/>
        <v>1996</v>
      </c>
      <c r="AM44" s="40">
        <f>AM$39*$AT44</f>
        <v>34477.277098538019</v>
      </c>
      <c r="AN44" s="40">
        <f>AN$39*$AT44</f>
        <v>51715.915647807022</v>
      </c>
      <c r="AO44" s="2"/>
      <c r="AP44" s="2"/>
      <c r="AQ44" s="40">
        <f>AQ$39*$AT44</f>
        <v>34477.277098538019</v>
      </c>
      <c r="AR44" s="2"/>
      <c r="AS44" s="40">
        <f>AS$39*$AT44</f>
        <v>51715.915647807022</v>
      </c>
      <c r="AT44" s="2">
        <f t="shared" si="31"/>
        <v>172386.38549269008</v>
      </c>
      <c r="AU44" s="2">
        <f t="shared" si="32"/>
        <v>0</v>
      </c>
    </row>
    <row r="45" spans="1:47" x14ac:dyDescent="0.25">
      <c r="A45">
        <f t="shared" si="4"/>
        <v>1997</v>
      </c>
      <c r="B45" s="2">
        <f t="shared" si="13"/>
        <v>45920.28536754279</v>
      </c>
      <c r="C45" s="2">
        <f t="shared" si="14"/>
        <v>65517.342056737281</v>
      </c>
      <c r="D45" s="2"/>
      <c r="E45" s="2"/>
      <c r="F45" s="2"/>
      <c r="G45" s="2">
        <f>AQ44*(1+(G9/100))</f>
        <v>34210.078201024349</v>
      </c>
      <c r="H45" s="2">
        <f t="shared" si="16"/>
        <v>56597.898084960005</v>
      </c>
      <c r="I45" s="2">
        <f t="shared" ref="I45" si="40">SUM(B45:H45)</f>
        <v>202245.60371026443</v>
      </c>
      <c r="J45" s="2">
        <f t="shared" si="18"/>
        <v>29859.218217574351</v>
      </c>
      <c r="K45" s="6">
        <f t="shared" si="19"/>
        <v>0.17321100000000006</v>
      </c>
      <c r="L45" s="7">
        <f t="shared" si="20"/>
        <v>1.173211</v>
      </c>
      <c r="O45">
        <f t="shared" si="21"/>
        <v>1997</v>
      </c>
      <c r="P45" s="6">
        <f t="shared" si="5"/>
        <v>0.22705208185057932</v>
      </c>
      <c r="Q45" s="6">
        <f t="shared" si="6"/>
        <v>0.32394940040623549</v>
      </c>
      <c r="R45" s="7"/>
      <c r="S45" s="7"/>
      <c r="T45" s="6"/>
      <c r="U45" s="6">
        <f t="shared" si="5"/>
        <v>0.16915115865773506</v>
      </c>
      <c r="V45" s="6">
        <f t="shared" si="8"/>
        <v>0.27984735908545005</v>
      </c>
      <c r="W45" s="6">
        <f t="shared" si="22"/>
        <v>0.99999999999999978</v>
      </c>
      <c r="X45" s="7">
        <f t="shared" si="23"/>
        <v>0.72015264091454978</v>
      </c>
      <c r="Y45" s="7">
        <f t="shared" si="24"/>
        <v>0</v>
      </c>
      <c r="Z45" s="6"/>
      <c r="AB45">
        <f t="shared" si="25"/>
        <v>1997</v>
      </c>
      <c r="AC45" s="1" t="b">
        <f t="shared" si="26"/>
        <v>1</v>
      </c>
      <c r="AD45" s="1" t="b">
        <f t="shared" si="27"/>
        <v>1</v>
      </c>
      <c r="AE45" s="1"/>
      <c r="AF45" s="1"/>
      <c r="AG45" s="1"/>
      <c r="AH45" s="1" t="b">
        <f t="shared" si="9"/>
        <v>1</v>
      </c>
      <c r="AI45" s="1" t="b">
        <f t="shared" si="28"/>
        <v>1</v>
      </c>
      <c r="AJ45" s="1" t="b">
        <f t="shared" si="29"/>
        <v>1</v>
      </c>
      <c r="AL45">
        <f t="shared" si="30"/>
        <v>1997</v>
      </c>
      <c r="AM45" s="2">
        <f>B45</f>
        <v>45920.28536754279</v>
      </c>
      <c r="AN45" s="2">
        <f t="shared" ref="AN45" si="41">C45</f>
        <v>65517.342056737281</v>
      </c>
      <c r="AO45" s="2"/>
      <c r="AP45" s="2"/>
      <c r="AQ45" s="62"/>
      <c r="AR45" s="2">
        <f t="shared" ref="AR45" si="42">G45</f>
        <v>34210.078201024349</v>
      </c>
      <c r="AS45" s="2">
        <f t="shared" ref="AS45" si="43">H45</f>
        <v>56597.898084960005</v>
      </c>
      <c r="AT45" s="2">
        <f t="shared" si="31"/>
        <v>202245.60371026443</v>
      </c>
      <c r="AU45" s="2">
        <f t="shared" si="32"/>
        <v>0</v>
      </c>
    </row>
    <row r="46" spans="1:47" x14ac:dyDescent="0.25">
      <c r="A46">
        <f t="shared" si="4"/>
        <v>1998</v>
      </c>
      <c r="B46" s="2">
        <f t="shared" si="13"/>
        <v>59081.039153880556</v>
      </c>
      <c r="C46" s="2">
        <f t="shared" si="14"/>
        <v>70990.005638736548</v>
      </c>
      <c r="D46" s="2"/>
      <c r="E46" s="2"/>
      <c r="F46" s="2"/>
      <c r="G46" s="2">
        <f>AR45*(1+(G10/100))</f>
        <v>39547.876702730173</v>
      </c>
      <c r="H46" s="2">
        <f t="shared" si="16"/>
        <v>61453.997740649582</v>
      </c>
      <c r="I46" s="2">
        <f t="shared" si="33"/>
        <v>231072.91923599687</v>
      </c>
      <c r="J46" s="2">
        <f t="shared" si="18"/>
        <v>28827.31552573244</v>
      </c>
      <c r="K46" s="6">
        <f t="shared" si="19"/>
        <v>0.14253617876920696</v>
      </c>
      <c r="L46" s="7">
        <f t="shared" si="20"/>
        <v>1.142536178769207</v>
      </c>
      <c r="O46">
        <f t="shared" si="21"/>
        <v>1998</v>
      </c>
      <c r="P46" s="6">
        <f t="shared" si="5"/>
        <v>0.25568136391413548</v>
      </c>
      <c r="Q46" s="6">
        <f t="shared" si="6"/>
        <v>0.30721906259484177</v>
      </c>
      <c r="R46" s="7"/>
      <c r="S46" s="7"/>
      <c r="T46" s="6"/>
      <c r="U46" s="6">
        <f t="shared" si="5"/>
        <v>0.17114890327039825</v>
      </c>
      <c r="V46" s="6">
        <f t="shared" si="8"/>
        <v>0.26595067022062441</v>
      </c>
      <c r="W46" s="6">
        <f t="shared" si="22"/>
        <v>0.99999999999999978</v>
      </c>
      <c r="X46" s="7">
        <f t="shared" si="23"/>
        <v>0.73404932977937543</v>
      </c>
      <c r="Y46" s="7">
        <f t="shared" si="24"/>
        <v>0</v>
      </c>
      <c r="Z46" s="6"/>
      <c r="AB46">
        <f t="shared" si="25"/>
        <v>1998</v>
      </c>
      <c r="AC46" s="39" t="b">
        <f t="shared" si="26"/>
        <v>0</v>
      </c>
      <c r="AD46" s="1" t="b">
        <f t="shared" si="27"/>
        <v>1</v>
      </c>
      <c r="AG46" s="1"/>
      <c r="AH46" s="1" t="b">
        <f t="shared" ref="AH46:AH56" si="44">AND((G46/$I46)&gt;0.15,(G46/$I46)&lt;0.25)</f>
        <v>1</v>
      </c>
      <c r="AI46" s="1" t="b">
        <f t="shared" si="28"/>
        <v>1</v>
      </c>
      <c r="AJ46" s="1" t="b">
        <f t="shared" si="29"/>
        <v>1</v>
      </c>
      <c r="AL46">
        <f t="shared" si="30"/>
        <v>1998</v>
      </c>
      <c r="AM46" s="40">
        <f>AM$39*$AT46</f>
        <v>46214.583847199377</v>
      </c>
      <c r="AN46" s="82"/>
      <c r="AO46" s="40">
        <f>AO$39*$AT46</f>
        <v>46214.583847199377</v>
      </c>
      <c r="AP46" s="40">
        <f>AP$39*$AT46</f>
        <v>23107.291923599689</v>
      </c>
      <c r="AQ46" s="62"/>
      <c r="AR46" s="40">
        <f>AR$39*$AT46</f>
        <v>46214.583847199377</v>
      </c>
      <c r="AS46" s="40">
        <f>AS$39*$AT46</f>
        <v>69321.875770799059</v>
      </c>
      <c r="AT46" s="2">
        <f t="shared" si="31"/>
        <v>231072.91923599687</v>
      </c>
      <c r="AU46" s="2">
        <f t="shared" si="32"/>
        <v>0</v>
      </c>
    </row>
    <row r="47" spans="1:47" x14ac:dyDescent="0.25">
      <c r="A47">
        <f t="shared" si="4"/>
        <v>1999</v>
      </c>
      <c r="B47" s="2">
        <f t="shared" si="13"/>
        <v>55951.99666380429</v>
      </c>
      <c r="C47" s="2"/>
      <c r="D47" s="2">
        <f>(AO46*0.67)*(1+(D11/100))</f>
        <v>35707.111284323742</v>
      </c>
      <c r="E47" s="2">
        <f>(AP46*0.33)*(1+(E11/100))</f>
        <v>9389.3915822143827</v>
      </c>
      <c r="F47" s="2"/>
      <c r="G47" s="2">
        <f>AR46*(1+(G11/100))</f>
        <v>60041.52518844296</v>
      </c>
      <c r="H47" s="2">
        <f t="shared" si="16"/>
        <v>68795.029514940979</v>
      </c>
      <c r="I47" s="2">
        <f t="shared" si="33"/>
        <v>229885.05423372635</v>
      </c>
      <c r="J47" s="2">
        <f t="shared" si="18"/>
        <v>-1187.865002270526</v>
      </c>
      <c r="K47" s="6">
        <f t="shared" si="19"/>
        <v>-5.140649999999994E-3</v>
      </c>
      <c r="L47" s="7">
        <f t="shared" si="20"/>
        <v>0.99485935000000003</v>
      </c>
      <c r="O47">
        <f t="shared" si="21"/>
        <v>1999</v>
      </c>
      <c r="P47" s="6">
        <f t="shared" si="5"/>
        <v>0.24339118891529746</v>
      </c>
      <c r="Q47" s="6"/>
      <c r="R47" s="6">
        <f t="shared" ref="R47:R50" si="45">D47/$I47</f>
        <v>0.15532593627430855</v>
      </c>
      <c r="S47" s="6">
        <f t="shared" ref="S47:S50" si="46">E47/$I47</f>
        <v>4.0843853957848418E-2</v>
      </c>
      <c r="T47" s="6"/>
      <c r="U47" s="6">
        <f t="shared" si="5"/>
        <v>0.26118063824800963</v>
      </c>
      <c r="V47" s="6">
        <f t="shared" si="8"/>
        <v>0.29925838260453597</v>
      </c>
      <c r="W47" s="6">
        <f t="shared" si="22"/>
        <v>1</v>
      </c>
      <c r="X47" s="7">
        <f t="shared" si="23"/>
        <v>0.70074161739546403</v>
      </c>
      <c r="Y47" s="7">
        <f t="shared" si="24"/>
        <v>0</v>
      </c>
      <c r="Z47" s="6"/>
      <c r="AB47">
        <f t="shared" si="25"/>
        <v>1999</v>
      </c>
      <c r="AC47" s="39" t="b">
        <f t="shared" si="26"/>
        <v>1</v>
      </c>
      <c r="AD47" s="1"/>
      <c r="AE47" s="39" t="b">
        <f>AND((D47/$I47)&gt;0.15,(D47/$I47)&lt;0.25)</f>
        <v>1</v>
      </c>
      <c r="AF47" s="39" t="b">
        <f>AND((E47/$I47)&gt;0.05,(E47/$I47)&lt;0.15)</f>
        <v>0</v>
      </c>
      <c r="AG47" s="1"/>
      <c r="AH47" s="39" t="b">
        <f t="shared" si="44"/>
        <v>0</v>
      </c>
      <c r="AI47" s="39" t="b">
        <f t="shared" si="28"/>
        <v>1</v>
      </c>
      <c r="AJ47" s="1" t="b">
        <f t="shared" si="29"/>
        <v>1</v>
      </c>
      <c r="AL47">
        <f t="shared" si="30"/>
        <v>1999</v>
      </c>
      <c r="AM47" s="40">
        <f>AM$39*$AT47</f>
        <v>45977.010846745274</v>
      </c>
      <c r="AN47" s="82"/>
      <c r="AO47" s="40">
        <f>AO$39*$AT47</f>
        <v>45977.010846745274</v>
      </c>
      <c r="AP47" s="40">
        <f>AP$39*$AT47</f>
        <v>22988.505423372637</v>
      </c>
      <c r="AQ47" s="62"/>
      <c r="AR47" s="40">
        <f>AR$39*$AT47</f>
        <v>45977.010846745274</v>
      </c>
      <c r="AS47" s="40">
        <f>AS$39*$AT47</f>
        <v>68965.516270117907</v>
      </c>
      <c r="AT47" s="2">
        <f t="shared" si="31"/>
        <v>229885.05423372635</v>
      </c>
      <c r="AU47" s="2">
        <f t="shared" si="32"/>
        <v>0</v>
      </c>
    </row>
    <row r="48" spans="1:47" x14ac:dyDescent="0.25">
      <c r="A48">
        <f t="shared" si="4"/>
        <v>2000</v>
      </c>
      <c r="B48" s="2">
        <f t="shared" si="13"/>
        <v>41811.493664030153</v>
      </c>
      <c r="C48" s="2"/>
      <c r="D48" s="2">
        <f t="shared" ref="D48" si="47">AO47*(1+(D12/100))</f>
        <v>54297.930269789227</v>
      </c>
      <c r="E48" s="2">
        <f t="shared" ref="E48" si="48">AP47*(1+(E12/100))</f>
        <v>22375.861753839756</v>
      </c>
      <c r="F48" s="2"/>
      <c r="G48" s="2">
        <f>AR47*(1+(G12/100))</f>
        <v>38798.160373134466</v>
      </c>
      <c r="H48" s="2">
        <f t="shared" si="16"/>
        <v>76820.688573284351</v>
      </c>
      <c r="I48" s="2">
        <f t="shared" si="33"/>
        <v>234104.13463407796</v>
      </c>
      <c r="J48" s="2">
        <f t="shared" si="18"/>
        <v>4219.0804003516096</v>
      </c>
      <c r="K48" s="6">
        <f t="shared" si="19"/>
        <v>1.835300000000013E-2</v>
      </c>
      <c r="L48" s="7">
        <f t="shared" si="20"/>
        <v>1.0183530000000001</v>
      </c>
      <c r="O48">
        <f t="shared" si="21"/>
        <v>2000</v>
      </c>
      <c r="P48" s="6">
        <f t="shared" si="5"/>
        <v>0.17860211537649517</v>
      </c>
      <c r="Q48" s="6"/>
      <c r="R48" s="6">
        <f t="shared" si="45"/>
        <v>0.23193921950443508</v>
      </c>
      <c r="S48" s="6">
        <f t="shared" si="46"/>
        <v>9.5580805477079159E-2</v>
      </c>
      <c r="T48" s="6"/>
      <c r="U48" s="6">
        <f t="shared" si="5"/>
        <v>0.16573035087047419</v>
      </c>
      <c r="V48" s="38">
        <f t="shared" si="8"/>
        <v>0.32814750877151638</v>
      </c>
      <c r="W48" s="6">
        <f t="shared" si="22"/>
        <v>1</v>
      </c>
      <c r="X48" s="7">
        <f t="shared" si="23"/>
        <v>0.67185249122848356</v>
      </c>
      <c r="Y48" s="7">
        <f t="shared" si="24"/>
        <v>0</v>
      </c>
      <c r="Z48" s="6"/>
      <c r="AB48">
        <f t="shared" si="25"/>
        <v>2000</v>
      </c>
      <c r="AC48" s="1" t="b">
        <f t="shared" si="26"/>
        <v>1</v>
      </c>
      <c r="AD48" s="1"/>
      <c r="AE48" s="1" t="b">
        <f>AND((D48/$I48)&gt;0.15,(D48/$I48)&lt;0.25)</f>
        <v>1</v>
      </c>
      <c r="AF48" s="1" t="b">
        <f>AND((E48/$I48)&gt;0.05,(E48/$I48)&lt;0.15)</f>
        <v>1</v>
      </c>
      <c r="AG48" s="1"/>
      <c r="AH48" s="1" t="b">
        <f t="shared" si="44"/>
        <v>1</v>
      </c>
      <c r="AI48" s="1" t="b">
        <f t="shared" si="28"/>
        <v>1</v>
      </c>
      <c r="AJ48" s="1" t="b">
        <f t="shared" si="29"/>
        <v>1</v>
      </c>
      <c r="AL48">
        <f t="shared" si="30"/>
        <v>2000</v>
      </c>
      <c r="AM48" s="2">
        <f>B48</f>
        <v>41811.493664030153</v>
      </c>
      <c r="AN48" s="2"/>
      <c r="AO48" s="26">
        <f>D48</f>
        <v>54297.930269789227</v>
      </c>
      <c r="AP48" s="26">
        <f>E48</f>
        <v>22375.861753839756</v>
      </c>
      <c r="AQ48" s="2"/>
      <c r="AR48" s="2">
        <f t="shared" ref="AR48" si="49">G48</f>
        <v>38798.160373134466</v>
      </c>
      <c r="AS48" s="2">
        <f t="shared" ref="AS48" si="50">H48</f>
        <v>76820.688573284351</v>
      </c>
      <c r="AT48" s="2">
        <f t="shared" si="31"/>
        <v>234104.13463407796</v>
      </c>
      <c r="AU48" s="2">
        <f t="shared" si="32"/>
        <v>0</v>
      </c>
    </row>
    <row r="49" spans="1:48" x14ac:dyDescent="0.25">
      <c r="A49">
        <f t="shared" si="4"/>
        <v>2001</v>
      </c>
      <c r="B49" s="2">
        <f t="shared" si="13"/>
        <v>36785.752125613726</v>
      </c>
      <c r="C49" s="2"/>
      <c r="D49" s="2">
        <f t="shared" ref="D49" si="51">AO48*(1+(D13/100))</f>
        <v>54026.983597742976</v>
      </c>
      <c r="E49" s="2">
        <f t="shared" ref="E49" si="52">AP48*(1+(E13/100))</f>
        <v>23069.513468208785</v>
      </c>
      <c r="F49" s="2"/>
      <c r="G49" s="2">
        <f t="shared" ref="G49:G64" si="53">AR48*(1+(G13/100))</f>
        <v>30979.167113136678</v>
      </c>
      <c r="H49" s="2">
        <f t="shared" si="16"/>
        <v>83296.672620012221</v>
      </c>
      <c r="I49" s="2">
        <f t="shared" si="17"/>
        <v>228158.08892471439</v>
      </c>
      <c r="J49" s="2">
        <f t="shared" si="18"/>
        <v>-5946.0457093635632</v>
      </c>
      <c r="K49" s="6">
        <f t="shared" si="19"/>
        <v>-2.5399148625280248E-2</v>
      </c>
      <c r="L49" s="7">
        <f t="shared" si="20"/>
        <v>0.97460085137471975</v>
      </c>
      <c r="O49">
        <f t="shared" si="21"/>
        <v>2001</v>
      </c>
      <c r="P49" s="6">
        <f t="shared" si="5"/>
        <v>0.16122922618690047</v>
      </c>
      <c r="Q49" s="6"/>
      <c r="R49" s="6">
        <f t="shared" si="45"/>
        <v>0.23679626636235687</v>
      </c>
      <c r="S49" s="6">
        <f t="shared" si="46"/>
        <v>0.10111196835901383</v>
      </c>
      <c r="T49" s="6"/>
      <c r="U49" s="6">
        <f t="shared" si="5"/>
        <v>0.13577939427498847</v>
      </c>
      <c r="V49" s="6">
        <f t="shared" si="8"/>
        <v>0.36508314481674031</v>
      </c>
      <c r="W49" s="6">
        <f t="shared" si="22"/>
        <v>0.99999999999999989</v>
      </c>
      <c r="X49" s="7">
        <f t="shared" si="23"/>
        <v>0.63491685518325958</v>
      </c>
      <c r="Y49" s="7">
        <f t="shared" si="24"/>
        <v>0</v>
      </c>
      <c r="Z49" s="6"/>
      <c r="AA49" s="39"/>
      <c r="AB49">
        <f t="shared" si="25"/>
        <v>2001</v>
      </c>
      <c r="AC49" s="1" t="b">
        <f t="shared" ref="AC49" si="54">AND((B49/$I49)&gt;0.15,(B49/$I49)&lt;0.25)</f>
        <v>1</v>
      </c>
      <c r="AD49" s="1"/>
      <c r="AE49" s="1" t="b">
        <f>AND((D49/$I49)&gt;0.15,(D49/$I49)&lt;0.25)</f>
        <v>1</v>
      </c>
      <c r="AF49" s="1" t="b">
        <f>AND((E49/$I49)&gt;0.05,(E49/$I49)&lt;0.15)</f>
        <v>1</v>
      </c>
      <c r="AG49" s="1"/>
      <c r="AH49" s="39" t="b">
        <f t="shared" si="44"/>
        <v>0</v>
      </c>
      <c r="AI49" s="39" t="b">
        <f t="shared" ref="AI49" si="55">AND((H49/$I49)&gt;0.25,(H49/$I49)&lt;0.35)</f>
        <v>0</v>
      </c>
      <c r="AJ49" s="1" t="b">
        <f t="shared" ref="AJ49" si="56">AND((I49/$I49)&gt;0.999,(I49/$I49)&lt;1.01)</f>
        <v>1</v>
      </c>
      <c r="AL49">
        <f t="shared" si="30"/>
        <v>2001</v>
      </c>
      <c r="AM49" s="40">
        <f>AM$39*$AT49</f>
        <v>45631.617784942879</v>
      </c>
      <c r="AN49" s="2"/>
      <c r="AO49" s="40">
        <f t="shared" ref="AO49:AP51" si="57">AO$39*$AT49</f>
        <v>45631.617784942879</v>
      </c>
      <c r="AP49" s="40">
        <f t="shared" si="57"/>
        <v>22815.808892471439</v>
      </c>
      <c r="AQ49" s="2"/>
      <c r="AR49" s="40">
        <f t="shared" ref="AR49:AS51" si="58">AR$39*$AT49</f>
        <v>45631.617784942879</v>
      </c>
      <c r="AS49" s="40">
        <f t="shared" si="58"/>
        <v>68447.426677414318</v>
      </c>
      <c r="AT49" s="2">
        <f t="shared" si="31"/>
        <v>228158.08892471439</v>
      </c>
      <c r="AU49" s="2">
        <f t="shared" si="32"/>
        <v>0</v>
      </c>
    </row>
    <row r="50" spans="1:48" x14ac:dyDescent="0.25">
      <c r="A50">
        <f t="shared" si="4"/>
        <v>2002</v>
      </c>
      <c r="B50" s="2">
        <f t="shared" si="13"/>
        <v>35524.214445578029</v>
      </c>
      <c r="C50" s="2"/>
      <c r="D50" s="2">
        <f t="shared" ref="D50:D51" si="59">AO49*(1+(D14/100))</f>
        <v>38965.751058918424</v>
      </c>
      <c r="E50" s="2">
        <f t="shared" ref="E50:E51" si="60">AP49*(1+(E14/100))</f>
        <v>18247.62763602081</v>
      </c>
      <c r="F50" s="2"/>
      <c r="G50" s="2">
        <f t="shared" si="53"/>
        <v>38749.000874439946</v>
      </c>
      <c r="H50" s="2">
        <f t="shared" si="16"/>
        <v>74101.184120968741</v>
      </c>
      <c r="I50" s="2">
        <f t="shared" si="17"/>
        <v>205587.77813592594</v>
      </c>
      <c r="J50" s="2">
        <f t="shared" si="18"/>
        <v>-22570.310788788454</v>
      </c>
      <c r="K50" s="6">
        <f t="shared" si="19"/>
        <v>-9.892400000000004E-2</v>
      </c>
      <c r="L50" s="7">
        <f t="shared" si="20"/>
        <v>0.90107599999999999</v>
      </c>
      <c r="O50">
        <f t="shared" si="21"/>
        <v>2002</v>
      </c>
      <c r="P50" s="38">
        <f t="shared" si="5"/>
        <v>0.17279341587169117</v>
      </c>
      <c r="Q50" s="6"/>
      <c r="R50" s="6">
        <f t="shared" si="45"/>
        <v>0.18953340228793134</v>
      </c>
      <c r="S50" s="6">
        <f t="shared" si="46"/>
        <v>8.8758328931188957E-2</v>
      </c>
      <c r="T50" s="7"/>
      <c r="U50" s="6">
        <f t="shared" si="5"/>
        <v>0.18847910720072447</v>
      </c>
      <c r="V50" s="6">
        <f t="shared" si="8"/>
        <v>0.36043574570846409</v>
      </c>
      <c r="W50" s="6">
        <f t="shared" si="22"/>
        <v>1</v>
      </c>
      <c r="X50" s="7">
        <f t="shared" si="23"/>
        <v>0.63956425429153596</v>
      </c>
      <c r="Y50" s="7">
        <f t="shared" si="24"/>
        <v>0</v>
      </c>
      <c r="Z50" s="6"/>
      <c r="AB50">
        <f t="shared" si="25"/>
        <v>2002</v>
      </c>
      <c r="AC50" s="1" t="b">
        <f t="shared" si="26"/>
        <v>1</v>
      </c>
      <c r="AD50" s="1"/>
      <c r="AE50" s="1" t="b">
        <f>AND((D50/$I50)&gt;0.15,(D50/$I50)&lt;0.25)</f>
        <v>1</v>
      </c>
      <c r="AF50" s="1" t="b">
        <f>AND((E50/$I50)&gt;0.05,(E50/$I50)&lt;0.15)</f>
        <v>1</v>
      </c>
      <c r="AH50" s="1" t="b">
        <f t="shared" si="44"/>
        <v>1</v>
      </c>
      <c r="AI50" s="39" t="b">
        <f t="shared" si="28"/>
        <v>0</v>
      </c>
      <c r="AJ50" s="1" t="b">
        <f t="shared" si="29"/>
        <v>1</v>
      </c>
      <c r="AL50">
        <f t="shared" si="30"/>
        <v>2002</v>
      </c>
      <c r="AM50" s="40">
        <f>AM$39*$AT50</f>
        <v>41117.555627185189</v>
      </c>
      <c r="AN50" s="2"/>
      <c r="AO50" s="40">
        <f t="shared" si="57"/>
        <v>41117.555627185189</v>
      </c>
      <c r="AP50" s="40">
        <f t="shared" si="57"/>
        <v>20558.777813592595</v>
      </c>
      <c r="AQ50" s="2"/>
      <c r="AR50" s="40">
        <f t="shared" si="58"/>
        <v>41117.555627185189</v>
      </c>
      <c r="AS50" s="40">
        <f t="shared" si="58"/>
        <v>61676.33344077778</v>
      </c>
      <c r="AT50" s="2">
        <f t="shared" si="31"/>
        <v>205587.77813592594</v>
      </c>
      <c r="AU50" s="2">
        <f t="shared" si="32"/>
        <v>0</v>
      </c>
    </row>
    <row r="51" spans="1:48" x14ac:dyDescent="0.25">
      <c r="A51">
        <f t="shared" si="4"/>
        <v>2003</v>
      </c>
      <c r="B51" s="2">
        <f t="shared" ref="B51:B64" si="61">AM50*(1+(B15/100))</f>
        <v>52836.058980932961</v>
      </c>
      <c r="C51" s="2"/>
      <c r="D51" s="2">
        <f t="shared" si="59"/>
        <v>55155.911469418759</v>
      </c>
      <c r="E51" s="2">
        <f t="shared" si="60"/>
        <v>29939.336954378625</v>
      </c>
      <c r="F51" s="2"/>
      <c r="G51" s="2">
        <f t="shared" si="53"/>
        <v>57704.377567191696</v>
      </c>
      <c r="H51" s="2">
        <f t="shared" si="16"/>
        <v>64124.883878376662</v>
      </c>
      <c r="I51" s="2">
        <f t="shared" si="17"/>
        <v>259760.5688502987</v>
      </c>
      <c r="J51" s="2">
        <f t="shared" si="18"/>
        <v>54172.790714372764</v>
      </c>
      <c r="K51" s="6">
        <f t="shared" si="19"/>
        <v>0.26350200000000001</v>
      </c>
      <c r="L51" s="7">
        <f t="shared" si="20"/>
        <v>1.2635019999999999</v>
      </c>
      <c r="O51">
        <f t="shared" si="21"/>
        <v>2003</v>
      </c>
      <c r="P51" s="6">
        <f t="shared" si="5"/>
        <v>0.20340292298706292</v>
      </c>
      <c r="Q51" s="7"/>
      <c r="R51" s="6">
        <f t="shared" si="5"/>
        <v>0.21233365677300076</v>
      </c>
      <c r="S51" s="6">
        <f t="shared" si="5"/>
        <v>0.1152574352870039</v>
      </c>
      <c r="T51" s="7"/>
      <c r="U51" s="6">
        <f t="shared" si="5"/>
        <v>0.22214448414011218</v>
      </c>
      <c r="V51" s="6">
        <f t="shared" si="8"/>
        <v>0.24686150081282024</v>
      </c>
      <c r="W51" s="6">
        <f t="shared" si="22"/>
        <v>0.99999999999999989</v>
      </c>
      <c r="X51" s="7">
        <f t="shared" si="23"/>
        <v>0.75313849918717968</v>
      </c>
      <c r="Y51" s="7">
        <f t="shared" si="24"/>
        <v>0</v>
      </c>
      <c r="Z51" s="6"/>
      <c r="AB51">
        <f t="shared" si="25"/>
        <v>2003</v>
      </c>
      <c r="AC51" s="1" t="b">
        <f t="shared" si="26"/>
        <v>1</v>
      </c>
      <c r="AE51" s="1" t="b">
        <f>AND((D51/$I51)&gt;0.15,(D51/$I51)&lt;0.25)</f>
        <v>1</v>
      </c>
      <c r="AF51" s="1" t="b">
        <f>AND((E51/$I51)&gt;0.05,(E51/$I51)&lt;0.15)</f>
        <v>1</v>
      </c>
      <c r="AH51" s="35" t="b">
        <f t="shared" si="44"/>
        <v>1</v>
      </c>
      <c r="AI51" s="39" t="b">
        <f t="shared" si="28"/>
        <v>0</v>
      </c>
      <c r="AJ51" s="1" t="b">
        <f t="shared" si="29"/>
        <v>1</v>
      </c>
      <c r="AL51">
        <f t="shared" si="30"/>
        <v>2003</v>
      </c>
      <c r="AM51" s="40">
        <f>AM$39*$AT51</f>
        <v>51952.113770059746</v>
      </c>
      <c r="AN51" s="2"/>
      <c r="AO51" s="40">
        <f t="shared" si="57"/>
        <v>51952.113770059746</v>
      </c>
      <c r="AP51" s="40">
        <f t="shared" si="57"/>
        <v>25976.056885029873</v>
      </c>
      <c r="AQ51" s="2"/>
      <c r="AR51" s="40">
        <f t="shared" si="58"/>
        <v>51952.113770059746</v>
      </c>
      <c r="AS51" s="40">
        <f t="shared" si="58"/>
        <v>77928.170655089605</v>
      </c>
      <c r="AT51" s="2">
        <f t="shared" si="31"/>
        <v>259760.5688502987</v>
      </c>
      <c r="AU51" s="2">
        <f t="shared" si="32"/>
        <v>0</v>
      </c>
    </row>
    <row r="52" spans="1:48" x14ac:dyDescent="0.25">
      <c r="A52">
        <f t="shared" si="4"/>
        <v>2004</v>
      </c>
      <c r="B52" s="2">
        <f t="shared" si="61"/>
        <v>57531.770788964161</v>
      </c>
      <c r="C52" s="2"/>
      <c r="D52" s="2">
        <f t="shared" ref="D52:D64" si="62">AO51*(1+(D16/100))</f>
        <v>62525.927485680004</v>
      </c>
      <c r="E52" s="2">
        <f t="shared" ref="E52:E64" si="63">AP51*(1+(E16/100))</f>
        <v>31144.512923444268</v>
      </c>
      <c r="F52" s="2"/>
      <c r="G52" s="2">
        <f t="shared" si="53"/>
        <v>62777.375716327093</v>
      </c>
      <c r="H52" s="2">
        <f t="shared" si="16"/>
        <v>81232.325090865401</v>
      </c>
      <c r="I52" s="2">
        <f t="shared" si="17"/>
        <v>295211.91200528096</v>
      </c>
      <c r="J52" s="2">
        <f t="shared" si="18"/>
        <v>35451.343154982256</v>
      </c>
      <c r="K52" s="6">
        <f t="shared" si="19"/>
        <v>0.13647700000000015</v>
      </c>
      <c r="L52" s="7">
        <f t="shared" si="20"/>
        <v>1.1364770000000002</v>
      </c>
      <c r="O52">
        <f t="shared" si="21"/>
        <v>2004</v>
      </c>
      <c r="P52" s="6">
        <f t="shared" si="5"/>
        <v>0.19488295847606241</v>
      </c>
      <c r="Q52" s="7"/>
      <c r="R52" s="6">
        <f t="shared" ref="R52:R64" si="64">D52/$I52</f>
        <v>0.2118001508169545</v>
      </c>
      <c r="S52" s="6">
        <f t="shared" ref="S52:S64" si="65">E52/$I52</f>
        <v>0.10549883543617689</v>
      </c>
      <c r="T52" s="7"/>
      <c r="U52" s="6">
        <f t="shared" si="5"/>
        <v>0.21265190584587279</v>
      </c>
      <c r="V52" s="6">
        <f t="shared" si="8"/>
        <v>0.27516614942493328</v>
      </c>
      <c r="W52" s="6">
        <f t="shared" si="22"/>
        <v>0.99999999999999978</v>
      </c>
      <c r="X52" s="7">
        <f t="shared" si="23"/>
        <v>0.72483385057506655</v>
      </c>
      <c r="Y52" s="7">
        <f t="shared" si="24"/>
        <v>0</v>
      </c>
      <c r="Z52" s="6"/>
      <c r="AB52">
        <f t="shared" si="25"/>
        <v>2004</v>
      </c>
      <c r="AC52" s="1" t="b">
        <f t="shared" si="26"/>
        <v>1</v>
      </c>
      <c r="AE52" s="1" t="b">
        <f t="shared" ref="AE52:AE64" si="66">AND((D52/$I52)&gt;0.15,(D52/$I52)&lt;0.25)</f>
        <v>1</v>
      </c>
      <c r="AF52" s="1" t="b">
        <f t="shared" ref="AF52:AF64" si="67">AND((E52/$I52)&gt;0.05,(E52/$I52)&lt;0.15)</f>
        <v>1</v>
      </c>
      <c r="AH52" s="1" t="b">
        <f t="shared" si="44"/>
        <v>1</v>
      </c>
      <c r="AI52" s="1" t="b">
        <f t="shared" si="28"/>
        <v>1</v>
      </c>
      <c r="AJ52" s="1" t="b">
        <f t="shared" si="29"/>
        <v>1</v>
      </c>
      <c r="AL52" s="1">
        <f t="shared" si="30"/>
        <v>2004</v>
      </c>
      <c r="AM52" s="2">
        <f>B52</f>
        <v>57531.770788964161</v>
      </c>
      <c r="AN52" s="2"/>
      <c r="AO52" s="26">
        <f>D52</f>
        <v>62525.927485680004</v>
      </c>
      <c r="AP52" s="26">
        <f>E52</f>
        <v>31144.512923444268</v>
      </c>
      <c r="AQ52" s="2"/>
      <c r="AR52" s="62">
        <f t="shared" ref="AR52" si="68">G52</f>
        <v>62777.375716327093</v>
      </c>
      <c r="AS52" s="62">
        <f t="shared" ref="AS52" si="69">H52</f>
        <v>81232.325090865401</v>
      </c>
      <c r="AT52" s="2">
        <f t="shared" si="31"/>
        <v>295211.91200528096</v>
      </c>
      <c r="AU52" s="2">
        <f t="shared" si="32"/>
        <v>0</v>
      </c>
    </row>
    <row r="53" spans="1:48" x14ac:dyDescent="0.25">
      <c r="A53">
        <f t="shared" si="4"/>
        <v>2005</v>
      </c>
      <c r="B53" s="2">
        <f t="shared" si="61"/>
        <v>60276.036255597755</v>
      </c>
      <c r="C53" s="2"/>
      <c r="D53" s="2">
        <f t="shared" si="62"/>
        <v>71236.414443710091</v>
      </c>
      <c r="E53" s="2">
        <f t="shared" si="63"/>
        <v>33437.683409997473</v>
      </c>
      <c r="F53" s="2"/>
      <c r="G53" s="2">
        <f t="shared" si="53"/>
        <v>72552.440889116391</v>
      </c>
      <c r="H53" s="2">
        <f t="shared" si="16"/>
        <v>83181.900893046171</v>
      </c>
      <c r="I53" s="2">
        <f t="shared" si="17"/>
        <v>320684.47589146788</v>
      </c>
      <c r="J53" s="2">
        <f t="shared" si="18"/>
        <v>25472.563886186923</v>
      </c>
      <c r="K53" s="6">
        <f t="shared" si="19"/>
        <v>8.6285691228243019E-2</v>
      </c>
      <c r="L53" s="7">
        <f t="shared" si="20"/>
        <v>1.086285691228243</v>
      </c>
      <c r="O53">
        <f t="shared" si="21"/>
        <v>2005</v>
      </c>
      <c r="P53" s="6">
        <f t="shared" si="5"/>
        <v>0.18796056805692557</v>
      </c>
      <c r="Q53" s="7"/>
      <c r="R53" s="6">
        <f t="shared" si="64"/>
        <v>0.22213864343037071</v>
      </c>
      <c r="S53" s="6">
        <f t="shared" si="65"/>
        <v>0.10426972904455184</v>
      </c>
      <c r="T53" s="7"/>
      <c r="U53" s="6">
        <f t="shared" si="5"/>
        <v>0.2262424480867947</v>
      </c>
      <c r="V53" s="6">
        <f t="shared" si="8"/>
        <v>0.25938861138135721</v>
      </c>
      <c r="W53" s="6">
        <f t="shared" si="22"/>
        <v>1</v>
      </c>
      <c r="X53" s="7">
        <f t="shared" si="23"/>
        <v>0.74061138861864284</v>
      </c>
      <c r="Y53" s="7">
        <f t="shared" si="24"/>
        <v>0</v>
      </c>
      <c r="Z53" s="6"/>
      <c r="AB53">
        <f t="shared" si="25"/>
        <v>2005</v>
      </c>
      <c r="AC53" s="1" t="b">
        <f t="shared" si="26"/>
        <v>1</v>
      </c>
      <c r="AE53" s="1" t="b">
        <f t="shared" si="66"/>
        <v>1</v>
      </c>
      <c r="AF53" s="1" t="b">
        <f t="shared" si="67"/>
        <v>1</v>
      </c>
      <c r="AH53" s="1" t="b">
        <f t="shared" si="44"/>
        <v>1</v>
      </c>
      <c r="AI53" s="35" t="b">
        <f t="shared" si="28"/>
        <v>1</v>
      </c>
      <c r="AJ53" s="1" t="b">
        <f t="shared" si="29"/>
        <v>1</v>
      </c>
      <c r="AL53">
        <f t="shared" si="30"/>
        <v>2005</v>
      </c>
      <c r="AM53" s="2">
        <f>B53</f>
        <v>60276.036255597755</v>
      </c>
      <c r="AN53" s="2"/>
      <c r="AO53" s="26">
        <f>D53</f>
        <v>71236.414443710091</v>
      </c>
      <c r="AP53" s="26">
        <f>E53</f>
        <v>33437.683409997473</v>
      </c>
      <c r="AQ53" s="2"/>
      <c r="AR53" s="62">
        <f t="shared" ref="AR53" si="70">G53</f>
        <v>72552.440889116391</v>
      </c>
      <c r="AS53" s="62">
        <f t="shared" ref="AS53" si="71">H53</f>
        <v>83181.900893046171</v>
      </c>
      <c r="AT53" s="2">
        <f t="shared" si="31"/>
        <v>320684.47589146788</v>
      </c>
      <c r="AU53" s="2">
        <f t="shared" si="32"/>
        <v>0</v>
      </c>
    </row>
    <row r="54" spans="1:48" x14ac:dyDescent="0.25">
      <c r="A54">
        <f t="shared" si="4"/>
        <v>2006</v>
      </c>
      <c r="B54" s="2">
        <f t="shared" si="61"/>
        <v>69703.208325973246</v>
      </c>
      <c r="C54" s="2"/>
      <c r="D54" s="2">
        <f t="shared" si="62"/>
        <v>80922.429715621343</v>
      </c>
      <c r="E54" s="2">
        <f t="shared" si="63"/>
        <v>38672.687124666678</v>
      </c>
      <c r="F54" s="2"/>
      <c r="G54" s="2">
        <f t="shared" si="53"/>
        <v>91878.234568750326</v>
      </c>
      <c r="H54" s="2">
        <f t="shared" si="16"/>
        <v>86733.768061179246</v>
      </c>
      <c r="I54" s="2">
        <f t="shared" si="17"/>
        <v>367910.32779619086</v>
      </c>
      <c r="J54" s="2">
        <f t="shared" si="18"/>
        <v>47225.851904722978</v>
      </c>
      <c r="K54" s="6">
        <f t="shared" si="19"/>
        <v>0.14726578757340922</v>
      </c>
      <c r="L54" s="7">
        <f t="shared" si="20"/>
        <v>1.1472657875734091</v>
      </c>
      <c r="O54">
        <f t="shared" si="21"/>
        <v>2006</v>
      </c>
      <c r="P54" s="38">
        <f t="shared" si="5"/>
        <v>0.18945705803775731</v>
      </c>
      <c r="Q54" s="7"/>
      <c r="R54" s="6">
        <f t="shared" si="64"/>
        <v>0.21995150340125671</v>
      </c>
      <c r="S54" s="6">
        <f t="shared" si="65"/>
        <v>0.10511443741283055</v>
      </c>
      <c r="T54" s="7"/>
      <c r="U54" s="38">
        <f t="shared" si="5"/>
        <v>0.24972996849288659</v>
      </c>
      <c r="V54" s="38">
        <f t="shared" si="8"/>
        <v>0.23574703265526878</v>
      </c>
      <c r="W54" s="6">
        <f t="shared" si="22"/>
        <v>0.99999999999999989</v>
      </c>
      <c r="X54" s="7">
        <f t="shared" si="23"/>
        <v>0.76425296734473114</v>
      </c>
      <c r="Y54" s="7">
        <f t="shared" si="24"/>
        <v>0</v>
      </c>
      <c r="Z54" s="6"/>
      <c r="AB54">
        <f t="shared" si="25"/>
        <v>2006</v>
      </c>
      <c r="AC54" s="1" t="b">
        <f t="shared" si="26"/>
        <v>1</v>
      </c>
      <c r="AE54" s="1" t="b">
        <f t="shared" si="66"/>
        <v>1</v>
      </c>
      <c r="AF54" s="1" t="b">
        <f t="shared" si="67"/>
        <v>1</v>
      </c>
      <c r="AH54" s="1" t="b">
        <f t="shared" si="44"/>
        <v>1</v>
      </c>
      <c r="AI54" s="39" t="b">
        <f t="shared" si="28"/>
        <v>0</v>
      </c>
      <c r="AJ54" s="1" t="b">
        <f t="shared" si="29"/>
        <v>1</v>
      </c>
      <c r="AL54">
        <f t="shared" si="30"/>
        <v>2006</v>
      </c>
      <c r="AM54" s="40">
        <f>AM$39*$AT54</f>
        <v>73582.065559238181</v>
      </c>
      <c r="AN54" s="2"/>
      <c r="AO54" s="40">
        <f>AO$39*$AT54</f>
        <v>73582.065559238181</v>
      </c>
      <c r="AP54" s="40">
        <f>AP$39*$AT54</f>
        <v>36791.03277961909</v>
      </c>
      <c r="AQ54" s="2"/>
      <c r="AR54" s="40">
        <f>AR$39*$AT54</f>
        <v>73582.065559238181</v>
      </c>
      <c r="AS54" s="40">
        <f>AS$39*$AT54</f>
        <v>110373.09833885725</v>
      </c>
      <c r="AT54" s="2">
        <f t="shared" si="31"/>
        <v>367910.32779619086</v>
      </c>
      <c r="AU54" s="2">
        <f t="shared" si="32"/>
        <v>0</v>
      </c>
    </row>
    <row r="55" spans="1:48" x14ac:dyDescent="0.25">
      <c r="A55">
        <f t="shared" si="4"/>
        <v>2007</v>
      </c>
      <c r="B55" s="2">
        <f t="shared" si="61"/>
        <v>77548.138892881121</v>
      </c>
      <c r="C55" s="2"/>
      <c r="D55" s="2">
        <f t="shared" si="62"/>
        <v>78012.441726559919</v>
      </c>
      <c r="E55" s="2">
        <f t="shared" si="63"/>
        <v>37216.337118551484</v>
      </c>
      <c r="F55" s="2"/>
      <c r="G55" s="2">
        <f t="shared" si="53"/>
        <v>85003.473775343125</v>
      </c>
      <c r="H55" s="2">
        <f t="shared" si="16"/>
        <v>118010.91674390616</v>
      </c>
      <c r="I55" s="2">
        <f t="shared" si="17"/>
        <v>395791.30825724179</v>
      </c>
      <c r="J55" s="2">
        <f t="shared" si="18"/>
        <v>27880.980461050931</v>
      </c>
      <c r="K55" s="6">
        <f t="shared" si="19"/>
        <v>7.5781999999999988E-2</v>
      </c>
      <c r="L55" s="7">
        <f t="shared" si="20"/>
        <v>1.075782</v>
      </c>
      <c r="O55">
        <f t="shared" si="21"/>
        <v>2007</v>
      </c>
      <c r="P55" s="6">
        <f t="shared" si="5"/>
        <v>0.19593188954639512</v>
      </c>
      <c r="Q55" s="7"/>
      <c r="R55" s="6">
        <f t="shared" si="64"/>
        <v>0.19710498967262888</v>
      </c>
      <c r="S55" s="6">
        <f t="shared" si="65"/>
        <v>9.4030203145246904E-2</v>
      </c>
      <c r="T55" s="7"/>
      <c r="U55" s="6">
        <f t="shared" si="5"/>
        <v>0.21476841962405024</v>
      </c>
      <c r="V55" s="38">
        <f t="shared" si="8"/>
        <v>0.29816449801167888</v>
      </c>
      <c r="W55" s="6">
        <f t="shared" si="22"/>
        <v>1</v>
      </c>
      <c r="X55" s="7">
        <f t="shared" si="23"/>
        <v>0.70183550198832112</v>
      </c>
      <c r="Y55" s="7">
        <f t="shared" si="24"/>
        <v>0</v>
      </c>
      <c r="Z55" s="6"/>
      <c r="AB55">
        <f t="shared" si="25"/>
        <v>2007</v>
      </c>
      <c r="AC55" s="1" t="b">
        <f t="shared" si="26"/>
        <v>1</v>
      </c>
      <c r="AE55" s="1" t="b">
        <f t="shared" si="66"/>
        <v>1</v>
      </c>
      <c r="AF55" s="1" t="b">
        <f t="shared" si="67"/>
        <v>1</v>
      </c>
      <c r="AH55" s="1" t="b">
        <f t="shared" si="44"/>
        <v>1</v>
      </c>
      <c r="AI55" s="35" t="b">
        <f t="shared" si="28"/>
        <v>1</v>
      </c>
      <c r="AJ55" s="1" t="b">
        <f t="shared" si="29"/>
        <v>1</v>
      </c>
      <c r="AL55">
        <f t="shared" si="30"/>
        <v>2007</v>
      </c>
      <c r="AM55" s="62">
        <f>B55</f>
        <v>77548.138892881121</v>
      </c>
      <c r="AN55" s="2"/>
      <c r="AO55" s="26">
        <f>D55</f>
        <v>78012.441726559919</v>
      </c>
      <c r="AP55" s="26">
        <f>E55</f>
        <v>37216.337118551484</v>
      </c>
      <c r="AQ55" s="2"/>
      <c r="AR55" s="2">
        <f t="shared" ref="AR55" si="72">G55</f>
        <v>85003.473775343125</v>
      </c>
      <c r="AS55" s="2">
        <f t="shared" ref="AS55" si="73">H55</f>
        <v>118010.91674390616</v>
      </c>
      <c r="AT55" s="2">
        <f t="shared" si="31"/>
        <v>395791.30825724179</v>
      </c>
      <c r="AU55" s="2">
        <f t="shared" si="32"/>
        <v>0</v>
      </c>
    </row>
    <row r="56" spans="1:48" x14ac:dyDescent="0.25">
      <c r="A56">
        <f t="shared" si="4"/>
        <v>2008</v>
      </c>
      <c r="B56" s="2">
        <f t="shared" si="61"/>
        <v>48839.817874736524</v>
      </c>
      <c r="C56" s="2"/>
      <c r="D56" s="2">
        <f t="shared" si="62"/>
        <v>45384.518098843502</v>
      </c>
      <c r="E56" s="2">
        <f t="shared" si="63"/>
        <v>23792.404319889964</v>
      </c>
      <c r="F56" s="2"/>
      <c r="G56" s="2">
        <f t="shared" si="53"/>
        <v>47516.091805679054</v>
      </c>
      <c r="H56" s="2">
        <f t="shared" si="16"/>
        <v>123970.46803947342</v>
      </c>
      <c r="I56" s="2">
        <f t="shared" si="17"/>
        <v>289503.30013862246</v>
      </c>
      <c r="J56" s="2">
        <f>I56-I55</f>
        <v>-106288.00811861933</v>
      </c>
      <c r="K56" s="6">
        <f>(J56/I55)</f>
        <v>-0.26854558425405889</v>
      </c>
      <c r="L56" s="7">
        <f t="shared" si="20"/>
        <v>0.73145441574594106</v>
      </c>
      <c r="O56">
        <f t="shared" si="21"/>
        <v>2008</v>
      </c>
      <c r="P56" s="6">
        <f t="shared" si="5"/>
        <v>0.16870211099960042</v>
      </c>
      <c r="Q56" s="7"/>
      <c r="R56" s="6">
        <f t="shared" si="64"/>
        <v>0.1567668419569383</v>
      </c>
      <c r="S56" s="6">
        <f t="shared" si="65"/>
        <v>8.2183534033972938E-2</v>
      </c>
      <c r="T56" s="7"/>
      <c r="U56" s="6">
        <f t="shared" si="5"/>
        <v>0.16412970692536835</v>
      </c>
      <c r="V56" s="6">
        <f t="shared" si="8"/>
        <v>0.42821780608411997</v>
      </c>
      <c r="W56" s="6">
        <f t="shared" si="22"/>
        <v>1</v>
      </c>
      <c r="X56" s="7">
        <f t="shared" si="23"/>
        <v>0.57178219391588003</v>
      </c>
      <c r="Y56" s="7">
        <f t="shared" si="24"/>
        <v>0</v>
      </c>
      <c r="Z56" s="6"/>
      <c r="AB56">
        <f t="shared" si="25"/>
        <v>2008</v>
      </c>
      <c r="AC56" s="1" t="b">
        <f t="shared" si="26"/>
        <v>1</v>
      </c>
      <c r="AE56" s="1" t="b">
        <f t="shared" si="66"/>
        <v>1</v>
      </c>
      <c r="AF56" s="1" t="b">
        <f t="shared" si="67"/>
        <v>1</v>
      </c>
      <c r="AH56" s="1" t="b">
        <f t="shared" si="44"/>
        <v>1</v>
      </c>
      <c r="AI56" s="39" t="b">
        <f t="shared" si="28"/>
        <v>0</v>
      </c>
      <c r="AJ56" s="1" t="b">
        <f t="shared" si="29"/>
        <v>1</v>
      </c>
      <c r="AL56">
        <f t="shared" si="30"/>
        <v>2008</v>
      </c>
      <c r="AM56" s="40">
        <f>AM$39*$AT56</f>
        <v>57900.660027724494</v>
      </c>
      <c r="AN56" s="2"/>
      <c r="AO56" s="40">
        <f>AO$39*$AT56</f>
        <v>57900.660027724494</v>
      </c>
      <c r="AP56" s="40">
        <f>AP$39*$AT56</f>
        <v>28950.330013862247</v>
      </c>
      <c r="AQ56" s="2"/>
      <c r="AR56" s="40">
        <f>AR$39*$AT56</f>
        <v>57900.660027724494</v>
      </c>
      <c r="AS56" s="40">
        <f>AS$39*$AT56</f>
        <v>86850.990041586731</v>
      </c>
      <c r="AT56" s="2">
        <f t="shared" si="31"/>
        <v>289503.30013862246</v>
      </c>
      <c r="AU56" s="2">
        <f t="shared" si="32"/>
        <v>0</v>
      </c>
    </row>
    <row r="57" spans="1:48" x14ac:dyDescent="0.25">
      <c r="A57">
        <f t="shared" si="4"/>
        <v>2009</v>
      </c>
      <c r="B57" s="2">
        <f t="shared" si="61"/>
        <v>73238.544869068704</v>
      </c>
      <c r="C57" s="2"/>
      <c r="D57" s="2">
        <f t="shared" si="62"/>
        <v>81187.147477674735</v>
      </c>
      <c r="E57" s="2">
        <f t="shared" si="63"/>
        <v>39406.610208269012</v>
      </c>
      <c r="F57" s="2"/>
      <c r="G57" s="2">
        <f t="shared" si="53"/>
        <v>79165.835436106863</v>
      </c>
      <c r="H57" s="2">
        <f t="shared" si="16"/>
        <v>92001.25375105282</v>
      </c>
      <c r="I57" s="2">
        <f t="shared" si="17"/>
        <v>364999.39174217213</v>
      </c>
      <c r="J57" s="2">
        <f t="shared" si="18"/>
        <v>75496.091603549663</v>
      </c>
      <c r="K57" s="6">
        <f t="shared" si="19"/>
        <v>0.2607779999999999</v>
      </c>
      <c r="L57" s="7">
        <f t="shared" si="20"/>
        <v>1.260778</v>
      </c>
      <c r="O57">
        <f t="shared" si="21"/>
        <v>2009</v>
      </c>
      <c r="P57" s="6">
        <f t="shared" si="5"/>
        <v>0.20065388196811809</v>
      </c>
      <c r="Q57" s="7"/>
      <c r="R57" s="6">
        <f t="shared" si="64"/>
        <v>0.22243091170689847</v>
      </c>
      <c r="S57" s="6">
        <f t="shared" si="65"/>
        <v>0.10796349555591865</v>
      </c>
      <c r="T57" s="7"/>
      <c r="U57" s="6">
        <f t="shared" si="5"/>
        <v>0.21689306126851834</v>
      </c>
      <c r="V57" s="6">
        <f t="shared" si="8"/>
        <v>0.25205864950054646</v>
      </c>
      <c r="W57" s="6">
        <f t="shared" si="22"/>
        <v>1</v>
      </c>
      <c r="X57" s="7">
        <f t="shared" si="23"/>
        <v>0.74794135049945354</v>
      </c>
      <c r="Y57" s="7">
        <f t="shared" si="24"/>
        <v>0</v>
      </c>
      <c r="Z57" s="6"/>
      <c r="AB57">
        <f t="shared" si="25"/>
        <v>2009</v>
      </c>
      <c r="AC57" s="1" t="b">
        <f t="shared" si="26"/>
        <v>1</v>
      </c>
      <c r="AE57" s="1" t="b">
        <f t="shared" si="66"/>
        <v>1</v>
      </c>
      <c r="AF57" s="1" t="b">
        <f t="shared" si="67"/>
        <v>1</v>
      </c>
      <c r="AH57" s="1" t="b">
        <f t="shared" ref="AH57:AH64" si="74">AND((G57/$I57)&gt;0.15,(G57/$I57)&lt;0.25)</f>
        <v>1</v>
      </c>
      <c r="AI57" s="1" t="b">
        <f t="shared" si="28"/>
        <v>1</v>
      </c>
      <c r="AJ57" s="1" t="b">
        <f t="shared" si="29"/>
        <v>1</v>
      </c>
      <c r="AL57">
        <f t="shared" si="30"/>
        <v>2009</v>
      </c>
      <c r="AM57" s="62">
        <f>B57</f>
        <v>73238.544869068704</v>
      </c>
      <c r="AN57" s="2"/>
      <c r="AO57" s="26">
        <f>D57</f>
        <v>81187.147477674735</v>
      </c>
      <c r="AP57" s="26">
        <f>E57</f>
        <v>39406.610208269012</v>
      </c>
      <c r="AQ57" s="2"/>
      <c r="AR57" s="2">
        <f t="shared" ref="AR57" si="75">G57</f>
        <v>79165.835436106863</v>
      </c>
      <c r="AS57" s="2">
        <f t="shared" ref="AS57" si="76">H57</f>
        <v>92001.25375105282</v>
      </c>
      <c r="AT57" s="2">
        <f t="shared" si="31"/>
        <v>364999.39174217213</v>
      </c>
      <c r="AU57" s="2">
        <f t="shared" si="32"/>
        <v>0</v>
      </c>
    </row>
    <row r="58" spans="1:48" x14ac:dyDescent="0.25">
      <c r="A58">
        <f t="shared" si="4"/>
        <v>2010</v>
      </c>
      <c r="B58" s="2">
        <f t="shared" si="61"/>
        <v>84158.411909046845</v>
      </c>
      <c r="C58" s="2"/>
      <c r="D58" s="2">
        <f t="shared" si="62"/>
        <v>101857.39522549072</v>
      </c>
      <c r="E58" s="2">
        <f t="shared" si="63"/>
        <v>50330.122558001189</v>
      </c>
      <c r="F58" s="2"/>
      <c r="G58" s="2">
        <f t="shared" si="53"/>
        <v>87969.076336601938</v>
      </c>
      <c r="H58" s="2">
        <f t="shared" si="16"/>
        <v>97907.734241870421</v>
      </c>
      <c r="I58" s="2">
        <f t="shared" si="17"/>
        <v>422222.74027101108</v>
      </c>
      <c r="J58" s="2">
        <f t="shared" si="18"/>
        <v>57223.348528838949</v>
      </c>
      <c r="K58" s="6">
        <f t="shared" si="19"/>
        <v>0.15677655860111767</v>
      </c>
      <c r="L58" s="7">
        <f t="shared" si="20"/>
        <v>1.1567765586011176</v>
      </c>
      <c r="O58">
        <f t="shared" si="21"/>
        <v>2010</v>
      </c>
      <c r="P58" s="6">
        <f t="shared" si="5"/>
        <v>0.19932230996139216</v>
      </c>
      <c r="Q58" s="7"/>
      <c r="R58" s="6">
        <f t="shared" si="64"/>
        <v>0.24124090322589389</v>
      </c>
      <c r="S58" s="6">
        <f t="shared" si="65"/>
        <v>0.1192027755911392</v>
      </c>
      <c r="T58" s="7"/>
      <c r="U58" s="6">
        <f t="shared" si="5"/>
        <v>0.20834755674253225</v>
      </c>
      <c r="V58" s="38">
        <f t="shared" si="8"/>
        <v>0.23188645447904258</v>
      </c>
      <c r="W58" s="6">
        <f t="shared" si="22"/>
        <v>1.0000000000000002</v>
      </c>
      <c r="X58" s="7">
        <f t="shared" si="23"/>
        <v>0.76811354552095756</v>
      </c>
      <c r="Y58" s="7">
        <f t="shared" si="24"/>
        <v>0</v>
      </c>
      <c r="Z58" s="6"/>
      <c r="AB58">
        <f t="shared" si="25"/>
        <v>2010</v>
      </c>
      <c r="AC58" s="1" t="b">
        <f t="shared" si="26"/>
        <v>1</v>
      </c>
      <c r="AE58" s="1" t="b">
        <f t="shared" si="66"/>
        <v>1</v>
      </c>
      <c r="AF58" s="1" t="b">
        <f t="shared" si="67"/>
        <v>1</v>
      </c>
      <c r="AH58" s="1" t="b">
        <f t="shared" si="74"/>
        <v>1</v>
      </c>
      <c r="AI58" s="39" t="b">
        <f t="shared" si="28"/>
        <v>0</v>
      </c>
      <c r="AJ58" s="1" t="b">
        <f t="shared" si="29"/>
        <v>1</v>
      </c>
      <c r="AL58">
        <f t="shared" si="30"/>
        <v>2010</v>
      </c>
      <c r="AM58" s="40">
        <f>AM$39*$AT58</f>
        <v>84444.548054202227</v>
      </c>
      <c r="AN58" s="2"/>
      <c r="AO58" s="40">
        <f>AO$39*$AT58</f>
        <v>84444.548054202227</v>
      </c>
      <c r="AP58" s="40">
        <f>AP$39*$AT58</f>
        <v>42222.274027101113</v>
      </c>
      <c r="AQ58" s="2"/>
      <c r="AR58" s="40">
        <f>AR$39*$AT58</f>
        <v>84444.548054202227</v>
      </c>
      <c r="AS58" s="40">
        <f>AS$39*$AT58</f>
        <v>126666.82208130331</v>
      </c>
      <c r="AT58" s="2">
        <f t="shared" si="31"/>
        <v>422222.74027101108</v>
      </c>
      <c r="AU58" s="2">
        <f t="shared" si="32"/>
        <v>0</v>
      </c>
    </row>
    <row r="59" spans="1:48" x14ac:dyDescent="0.25">
      <c r="A59">
        <f t="shared" si="4"/>
        <v>2011</v>
      </c>
      <c r="B59" s="2">
        <f t="shared" si="61"/>
        <v>86108.105650870013</v>
      </c>
      <c r="C59" s="2"/>
      <c r="D59" s="2">
        <f t="shared" si="62"/>
        <v>82662.768090258556</v>
      </c>
      <c r="E59" s="2">
        <f t="shared" si="63"/>
        <v>41040.050354342282</v>
      </c>
      <c r="F59" s="2"/>
      <c r="G59" s="2">
        <f t="shared" si="53"/>
        <v>72149.421857510388</v>
      </c>
      <c r="H59" s="2">
        <f t="shared" si="16"/>
        <v>136242.83383064985</v>
      </c>
      <c r="I59" s="2">
        <f t="shared" si="17"/>
        <v>418203.17978363112</v>
      </c>
      <c r="J59" s="2">
        <f t="shared" si="18"/>
        <v>-4019.5604873799603</v>
      </c>
      <c r="K59" s="6">
        <f t="shared" si="19"/>
        <v>-9.5199999999998463E-3</v>
      </c>
      <c r="L59" s="7">
        <f t="shared" si="20"/>
        <v>0.99048000000000014</v>
      </c>
      <c r="O59">
        <f t="shared" si="21"/>
        <v>2011</v>
      </c>
      <c r="P59" s="6">
        <f t="shared" si="5"/>
        <v>0.20590016961473226</v>
      </c>
      <c r="Q59" s="7"/>
      <c r="R59" s="6">
        <f t="shared" si="64"/>
        <v>0.19766173976253937</v>
      </c>
      <c r="S59" s="6">
        <f t="shared" si="65"/>
        <v>9.8134237945238664E-2</v>
      </c>
      <c r="T59" s="7"/>
      <c r="U59" s="6">
        <f t="shared" si="5"/>
        <v>0.17252241337533319</v>
      </c>
      <c r="V59" s="6">
        <f t="shared" si="8"/>
        <v>0.32578143930215647</v>
      </c>
      <c r="W59" s="6">
        <f t="shared" si="22"/>
        <v>1</v>
      </c>
      <c r="X59" s="7">
        <f t="shared" si="23"/>
        <v>0.67421856069784347</v>
      </c>
      <c r="Y59" s="7">
        <f t="shared" si="24"/>
        <v>0</v>
      </c>
      <c r="Z59" s="6"/>
      <c r="AA59" s="7"/>
      <c r="AB59">
        <f t="shared" si="25"/>
        <v>2011</v>
      </c>
      <c r="AC59" s="1" t="b">
        <f t="shared" si="26"/>
        <v>1</v>
      </c>
      <c r="AE59" s="1" t="b">
        <f t="shared" si="66"/>
        <v>1</v>
      </c>
      <c r="AF59" s="1" t="b">
        <f t="shared" si="67"/>
        <v>1</v>
      </c>
      <c r="AH59" s="1" t="b">
        <f t="shared" si="74"/>
        <v>1</v>
      </c>
      <c r="AI59" s="1" t="b">
        <f t="shared" si="28"/>
        <v>1</v>
      </c>
      <c r="AJ59" s="1" t="b">
        <f t="shared" si="29"/>
        <v>1</v>
      </c>
      <c r="AL59">
        <f t="shared" si="30"/>
        <v>2011</v>
      </c>
      <c r="AM59" s="62">
        <f>B59</f>
        <v>86108.105650870013</v>
      </c>
      <c r="AN59" s="2"/>
      <c r="AO59" s="26">
        <f>D59</f>
        <v>82662.768090258556</v>
      </c>
      <c r="AP59" s="26">
        <f>E59</f>
        <v>41040.050354342282</v>
      </c>
      <c r="AQ59" s="2"/>
      <c r="AR59" s="2">
        <f t="shared" ref="AR59" si="77">G59</f>
        <v>72149.421857510388</v>
      </c>
      <c r="AS59" s="2">
        <f t="shared" ref="AS59" si="78">H59</f>
        <v>136242.83383064985</v>
      </c>
      <c r="AT59" s="2">
        <f t="shared" si="31"/>
        <v>418203.17978363112</v>
      </c>
      <c r="AU59" s="2">
        <f t="shared" si="32"/>
        <v>0</v>
      </c>
    </row>
    <row r="60" spans="1:48" x14ac:dyDescent="0.25">
      <c r="A60">
        <f t="shared" si="4"/>
        <v>2012</v>
      </c>
      <c r="B60" s="2">
        <f t="shared" si="61"/>
        <v>99730.407964837636</v>
      </c>
      <c r="C60" s="2"/>
      <c r="D60" s="2">
        <f t="shared" si="62"/>
        <v>95723.485448519408</v>
      </c>
      <c r="E60" s="2">
        <f t="shared" si="63"/>
        <v>48443.675438265636</v>
      </c>
      <c r="F60" s="2"/>
      <c r="G60" s="2">
        <f t="shared" si="53"/>
        <v>85237.326982462779</v>
      </c>
      <c r="H60" s="2">
        <f t="shared" si="16"/>
        <v>141760.66860079116</v>
      </c>
      <c r="I60" s="2">
        <f t="shared" si="17"/>
        <v>470895.56443487655</v>
      </c>
      <c r="J60" s="2">
        <f t="shared" si="18"/>
        <v>52692.384651245433</v>
      </c>
      <c r="K60" s="6">
        <f t="shared" si="19"/>
        <v>0.12599709231887543</v>
      </c>
      <c r="L60" s="7">
        <f t="shared" si="20"/>
        <v>1.1259970923188753</v>
      </c>
      <c r="O60">
        <f t="shared" si="21"/>
        <v>2012</v>
      </c>
      <c r="P60" s="6">
        <f t="shared" si="5"/>
        <v>0.21178880307467846</v>
      </c>
      <c r="Q60" s="7"/>
      <c r="R60" s="6">
        <f t="shared" si="64"/>
        <v>0.20327964983785207</v>
      </c>
      <c r="S60" s="6">
        <f t="shared" si="65"/>
        <v>0.10287562486684933</v>
      </c>
      <c r="T60" s="7"/>
      <c r="U60" s="6">
        <f t="shared" si="5"/>
        <v>0.1810111061138501</v>
      </c>
      <c r="V60" s="6">
        <f t="shared" si="8"/>
        <v>0.3010448161067702</v>
      </c>
      <c r="W60" s="6">
        <f t="shared" si="22"/>
        <v>1.0000000000000002</v>
      </c>
      <c r="X60" s="7">
        <f t="shared" si="23"/>
        <v>0.69895518389322997</v>
      </c>
      <c r="Y60" s="7">
        <f t="shared" si="24"/>
        <v>0</v>
      </c>
      <c r="Z60" s="6"/>
      <c r="AB60">
        <f t="shared" si="25"/>
        <v>2012</v>
      </c>
      <c r="AC60" s="1" t="b">
        <f t="shared" si="26"/>
        <v>1</v>
      </c>
      <c r="AE60" s="1" t="b">
        <f t="shared" si="66"/>
        <v>1</v>
      </c>
      <c r="AF60" s="1" t="b">
        <f t="shared" si="67"/>
        <v>1</v>
      </c>
      <c r="AH60" s="1" t="b">
        <f t="shared" si="74"/>
        <v>1</v>
      </c>
      <c r="AI60" s="1" t="b">
        <f t="shared" si="28"/>
        <v>1</v>
      </c>
      <c r="AJ60" s="1" t="b">
        <f t="shared" si="29"/>
        <v>1</v>
      </c>
      <c r="AL60">
        <f t="shared" si="30"/>
        <v>2012</v>
      </c>
      <c r="AM60" s="62">
        <f>B60</f>
        <v>99730.407964837636</v>
      </c>
      <c r="AN60" s="2"/>
      <c r="AO60" s="26">
        <f>D60</f>
        <v>95723.485448519408</v>
      </c>
      <c r="AP60" s="26">
        <f>E60</f>
        <v>48443.675438265636</v>
      </c>
      <c r="AQ60" s="2"/>
      <c r="AR60" s="2">
        <f t="shared" ref="AR60" si="79">G60</f>
        <v>85237.326982462779</v>
      </c>
      <c r="AS60" s="2">
        <f t="shared" ref="AS60" si="80">H60</f>
        <v>141760.66860079116</v>
      </c>
      <c r="AT60" s="2">
        <f t="shared" si="31"/>
        <v>470895.56443487655</v>
      </c>
      <c r="AU60" s="2">
        <f t="shared" si="32"/>
        <v>0</v>
      </c>
    </row>
    <row r="61" spans="1:48" x14ac:dyDescent="0.25">
      <c r="A61">
        <f t="shared" si="4"/>
        <v>2013</v>
      </c>
      <c r="B61" s="2">
        <f t="shared" si="61"/>
        <v>131823.6532479224</v>
      </c>
      <c r="C61" s="2"/>
      <c r="D61" s="2">
        <f t="shared" si="62"/>
        <v>129226.70535550121</v>
      </c>
      <c r="E61" s="2">
        <f t="shared" si="63"/>
        <v>66668.186138141158</v>
      </c>
      <c r="F61" s="2"/>
      <c r="G61" s="2">
        <f t="shared" si="53"/>
        <v>98057.020960625174</v>
      </c>
      <c r="H61" s="2">
        <f t="shared" si="16"/>
        <v>138556.87749041329</v>
      </c>
      <c r="I61" s="2">
        <f t="shared" si="17"/>
        <v>564332.44319260318</v>
      </c>
      <c r="J61" s="2">
        <f t="shared" si="18"/>
        <v>93436.878757726634</v>
      </c>
      <c r="K61" s="6">
        <f t="shared" si="19"/>
        <v>0.19842378186309859</v>
      </c>
      <c r="L61" s="7">
        <f t="shared" si="20"/>
        <v>1.1984237818630985</v>
      </c>
      <c r="O61">
        <f t="shared" si="21"/>
        <v>2013</v>
      </c>
      <c r="P61" s="6">
        <f t="shared" si="5"/>
        <v>0.23359219346340468</v>
      </c>
      <c r="Q61" s="7"/>
      <c r="R61" s="6">
        <f t="shared" si="64"/>
        <v>0.22899038840373198</v>
      </c>
      <c r="S61" s="6">
        <f t="shared" si="65"/>
        <v>0.11813636969191176</v>
      </c>
      <c r="T61" s="7"/>
      <c r="U61" s="6">
        <f t="shared" si="5"/>
        <v>0.17375754689183964</v>
      </c>
      <c r="V61" s="6">
        <f t="shared" si="8"/>
        <v>0.24552350154911204</v>
      </c>
      <c r="W61" s="6">
        <f t="shared" si="22"/>
        <v>1</v>
      </c>
      <c r="X61" s="7">
        <f t="shared" si="23"/>
        <v>0.75447649845088804</v>
      </c>
      <c r="Y61" s="7">
        <f t="shared" si="24"/>
        <v>0</v>
      </c>
      <c r="Z61" s="6"/>
      <c r="AB61">
        <f t="shared" si="25"/>
        <v>2013</v>
      </c>
      <c r="AC61" s="1" t="b">
        <f t="shared" si="26"/>
        <v>1</v>
      </c>
      <c r="AE61" s="1" t="b">
        <f t="shared" si="66"/>
        <v>1</v>
      </c>
      <c r="AF61" s="1" t="b">
        <f t="shared" si="67"/>
        <v>1</v>
      </c>
      <c r="AH61" s="1" t="b">
        <f t="shared" si="74"/>
        <v>1</v>
      </c>
      <c r="AI61" s="39" t="b">
        <f t="shared" si="28"/>
        <v>0</v>
      </c>
      <c r="AJ61" s="1" t="b">
        <f t="shared" si="29"/>
        <v>1</v>
      </c>
      <c r="AL61">
        <f t="shared" si="30"/>
        <v>2013</v>
      </c>
      <c r="AM61" s="40">
        <f>AM$39*$AT61</f>
        <v>112866.48863852065</v>
      </c>
      <c r="AN61" s="2"/>
      <c r="AO61" s="40">
        <f>AO$39*$AT61</f>
        <v>112866.48863852065</v>
      </c>
      <c r="AP61" s="40">
        <f>AP$39*$AT61</f>
        <v>56433.244319260324</v>
      </c>
      <c r="AQ61" s="2"/>
      <c r="AR61" s="40">
        <f>AR$39*$AT61</f>
        <v>112866.48863852065</v>
      </c>
      <c r="AS61" s="40">
        <f>AS$39*$AT61</f>
        <v>169299.73295778094</v>
      </c>
      <c r="AT61" s="2">
        <f t="shared" si="31"/>
        <v>564332.44319260318</v>
      </c>
      <c r="AU61" s="2">
        <f t="shared" si="32"/>
        <v>0</v>
      </c>
    </row>
    <row r="62" spans="1:48" x14ac:dyDescent="0.25">
      <c r="A62">
        <f t="shared" si="4"/>
        <v>2014</v>
      </c>
      <c r="B62" s="2">
        <f t="shared" si="61"/>
        <v>128114.75125358479</v>
      </c>
      <c r="C62" s="2"/>
      <c r="D62" s="2">
        <f t="shared" si="62"/>
        <v>128216.33109335948</v>
      </c>
      <c r="E62" s="2">
        <f t="shared" si="63"/>
        <v>60592.374425589813</v>
      </c>
      <c r="F62" s="2"/>
      <c r="G62" s="2">
        <f t="shared" si="53"/>
        <v>108080.94952024738</v>
      </c>
      <c r="H62" s="2">
        <f t="shared" si="16"/>
        <v>179051.39757614915</v>
      </c>
      <c r="I62" s="2">
        <f t="shared" si="17"/>
        <v>604055.80386893055</v>
      </c>
      <c r="J62" s="2">
        <f t="shared" si="18"/>
        <v>39723.360676327371</v>
      </c>
      <c r="K62" s="6">
        <f t="shared" si="19"/>
        <v>7.0390000000000064E-2</v>
      </c>
      <c r="L62" s="7">
        <f t="shared" si="20"/>
        <v>1.0703900000000002</v>
      </c>
      <c r="O62">
        <f t="shared" si="21"/>
        <v>2014</v>
      </c>
      <c r="P62" s="6">
        <f t="shared" si="5"/>
        <v>0.21209092013191455</v>
      </c>
      <c r="Q62" s="7"/>
      <c r="R62" s="6">
        <f t="shared" si="64"/>
        <v>0.21225908313792174</v>
      </c>
      <c r="S62" s="6">
        <f t="shared" si="65"/>
        <v>0.10030923308326872</v>
      </c>
      <c r="T62" s="7"/>
      <c r="U62" s="6">
        <f t="shared" si="5"/>
        <v>0.17892543839161429</v>
      </c>
      <c r="V62" s="6">
        <f t="shared" si="8"/>
        <v>0.2964153252552808</v>
      </c>
      <c r="W62" s="6">
        <f t="shared" si="22"/>
        <v>1.0000000000000002</v>
      </c>
      <c r="X62" s="7">
        <f t="shared" si="23"/>
        <v>0.70358467474471942</v>
      </c>
      <c r="Y62" s="7">
        <f t="shared" si="24"/>
        <v>0</v>
      </c>
      <c r="Z62" s="6"/>
      <c r="AB62">
        <f t="shared" si="25"/>
        <v>2014</v>
      </c>
      <c r="AC62" s="1" t="b">
        <f t="shared" si="26"/>
        <v>1</v>
      </c>
      <c r="AE62" s="1" t="b">
        <f t="shared" si="66"/>
        <v>1</v>
      </c>
      <c r="AF62" s="1" t="b">
        <f t="shared" si="67"/>
        <v>1</v>
      </c>
      <c r="AH62" s="1" t="b">
        <f t="shared" si="74"/>
        <v>1</v>
      </c>
      <c r="AI62" s="1" t="b">
        <f t="shared" si="28"/>
        <v>1</v>
      </c>
      <c r="AJ62" s="1" t="b">
        <f t="shared" si="29"/>
        <v>1</v>
      </c>
      <c r="AL62">
        <f t="shared" si="30"/>
        <v>2014</v>
      </c>
      <c r="AM62" s="2">
        <f>B62</f>
        <v>128114.75125358479</v>
      </c>
      <c r="AN62" s="2"/>
      <c r="AO62" s="26">
        <f t="shared" ref="AO62" si="81">D62</f>
        <v>128216.33109335948</v>
      </c>
      <c r="AP62" s="26">
        <f t="shared" ref="AP62" si="82">E62</f>
        <v>60592.374425589813</v>
      </c>
      <c r="AQ62" s="2"/>
      <c r="AR62" s="2">
        <f t="shared" ref="AR62" si="83">G62</f>
        <v>108080.94952024738</v>
      </c>
      <c r="AS62" s="2">
        <f t="shared" ref="AS62" si="84">H62</f>
        <v>179051.39757614915</v>
      </c>
      <c r="AT62" s="2">
        <f t="shared" si="31"/>
        <v>604055.80386893055</v>
      </c>
      <c r="AU62" s="2">
        <f t="shared" si="32"/>
        <v>0</v>
      </c>
    </row>
    <row r="63" spans="1:48" x14ac:dyDescent="0.25">
      <c r="A63">
        <f t="shared" si="4"/>
        <v>2015</v>
      </c>
      <c r="B63" s="2">
        <f t="shared" si="61"/>
        <v>129716.1856442546</v>
      </c>
      <c r="C63" s="2"/>
      <c r="D63" s="2">
        <f t="shared" si="62"/>
        <v>126344.37265939644</v>
      </c>
      <c r="E63" s="2">
        <f t="shared" si="63"/>
        <v>58301.982672302518</v>
      </c>
      <c r="F63" s="2"/>
      <c r="G63" s="2">
        <f t="shared" si="53"/>
        <v>103357.81202621257</v>
      </c>
      <c r="H63" s="2">
        <f t="shared" si="16"/>
        <v>179588.55176887757</v>
      </c>
      <c r="I63" s="2">
        <f t="shared" si="17"/>
        <v>597308.90477104369</v>
      </c>
      <c r="J63" s="2">
        <f t="shared" si="18"/>
        <v>-6746.8990978868678</v>
      </c>
      <c r="K63" s="6">
        <f t="shared" si="19"/>
        <v>-1.1169330804659938E-2</v>
      </c>
      <c r="L63" s="7">
        <f t="shared" si="20"/>
        <v>0.98883066919534002</v>
      </c>
      <c r="O63">
        <f t="shared" si="21"/>
        <v>2015</v>
      </c>
      <c r="P63" s="6">
        <f t="shared" si="5"/>
        <v>0.21716767422708441</v>
      </c>
      <c r="Q63" s="7"/>
      <c r="R63" s="6">
        <f t="shared" si="64"/>
        <v>0.2115226671663733</v>
      </c>
      <c r="S63" s="6">
        <f t="shared" si="65"/>
        <v>9.7607757404270454E-2</v>
      </c>
      <c r="T63" s="7"/>
      <c r="U63" s="6">
        <f t="shared" si="5"/>
        <v>0.17303912799664517</v>
      </c>
      <c r="V63" s="6">
        <f t="shared" si="8"/>
        <v>0.30066277320562668</v>
      </c>
      <c r="W63" s="6">
        <f t="shared" si="22"/>
        <v>1</v>
      </c>
      <c r="X63" s="7">
        <f t="shared" si="23"/>
        <v>0.69933722679437338</v>
      </c>
      <c r="Y63" s="7">
        <f t="shared" si="24"/>
        <v>0</v>
      </c>
      <c r="Z63" s="6"/>
      <c r="AB63">
        <f t="shared" si="25"/>
        <v>2015</v>
      </c>
      <c r="AC63" s="1" t="b">
        <f t="shared" si="26"/>
        <v>1</v>
      </c>
      <c r="AE63" s="1" t="b">
        <f t="shared" si="66"/>
        <v>1</v>
      </c>
      <c r="AF63" s="1" t="b">
        <f t="shared" si="67"/>
        <v>1</v>
      </c>
      <c r="AH63" s="1" t="b">
        <f t="shared" si="74"/>
        <v>1</v>
      </c>
      <c r="AI63" s="1" t="b">
        <f t="shared" si="28"/>
        <v>1</v>
      </c>
      <c r="AJ63" s="1" t="b">
        <f t="shared" si="29"/>
        <v>1</v>
      </c>
      <c r="AL63">
        <f t="shared" si="30"/>
        <v>2015</v>
      </c>
      <c r="AM63" s="2">
        <f>B63</f>
        <v>129716.1856442546</v>
      </c>
      <c r="AN63" s="2"/>
      <c r="AO63" s="26">
        <f t="shared" ref="AO63" si="85">D63</f>
        <v>126344.37265939644</v>
      </c>
      <c r="AP63" s="26">
        <f t="shared" ref="AP63" si="86">E63</f>
        <v>58301.982672302518</v>
      </c>
      <c r="AQ63" s="2"/>
      <c r="AR63" s="2">
        <f t="shared" ref="AR63" si="87">G63</f>
        <v>103357.81202621257</v>
      </c>
      <c r="AS63" s="2">
        <f t="shared" ref="AS63" si="88">H63</f>
        <v>179588.55176887757</v>
      </c>
      <c r="AT63" s="2">
        <f t="shared" si="31"/>
        <v>597308.90477104369</v>
      </c>
      <c r="AU63" s="2">
        <f t="shared" si="32"/>
        <v>0</v>
      </c>
      <c r="AV63" s="35"/>
    </row>
    <row r="64" spans="1:48" x14ac:dyDescent="0.25">
      <c r="A64">
        <f t="shared" si="4"/>
        <v>2016</v>
      </c>
      <c r="B64" s="2">
        <f t="shared" si="61"/>
        <v>145048.63878740551</v>
      </c>
      <c r="C64" s="2"/>
      <c r="D64" s="2">
        <f t="shared" si="62"/>
        <v>140330.69471279162</v>
      </c>
      <c r="E64" s="2">
        <f t="shared" si="63"/>
        <v>68895.452923859877</v>
      </c>
      <c r="F64" s="2"/>
      <c r="G64" s="2">
        <f t="shared" si="53"/>
        <v>108163.95028543146</v>
      </c>
      <c r="H64" s="2">
        <f t="shared" si="16"/>
        <v>184078.2655630995</v>
      </c>
      <c r="I64" s="2">
        <f t="shared" si="17"/>
        <v>646517.00227258797</v>
      </c>
      <c r="J64" s="2">
        <f t="shared" si="18"/>
        <v>49208.097501544282</v>
      </c>
      <c r="K64" s="6">
        <f t="shared" si="19"/>
        <v>8.2382996651299528E-2</v>
      </c>
      <c r="L64" s="7">
        <f t="shared" si="20"/>
        <v>1.0823829966512994</v>
      </c>
      <c r="O64">
        <f t="shared" si="21"/>
        <v>2016</v>
      </c>
      <c r="P64" s="6">
        <f t="shared" si="5"/>
        <v>0.22435394317170537</v>
      </c>
      <c r="Q64" s="7"/>
      <c r="R64" s="6">
        <f t="shared" si="64"/>
        <v>0.21705646443869489</v>
      </c>
      <c r="S64" s="6">
        <f t="shared" si="65"/>
        <v>0.10656402334615139</v>
      </c>
      <c r="T64" s="7"/>
      <c r="U64" s="6">
        <f t="shared" si="5"/>
        <v>0.16730256111629188</v>
      </c>
      <c r="V64" s="6">
        <f t="shared" si="8"/>
        <v>0.28472300792715649</v>
      </c>
      <c r="W64" s="6">
        <f t="shared" si="22"/>
        <v>1.0000000000000002</v>
      </c>
      <c r="X64" s="7">
        <f t="shared" si="23"/>
        <v>0.71527699207284368</v>
      </c>
      <c r="Y64" s="7">
        <f t="shared" si="24"/>
        <v>0</v>
      </c>
      <c r="Z64" s="6"/>
      <c r="AB64">
        <f t="shared" si="25"/>
        <v>2016</v>
      </c>
      <c r="AC64" s="1" t="b">
        <f t="shared" si="26"/>
        <v>1</v>
      </c>
      <c r="AE64" s="1" t="b">
        <f t="shared" si="66"/>
        <v>1</v>
      </c>
      <c r="AF64" s="1" t="b">
        <f t="shared" si="67"/>
        <v>1</v>
      </c>
      <c r="AH64" s="1" t="b">
        <f t="shared" si="74"/>
        <v>1</v>
      </c>
      <c r="AI64" s="1" t="b">
        <f t="shared" si="28"/>
        <v>1</v>
      </c>
      <c r="AJ64" s="1" t="b">
        <f t="shared" si="29"/>
        <v>1</v>
      </c>
      <c r="AL64">
        <f t="shared" si="30"/>
        <v>2016</v>
      </c>
      <c r="AM64" s="2">
        <f>B64</f>
        <v>145048.63878740551</v>
      </c>
      <c r="AN64" s="2"/>
      <c r="AO64" s="26">
        <f t="shared" ref="AO64:AP64" si="89">D64</f>
        <v>140330.69471279162</v>
      </c>
      <c r="AP64" s="26">
        <f t="shared" si="89"/>
        <v>68895.452923859877</v>
      </c>
      <c r="AQ64" s="2"/>
      <c r="AR64" s="2">
        <f t="shared" ref="AR64" si="90">G64</f>
        <v>108163.95028543146</v>
      </c>
      <c r="AS64" s="2">
        <f t="shared" si="12"/>
        <v>184078.2655630995</v>
      </c>
      <c r="AT64" s="2">
        <f t="shared" si="31"/>
        <v>646517.00227258797</v>
      </c>
      <c r="AU64" s="2">
        <f t="shared" si="32"/>
        <v>0</v>
      </c>
    </row>
    <row r="65" spans="1:45" x14ac:dyDescent="0.25">
      <c r="A65" s="9" t="s">
        <v>78</v>
      </c>
      <c r="B65" s="10">
        <f>B64</f>
        <v>145048.63878740551</v>
      </c>
      <c r="C65" s="10"/>
      <c r="D65" s="10">
        <f>D64</f>
        <v>140330.69471279162</v>
      </c>
      <c r="E65" s="10">
        <f>E64</f>
        <v>68895.452923859877</v>
      </c>
      <c r="F65" s="10"/>
      <c r="G65" s="10">
        <f>G64</f>
        <v>108163.95028543146</v>
      </c>
      <c r="H65" s="10">
        <f>H64</f>
        <v>184078.2655630995</v>
      </c>
      <c r="I65" s="10">
        <f>SUM(B64:H64)</f>
        <v>646517.00227258797</v>
      </c>
      <c r="J65" s="10"/>
      <c r="K65" s="10"/>
      <c r="AM65" s="2"/>
      <c r="AO65" s="2"/>
      <c r="AP65" s="2"/>
      <c r="AR65" s="2"/>
      <c r="AS65" s="2"/>
    </row>
    <row r="66" spans="1:45" x14ac:dyDescent="0.25">
      <c r="A66" s="11" t="s">
        <v>79</v>
      </c>
      <c r="I66" s="6">
        <f>(I65-I39)/I39</f>
        <v>5.4651700227258795</v>
      </c>
      <c r="K66" s="6"/>
      <c r="R66" s="7"/>
      <c r="AO66" s="2"/>
    </row>
    <row r="67" spans="1:45" x14ac:dyDescent="0.25">
      <c r="A67" s="1" t="s">
        <v>80</v>
      </c>
      <c r="I67" s="29">
        <f>STDEV(L40:L64)</f>
        <v>0.11982419945725019</v>
      </c>
      <c r="K67" s="30"/>
      <c r="AL67" s="21" t="s">
        <v>160</v>
      </c>
      <c r="AM67">
        <f>COUNTA(AM44,AM46:AM47,AM49:AM51,AM54,AM56,AM58,AM61)</f>
        <v>10</v>
      </c>
    </row>
    <row r="68" spans="1:45" x14ac:dyDescent="0.25">
      <c r="A68" s="1" t="s">
        <v>81</v>
      </c>
      <c r="I68" s="13">
        <f>((1+I66)^(1/I73))-1</f>
        <v>7.751468581892329E-2</v>
      </c>
      <c r="K68" s="30"/>
      <c r="AL68" t="s">
        <v>161</v>
      </c>
      <c r="AM68">
        <f>COUNTA(AL40:AL64)</f>
        <v>25</v>
      </c>
    </row>
    <row r="69" spans="1:45" x14ac:dyDescent="0.25">
      <c r="A69" s="1" t="s">
        <v>82</v>
      </c>
      <c r="I69" s="31">
        <f>J60</f>
        <v>52692.384651245433</v>
      </c>
      <c r="AL69" s="21" t="s">
        <v>162</v>
      </c>
      <c r="AM69">
        <f>AM68/AM67</f>
        <v>2.5</v>
      </c>
    </row>
    <row r="70" spans="1:45" x14ac:dyDescent="0.25">
      <c r="A70" s="1" t="s">
        <v>83</v>
      </c>
      <c r="I70" s="32">
        <f>K60</f>
        <v>0.12599709231887543</v>
      </c>
    </row>
    <row r="71" spans="1:45" x14ac:dyDescent="0.25">
      <c r="A71" s="3" t="s">
        <v>84</v>
      </c>
      <c r="I71" s="33">
        <f>I64-I65</f>
        <v>0</v>
      </c>
    </row>
    <row r="72" spans="1:45" x14ac:dyDescent="0.25">
      <c r="A72" s="3" t="s">
        <v>148</v>
      </c>
      <c r="I72" s="33">
        <f>((SUM(J40:J64))-(I65-I39))</f>
        <v>0</v>
      </c>
    </row>
    <row r="73" spans="1:45" x14ac:dyDescent="0.25">
      <c r="A73" s="3" t="s">
        <v>159</v>
      </c>
      <c r="I73" s="3">
        <f>COUNTA(I40:I64)</f>
        <v>25</v>
      </c>
    </row>
    <row r="74" spans="1:45" x14ac:dyDescent="0.25">
      <c r="A74" s="1" t="s">
        <v>105</v>
      </c>
      <c r="B74" s="62"/>
      <c r="C74" s="62"/>
      <c r="D74" s="62"/>
      <c r="E74" s="62"/>
      <c r="G74" s="62"/>
      <c r="H74" s="62"/>
      <c r="I74" s="85">
        <f>(SUM(B65:G65)/I65)</f>
        <v>0.71527699207284356</v>
      </c>
    </row>
    <row r="75" spans="1:45" x14ac:dyDescent="0.25">
      <c r="A75" s="1" t="s">
        <v>106</v>
      </c>
      <c r="B75" s="62"/>
      <c r="C75" s="62"/>
      <c r="D75" s="62"/>
      <c r="E75" s="62"/>
      <c r="G75" s="62"/>
      <c r="H75" s="62"/>
      <c r="I75" s="85">
        <f>(H65/I65)</f>
        <v>0.28472300792715649</v>
      </c>
    </row>
    <row r="76" spans="1:45" x14ac:dyDescent="0.25">
      <c r="A76" s="3" t="s">
        <v>107</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76"/>
  <sheetViews>
    <sheetView topLeftCell="A33" zoomScaleNormal="100" workbookViewId="0">
      <selection activeCell="A74" sqref="A74:I76"/>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49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1992</v>
      </c>
      <c r="B4" s="17">
        <f>'Non-Rebalanced Portfolio'!B4</f>
        <v>7.42</v>
      </c>
      <c r="C4" s="17">
        <f>'Non-Rebalanced Portfolio'!C4</f>
        <v>12.465999999999999</v>
      </c>
      <c r="D4" s="17"/>
      <c r="E4" s="17"/>
      <c r="F4" s="17">
        <f>'Non-Rebalanced Portfolio'!F4</f>
        <v>-8.7210000000000001</v>
      </c>
      <c r="G4" s="17"/>
      <c r="H4" s="17">
        <f>'Non-Rebalanced Portfolio'!H4</f>
        <v>7.14</v>
      </c>
    </row>
    <row r="5" spans="1:8" x14ac:dyDescent="0.25">
      <c r="A5" s="17">
        <f>'Non-Rebalanced Portfolio'!A5</f>
        <v>1993</v>
      </c>
      <c r="B5" s="17">
        <f>'Non-Rebalanced Portfolio'!B5</f>
        <v>9.89</v>
      </c>
      <c r="C5" s="17">
        <f>'Non-Rebalanced Portfolio'!C5</f>
        <v>14.49</v>
      </c>
      <c r="D5" s="17"/>
      <c r="E5" s="17"/>
      <c r="F5" s="17">
        <f>'Non-Rebalanced Portfolio'!F5</f>
        <v>30.494</v>
      </c>
      <c r="G5" s="17"/>
      <c r="H5" s="17">
        <f>'Non-Rebalanced Portfolio'!H5</f>
        <v>9.68</v>
      </c>
    </row>
    <row r="6" spans="1:8" x14ac:dyDescent="0.25">
      <c r="A6" s="17">
        <f>'Non-Rebalanced Portfolio'!A6</f>
        <v>1994</v>
      </c>
      <c r="B6" s="17">
        <f>'Non-Rebalanced Portfolio'!B6</f>
        <v>1.18</v>
      </c>
      <c r="C6" s="17">
        <f>'Non-Rebalanced Portfolio'!C6</f>
        <v>-1.764</v>
      </c>
      <c r="D6" s="17"/>
      <c r="E6" s="17"/>
      <c r="F6" s="17">
        <f>'Non-Rebalanced Portfolio'!F6</f>
        <v>5.2549999999999999</v>
      </c>
      <c r="G6" s="17"/>
      <c r="H6" s="17">
        <f>'Non-Rebalanced Portfolio'!H6</f>
        <v>-2.66</v>
      </c>
    </row>
    <row r="7" spans="1:8" x14ac:dyDescent="0.25">
      <c r="A7" s="17">
        <f>'Non-Rebalanced Portfolio'!A7</f>
        <v>1995</v>
      </c>
      <c r="B7" s="17">
        <f>'Non-Rebalanced Portfolio'!B7</f>
        <v>37.450000000000003</v>
      </c>
      <c r="C7" s="17">
        <f>'Non-Rebalanced Portfolio'!C7</f>
        <v>33.796999999999997</v>
      </c>
      <c r="D7" s="17"/>
      <c r="E7" s="17"/>
      <c r="F7" s="17">
        <f>'Non-Rebalanced Portfolio'!F7</f>
        <v>9.6460000000000008</v>
      </c>
      <c r="G7" s="17"/>
      <c r="H7" s="17">
        <f>'Non-Rebalanced Portfolio'!H7</f>
        <v>18.18</v>
      </c>
    </row>
    <row r="8" spans="1:8" x14ac:dyDescent="0.25">
      <c r="A8" s="17">
        <f>'Non-Rebalanced Portfolio'!A8</f>
        <v>1996</v>
      </c>
      <c r="B8" s="17">
        <f>'Non-Rebalanced Portfolio'!B8</f>
        <v>22.88</v>
      </c>
      <c r="C8" s="17">
        <f>'Non-Rebalanced Portfolio'!C8</f>
        <v>17.646999999999998</v>
      </c>
      <c r="D8" s="17"/>
      <c r="E8" s="17"/>
      <c r="F8" s="17">
        <f>'Non-Rebalanced Portfolio'!F8</f>
        <v>10.218999999999999</v>
      </c>
      <c r="G8" s="17"/>
      <c r="H8" s="17">
        <f>'Non-Rebalanced Portfolio'!H8</f>
        <v>3.58</v>
      </c>
    </row>
    <row r="9" spans="1:8" x14ac:dyDescent="0.25">
      <c r="A9" s="17">
        <f>'Non-Rebalanced Portfolio'!A9</f>
        <v>1997</v>
      </c>
      <c r="B9" s="17">
        <f>'Non-Rebalanced Portfolio'!B9</f>
        <v>33.19</v>
      </c>
      <c r="C9" s="17">
        <f>'Non-Rebalanced Portfolio'!C9</f>
        <v>26.687000000000001</v>
      </c>
      <c r="D9" s="17"/>
      <c r="E9" s="17"/>
      <c r="F9" s="17">
        <f>'Non-Rebalanced Portfolio'!F9</f>
        <v>0</v>
      </c>
      <c r="G9" s="17"/>
      <c r="H9" s="17">
        <f>'Non-Rebalanced Portfolio'!H9</f>
        <v>9.44</v>
      </c>
    </row>
    <row r="10" spans="1:8" x14ac:dyDescent="0.25">
      <c r="A10" s="17">
        <f>'Non-Rebalanced Portfolio'!A10</f>
        <v>1998</v>
      </c>
      <c r="B10" s="17">
        <f>'Non-Rebalanced Portfolio'!B10</f>
        <v>28.66</v>
      </c>
      <c r="C10" s="17">
        <f>'Non-Rebalanced Portfolio'!C10</f>
        <v>8.3529999999999998</v>
      </c>
      <c r="D10" s="17"/>
      <c r="E10" s="17"/>
      <c r="F10" s="17">
        <f>'Non-Rebalanced Portfolio'!F10</f>
        <v>0</v>
      </c>
      <c r="G10" s="17">
        <f>'Non-Rebalanced Portfolio'!G10</f>
        <v>15.603</v>
      </c>
      <c r="H10" s="17">
        <f>'Non-Rebalanced Portfolio'!H10</f>
        <v>8.58</v>
      </c>
    </row>
    <row r="11" spans="1:8" x14ac:dyDescent="0.25">
      <c r="A11" s="17">
        <f>'Non-Rebalanced Portfolio'!A11</f>
        <v>1999</v>
      </c>
      <c r="B11" s="17">
        <f>'Non-Rebalanced Portfolio'!B11</f>
        <v>21.07</v>
      </c>
      <c r="C11" s="17">
        <f>'Non-Rebalanced Portfolio'!C11</f>
        <v>0</v>
      </c>
      <c r="D11" s="17">
        <f>'Non-Rebalanced Portfolio'!D11</f>
        <v>15.319000000000001</v>
      </c>
      <c r="E11" s="17">
        <f>'Non-Rebalanced Portfolio'!E11</f>
        <v>23.132999999999999</v>
      </c>
      <c r="F11" s="17">
        <f>'Non-Rebalanced Portfolio'!F11</f>
        <v>0</v>
      </c>
      <c r="G11" s="18">
        <f>'Non-Rebalanced Portfolio'!G11</f>
        <v>29.919</v>
      </c>
      <c r="H11" s="17">
        <f>'Non-Rebalanced Portfolio'!H11</f>
        <v>-0.76</v>
      </c>
    </row>
    <row r="12" spans="1:8" x14ac:dyDescent="0.25">
      <c r="A12" s="17">
        <f>'Non-Rebalanced Portfolio'!A12</f>
        <v>2000</v>
      </c>
      <c r="B12" s="17">
        <f>'Non-Rebalanced Portfolio'!B12</f>
        <v>-9.06</v>
      </c>
      <c r="C12" s="17">
        <f>'Non-Rebalanced Portfolio'!C12</f>
        <v>0</v>
      </c>
      <c r="D12" s="17">
        <f>'Non-Rebalanced Portfolio'!D12</f>
        <v>18.097999999999999</v>
      </c>
      <c r="E12" s="17">
        <f>'Non-Rebalanced Portfolio'!E12</f>
        <v>-2.665</v>
      </c>
      <c r="F12" s="17">
        <f>'Non-Rebalanced Portfolio'!F12</f>
        <v>0</v>
      </c>
      <c r="G12" s="17">
        <f>'Non-Rebalanced Portfolio'!G12</f>
        <v>-15.614000000000001</v>
      </c>
      <c r="H12" s="17">
        <f>'Non-Rebalanced Portfolio'!H12</f>
        <v>11.39</v>
      </c>
    </row>
    <row r="13" spans="1:8" x14ac:dyDescent="0.25">
      <c r="A13" s="17">
        <f>'Non-Rebalanced Portfolio'!A13</f>
        <v>2001</v>
      </c>
      <c r="B13" s="17">
        <f>'Non-Rebalanced Portfolio'!B13</f>
        <v>-12.02</v>
      </c>
      <c r="C13" s="17">
        <f>'Non-Rebalanced Portfolio'!C13</f>
        <v>0</v>
      </c>
      <c r="D13" s="18">
        <f>'Non-Rebalanced Portfolio'!D13</f>
        <v>-0.499</v>
      </c>
      <c r="E13" s="18">
        <f>'Non-Rebalanced Portfolio'!E13</f>
        <v>3.1</v>
      </c>
      <c r="F13" s="17"/>
      <c r="G13" s="17">
        <f>'Non-Rebalanced Portfolio'!G13</f>
        <v>-20.152999999999999</v>
      </c>
      <c r="H13" s="17">
        <f>'Non-Rebalanced Portfolio'!H13</f>
        <v>8.43</v>
      </c>
    </row>
    <row r="14" spans="1:8" x14ac:dyDescent="0.25">
      <c r="A14" s="17">
        <f>'Non-Rebalanced Portfolio'!A14</f>
        <v>2002</v>
      </c>
      <c r="B14" s="17">
        <f>'Non-Rebalanced Portfolio'!B14</f>
        <v>-22.15</v>
      </c>
      <c r="C14" s="17">
        <f>'Non-Rebalanced Portfolio'!C14</f>
        <v>0</v>
      </c>
      <c r="D14" s="17">
        <f>'Non-Rebalanced Portfolio'!D14</f>
        <v>-14.608000000000001</v>
      </c>
      <c r="E14" s="17">
        <f>'Non-Rebalanced Portfolio'!E14</f>
        <v>-20.021999999999998</v>
      </c>
      <c r="F14" s="17"/>
      <c r="G14" s="17">
        <f>'Non-Rebalanced Portfolio'!G14</f>
        <v>-15.083</v>
      </c>
      <c r="H14" s="17">
        <f>'Non-Rebalanced Portfolio'!H14</f>
        <v>8.26</v>
      </c>
    </row>
    <row r="15" spans="1:8" x14ac:dyDescent="0.25">
      <c r="A15" s="17">
        <f>'Non-Rebalanced Portfolio'!A15</f>
        <v>2003</v>
      </c>
      <c r="B15" s="17">
        <f>'Non-Rebalanced Portfolio'!B15</f>
        <v>28.5</v>
      </c>
      <c r="C15" s="17"/>
      <c r="D15" s="17">
        <f>'Non-Rebalanced Portfolio'!D15</f>
        <v>34.142000000000003</v>
      </c>
      <c r="E15" s="17">
        <f>'Non-Rebalanced Portfolio'!E15</f>
        <v>45.628</v>
      </c>
      <c r="F15" s="17"/>
      <c r="G15" s="17">
        <f>'Non-Rebalanced Portfolio'!G15</f>
        <v>40.340000000000003</v>
      </c>
      <c r="H15" s="17">
        <f>'Non-Rebalanced Portfolio'!H15</f>
        <v>3.97</v>
      </c>
    </row>
    <row r="16" spans="1:8"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row>
    <row r="17" spans="1:8"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row>
    <row r="18" spans="1:8"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row>
    <row r="19" spans="1:8"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row>
    <row r="20" spans="1:8"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row>
    <row r="21" spans="1:8"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row>
    <row r="22" spans="1:8"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row>
    <row r="23" spans="1:8"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row>
    <row r="24" spans="1:8"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row>
    <row r="25" spans="1:8"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row>
    <row r="26" spans="1:8"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row>
    <row r="27" spans="1:8"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row>
    <row r="28" spans="1:8" x14ac:dyDescent="0.25">
      <c r="A28" s="17">
        <f>'Non-Rebalanced Portfolio'!A28</f>
        <v>2016</v>
      </c>
      <c r="B28" s="17">
        <f>'Non-Rebalanced Portfolio'!B28</f>
        <v>11.82</v>
      </c>
      <c r="C28" s="19"/>
      <c r="D28" s="17">
        <f>'Non-Rebalanced Portfolio'!D28</f>
        <v>11.07</v>
      </c>
      <c r="E28" s="17">
        <f>'Non-Rebalanced Portfolio'!E28</f>
        <v>18.170000000000002</v>
      </c>
      <c r="F28" s="19"/>
      <c r="G28" s="17">
        <f>'Non-Rebalanced Portfolio'!G28</f>
        <v>4.6500000000000004</v>
      </c>
      <c r="H28" s="17">
        <f>'Non-Rebalanced Portfolio'!H28</f>
        <v>2.5</v>
      </c>
    </row>
    <row r="29" spans="1:8"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5">
      <c r="A36" s="20" t="s">
        <v>116</v>
      </c>
      <c r="O36" s="20" t="s">
        <v>126</v>
      </c>
      <c r="AB36" s="20" t="s">
        <v>18</v>
      </c>
      <c r="AL36" s="20" t="s">
        <v>21</v>
      </c>
    </row>
    <row r="37" spans="1:47"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c r="Z37" s="61"/>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88</v>
      </c>
    </row>
    <row r="38" spans="1:47"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c r="Z38" s="61"/>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72</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87</v>
      </c>
    </row>
    <row r="39" spans="1:47" x14ac:dyDescent="0.25">
      <c r="A39" t="s">
        <v>71</v>
      </c>
      <c r="B39" s="2">
        <f>'Non-Rebalanced Portfolio'!B39</f>
        <v>20000</v>
      </c>
      <c r="C39" s="2">
        <f>'Non-Rebalanced Portfolio'!C39</f>
        <v>30000</v>
      </c>
      <c r="F39" s="2">
        <f>'Non-Rebalanced Portfolio'!F39</f>
        <v>20000</v>
      </c>
      <c r="H39" s="2">
        <f>'Non-Rebalanced Portfolio'!H39</f>
        <v>30000</v>
      </c>
      <c r="I39" s="2">
        <f>SUM(B39:H39)</f>
        <v>100000</v>
      </c>
      <c r="O39" s="21" t="s">
        <v>86</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5">
      <c r="A40">
        <f t="shared" ref="A40:A64" si="4">A4</f>
        <v>1992</v>
      </c>
      <c r="B40" s="2">
        <f>B39*(1+(B4/100))</f>
        <v>21484</v>
      </c>
      <c r="C40" s="2">
        <f>C39*(1+(C4/100))</f>
        <v>33739.800000000003</v>
      </c>
      <c r="D40" s="2"/>
      <c r="E40" s="2"/>
      <c r="F40" s="2">
        <f>F39*(1+(F4/100))</f>
        <v>18255.8</v>
      </c>
      <c r="G40" s="2"/>
      <c r="H40" s="2">
        <f>H39*(1+(H4/100))</f>
        <v>32141.999999999996</v>
      </c>
      <c r="I40" s="2">
        <f>SUM(B40:H40)</f>
        <v>105621.6</v>
      </c>
      <c r="J40" s="2">
        <f>I40-I39</f>
        <v>5621.6000000000058</v>
      </c>
      <c r="K40" s="6">
        <f>(J40/I39)</f>
        <v>5.6216000000000058E-2</v>
      </c>
      <c r="L40" s="7">
        <f>K40+1</f>
        <v>1.056216</v>
      </c>
      <c r="O40">
        <f>A40</f>
        <v>1992</v>
      </c>
      <c r="P40" s="6">
        <f t="shared" ref="P40:U64" si="5">B40/$I40</f>
        <v>0.20340536405432222</v>
      </c>
      <c r="Q40" s="6">
        <f t="shared" si="5"/>
        <v>0.31944034174827879</v>
      </c>
      <c r="R40" s="7"/>
      <c r="S40" s="7"/>
      <c r="T40" s="6">
        <f t="shared" ref="T40:T46" si="6">F40/$I40</f>
        <v>0.17284153998803273</v>
      </c>
      <c r="U40" s="7"/>
      <c r="V40" s="6">
        <f t="shared" ref="V40:V64" si="7">H40/$I40</f>
        <v>0.30431275420936621</v>
      </c>
      <c r="W40" s="6">
        <f>SUM(P40:V40)</f>
        <v>1</v>
      </c>
      <c r="X40" s="7">
        <f>SUM(P40:U40)</f>
        <v>0.69568724579063379</v>
      </c>
      <c r="Y40" s="7">
        <f>W40-(X40+V40)</f>
        <v>0</v>
      </c>
      <c r="Z40" s="6"/>
      <c r="AB40">
        <f>O40</f>
        <v>1992</v>
      </c>
      <c r="AC40" s="1" t="b">
        <f>AND((B40/$I40)&gt;0.15,(B40/$I40)&lt;0.25)</f>
        <v>1</v>
      </c>
      <c r="AD40" s="1" t="b">
        <f>AND((C40/$I40)&gt;0.25,(C40/$I40)&lt;0.35)</f>
        <v>1</v>
      </c>
      <c r="AG40" s="1" t="b">
        <f t="shared" ref="AG40:AG44" si="8">AND((F40/$I40)&gt;0.15,(F40/$I40)&lt;0.25)</f>
        <v>1</v>
      </c>
      <c r="AI40" s="1" t="b">
        <f>AND((H40/$I40)&gt;0.25,(H40/$I40)&lt;0.35)</f>
        <v>1</v>
      </c>
      <c r="AJ40" s="1" t="b">
        <f>AND((I40/$I40)&gt;0.999,(I40/$I40)&lt;1.01)</f>
        <v>1</v>
      </c>
      <c r="AL40">
        <f>A40</f>
        <v>1992</v>
      </c>
      <c r="AM40" s="2">
        <f t="shared" ref="AM40:AO50" si="9">$I40*AM$39</f>
        <v>21124.320000000003</v>
      </c>
      <c r="AN40" s="2">
        <f t="shared" si="9"/>
        <v>31686.48</v>
      </c>
      <c r="AO40" s="2"/>
      <c r="AP40" s="2"/>
      <c r="AQ40" s="2">
        <f t="shared" ref="AQ40:AR51" si="10">$I40*AQ$39</f>
        <v>21124.320000000003</v>
      </c>
      <c r="AR40" s="2"/>
      <c r="AS40" s="2">
        <f t="shared" ref="AS40:AS51" si="11">$I40*AS$39</f>
        <v>31686.48</v>
      </c>
      <c r="AT40" s="2">
        <f>SUM(AM40:AS40)</f>
        <v>105621.6</v>
      </c>
      <c r="AU40" s="2">
        <f>AT40-I40</f>
        <v>0</v>
      </c>
    </row>
    <row r="41" spans="1:47" x14ac:dyDescent="0.25">
      <c r="A41">
        <f t="shared" si="4"/>
        <v>1993</v>
      </c>
      <c r="B41" s="2">
        <f t="shared" ref="B41:B50" si="12">AM40*(1+(B5/100))</f>
        <v>23213.515248000003</v>
      </c>
      <c r="C41" s="2">
        <f t="shared" ref="C41:C46" si="13">AN40*(1+(C5/100))</f>
        <v>36277.850952000001</v>
      </c>
      <c r="D41" s="2"/>
      <c r="E41" s="2"/>
      <c r="F41" s="2">
        <f t="shared" ref="F41:F44" si="14">AQ40*(1+(F5/100))</f>
        <v>27565.970140800004</v>
      </c>
      <c r="G41" s="2"/>
      <c r="H41" s="2">
        <f t="shared" ref="H41:H64" si="15">AS40*(1+(H5/100))</f>
        <v>34753.731264000002</v>
      </c>
      <c r="I41" s="2">
        <f t="shared" ref="I41:I64" si="16">SUM(B41:H41)</f>
        <v>121811.06760480002</v>
      </c>
      <c r="J41" s="2">
        <f t="shared" ref="J41:J64" si="17">I41-I40</f>
        <v>16189.467604800011</v>
      </c>
      <c r="K41" s="6">
        <f t="shared" ref="K41:K64" si="18">(J41/I40)</f>
        <v>0.15327800000000011</v>
      </c>
      <c r="L41" s="7">
        <f t="shared" ref="L41:L64" si="19">K41+1</f>
        <v>1.153278</v>
      </c>
      <c r="O41">
        <f t="shared" ref="O41:O64" si="20">A41</f>
        <v>1993</v>
      </c>
      <c r="P41" s="6">
        <f t="shared" si="5"/>
        <v>0.19056983658753571</v>
      </c>
      <c r="Q41" s="6">
        <f t="shared" si="5"/>
        <v>0.29782064688652687</v>
      </c>
      <c r="R41" s="7"/>
      <c r="S41" s="7"/>
      <c r="T41" s="6">
        <f t="shared" si="6"/>
        <v>0.22630103062748097</v>
      </c>
      <c r="U41" s="7"/>
      <c r="V41" s="6">
        <f t="shared" si="7"/>
        <v>0.28530848589845637</v>
      </c>
      <c r="W41" s="6">
        <f t="shared" ref="W41:W64" si="21">SUM(P41:V41)</f>
        <v>0.99999999999999989</v>
      </c>
      <c r="X41" s="7">
        <f t="shared" ref="X41:X64" si="22">SUM(P41:U41)</f>
        <v>0.71469151410154352</v>
      </c>
      <c r="Y41" s="7">
        <f t="shared" ref="Y41:Y64" si="23">W41-(X41+V41)</f>
        <v>0</v>
      </c>
      <c r="Z41" s="6"/>
      <c r="AB41">
        <f t="shared" ref="AB41:AB64" si="24">O41</f>
        <v>1993</v>
      </c>
      <c r="AC41" s="1" t="b">
        <f t="shared" ref="AC41:AC64" si="25">AND((B41/$I41)&gt;0.15,(B41/$I41)&lt;0.25)</f>
        <v>1</v>
      </c>
      <c r="AD41" s="1" t="b">
        <f t="shared" ref="AD41:AD46" si="26">AND((C41/$I41)&gt;0.25,(C41/$I41)&lt;0.35)</f>
        <v>1</v>
      </c>
      <c r="AG41" s="1" t="b">
        <f t="shared" si="8"/>
        <v>1</v>
      </c>
      <c r="AI41" s="1" t="b">
        <f t="shared" ref="AI41:AI64" si="27">AND((H41/$I41)&gt;0.25,(H41/$I41)&lt;0.35)</f>
        <v>1</v>
      </c>
      <c r="AJ41" s="1" t="b">
        <f t="shared" ref="AJ41:AJ64" si="28">AND((I41/$I41)&gt;0.999,(I41/$I41)&lt;1.01)</f>
        <v>1</v>
      </c>
      <c r="AL41">
        <f t="shared" ref="AL41:AL64" si="29">A41</f>
        <v>1993</v>
      </c>
      <c r="AM41" s="2">
        <f t="shared" si="9"/>
        <v>24362.213520960006</v>
      </c>
      <c r="AN41" s="2">
        <f t="shared" si="9"/>
        <v>36543.320281440007</v>
      </c>
      <c r="AO41" s="2"/>
      <c r="AP41" s="2"/>
      <c r="AQ41" s="2">
        <f t="shared" si="10"/>
        <v>24362.213520960006</v>
      </c>
      <c r="AR41" s="2"/>
      <c r="AS41" s="2">
        <f t="shared" si="11"/>
        <v>36543.320281440007</v>
      </c>
      <c r="AT41" s="2">
        <f t="shared" ref="AT41:AT64" si="30">SUM(AM41:AS41)</f>
        <v>121811.06760480002</v>
      </c>
      <c r="AU41" s="2">
        <f t="shared" ref="AU41:AU64" si="31">AT41-I41</f>
        <v>0</v>
      </c>
    </row>
    <row r="42" spans="1:47" x14ac:dyDescent="0.25">
      <c r="A42">
        <f t="shared" si="4"/>
        <v>1994</v>
      </c>
      <c r="B42" s="2">
        <f t="shared" si="12"/>
        <v>24649.687640507334</v>
      </c>
      <c r="C42" s="2">
        <f t="shared" si="13"/>
        <v>35898.696111675403</v>
      </c>
      <c r="D42" s="2"/>
      <c r="E42" s="2"/>
      <c r="F42" s="2">
        <f t="shared" si="14"/>
        <v>25642.447841486457</v>
      </c>
      <c r="G42" s="2"/>
      <c r="H42" s="2">
        <f t="shared" si="15"/>
        <v>35571.267961953701</v>
      </c>
      <c r="I42" s="2">
        <f t="shared" ref="I42:I48" si="32">SUM(B42:H42)</f>
        <v>121762.0995556229</v>
      </c>
      <c r="J42" s="2">
        <f t="shared" si="17"/>
        <v>-48.968049177114153</v>
      </c>
      <c r="K42" s="6">
        <f t="shared" si="18"/>
        <v>-4.0199999999987316E-4</v>
      </c>
      <c r="L42" s="7">
        <f t="shared" si="19"/>
        <v>0.9995980000000001</v>
      </c>
      <c r="O42">
        <f t="shared" si="20"/>
        <v>1994</v>
      </c>
      <c r="P42" s="6">
        <f t="shared" si="5"/>
        <v>0.20244138143533699</v>
      </c>
      <c r="Q42" s="6">
        <f t="shared" si="5"/>
        <v>0.29482652026114492</v>
      </c>
      <c r="R42" s="7"/>
      <c r="S42" s="60"/>
      <c r="T42" s="59">
        <f t="shared" si="6"/>
        <v>0.21059465905293931</v>
      </c>
      <c r="U42" s="7"/>
      <c r="V42" s="6">
        <f t="shared" si="7"/>
        <v>0.29213743925057872</v>
      </c>
      <c r="W42" s="6">
        <f t="shared" si="21"/>
        <v>1</v>
      </c>
      <c r="X42" s="7">
        <f t="shared" si="22"/>
        <v>0.70786256074942122</v>
      </c>
      <c r="Y42" s="7">
        <f t="shared" si="23"/>
        <v>0</v>
      </c>
      <c r="Z42" s="6"/>
      <c r="AB42">
        <f t="shared" si="24"/>
        <v>1994</v>
      </c>
      <c r="AC42" s="1" t="b">
        <f t="shared" si="25"/>
        <v>1</v>
      </c>
      <c r="AD42" s="1" t="b">
        <f t="shared" si="26"/>
        <v>1</v>
      </c>
      <c r="AG42" s="1" t="b">
        <f t="shared" si="8"/>
        <v>1</v>
      </c>
      <c r="AI42" s="1" t="b">
        <f t="shared" si="27"/>
        <v>1</v>
      </c>
      <c r="AJ42" s="1" t="b">
        <f t="shared" si="28"/>
        <v>1</v>
      </c>
      <c r="AL42">
        <f t="shared" si="29"/>
        <v>1994</v>
      </c>
      <c r="AM42" s="2">
        <f t="shared" si="9"/>
        <v>24352.419911124583</v>
      </c>
      <c r="AN42" s="2">
        <f t="shared" si="9"/>
        <v>36528.629866686868</v>
      </c>
      <c r="AO42" s="2"/>
      <c r="AP42" s="2"/>
      <c r="AQ42" s="2">
        <f t="shared" si="10"/>
        <v>24352.419911124583</v>
      </c>
      <c r="AR42" s="2"/>
      <c r="AS42" s="2">
        <f t="shared" si="11"/>
        <v>36528.629866686868</v>
      </c>
      <c r="AT42" s="2">
        <f t="shared" si="30"/>
        <v>121762.0995556229</v>
      </c>
      <c r="AU42" s="2">
        <f t="shared" si="31"/>
        <v>0</v>
      </c>
    </row>
    <row r="43" spans="1:47" x14ac:dyDescent="0.25">
      <c r="A43">
        <f t="shared" si="4"/>
        <v>1995</v>
      </c>
      <c r="B43" s="2">
        <f t="shared" si="12"/>
        <v>33472.401167840741</v>
      </c>
      <c r="C43" s="2">
        <f t="shared" si="13"/>
        <v>48874.210902731022</v>
      </c>
      <c r="D43" s="2"/>
      <c r="E43" s="2"/>
      <c r="F43" s="2">
        <f t="shared" si="14"/>
        <v>26701.45433575166</v>
      </c>
      <c r="G43" s="2"/>
      <c r="H43" s="2">
        <f t="shared" si="15"/>
        <v>43169.534776450542</v>
      </c>
      <c r="I43" s="2">
        <f t="shared" si="32"/>
        <v>152217.60118277397</v>
      </c>
      <c r="J43" s="2">
        <f t="shared" si="17"/>
        <v>30455.501627151069</v>
      </c>
      <c r="K43" s="6">
        <f t="shared" si="18"/>
        <v>0.25012299999999998</v>
      </c>
      <c r="L43" s="7">
        <f t="shared" si="19"/>
        <v>1.2501229999999999</v>
      </c>
      <c r="O43">
        <f t="shared" si="20"/>
        <v>1995</v>
      </c>
      <c r="P43" s="6">
        <f t="shared" si="5"/>
        <v>0.2198983620011791</v>
      </c>
      <c r="Q43" s="6">
        <f t="shared" si="5"/>
        <v>0.32108120560936798</v>
      </c>
      <c r="R43" s="7"/>
      <c r="S43" s="60"/>
      <c r="T43" s="59">
        <f t="shared" si="6"/>
        <v>0.17541633903223924</v>
      </c>
      <c r="U43" s="7"/>
      <c r="V43" s="6">
        <f t="shared" si="7"/>
        <v>0.28360409335721365</v>
      </c>
      <c r="W43" s="6">
        <f t="shared" si="21"/>
        <v>1</v>
      </c>
      <c r="X43" s="7">
        <f t="shared" si="22"/>
        <v>0.7163959066427863</v>
      </c>
      <c r="Y43" s="7">
        <f t="shared" si="23"/>
        <v>0</v>
      </c>
      <c r="Z43" s="6"/>
      <c r="AB43">
        <f t="shared" si="24"/>
        <v>1995</v>
      </c>
      <c r="AC43" s="1" t="b">
        <f t="shared" si="25"/>
        <v>1</v>
      </c>
      <c r="AD43" s="1" t="b">
        <f t="shared" si="26"/>
        <v>1</v>
      </c>
      <c r="AG43" s="1" t="b">
        <f t="shared" si="8"/>
        <v>1</v>
      </c>
      <c r="AI43" s="1" t="b">
        <f t="shared" si="27"/>
        <v>1</v>
      </c>
      <c r="AJ43" s="1" t="b">
        <f t="shared" si="28"/>
        <v>1</v>
      </c>
      <c r="AL43">
        <f t="shared" si="29"/>
        <v>1995</v>
      </c>
      <c r="AM43" s="2">
        <f t="shared" si="9"/>
        <v>30443.520236554796</v>
      </c>
      <c r="AN43" s="2">
        <f t="shared" si="9"/>
        <v>45665.28035483219</v>
      </c>
      <c r="AO43" s="2"/>
      <c r="AP43" s="2"/>
      <c r="AQ43" s="2">
        <f t="shared" si="10"/>
        <v>30443.520236554796</v>
      </c>
      <c r="AR43" s="2"/>
      <c r="AS43" s="2">
        <f t="shared" si="11"/>
        <v>45665.28035483219</v>
      </c>
      <c r="AT43" s="2">
        <f t="shared" si="30"/>
        <v>152217.60118277397</v>
      </c>
      <c r="AU43" s="2">
        <f t="shared" si="31"/>
        <v>0</v>
      </c>
    </row>
    <row r="44" spans="1:47" x14ac:dyDescent="0.25">
      <c r="A44">
        <f t="shared" si="4"/>
        <v>1996</v>
      </c>
      <c r="B44" s="2">
        <f t="shared" si="12"/>
        <v>37408.997666678537</v>
      </c>
      <c r="C44" s="2">
        <f t="shared" si="13"/>
        <v>53723.832379049425</v>
      </c>
      <c r="D44" s="2"/>
      <c r="E44" s="2"/>
      <c r="F44" s="2">
        <f t="shared" si="14"/>
        <v>33554.54356952833</v>
      </c>
      <c r="G44" s="2"/>
      <c r="H44" s="2">
        <f t="shared" si="15"/>
        <v>47300.097391535186</v>
      </c>
      <c r="I44" s="2">
        <f t="shared" si="32"/>
        <v>171987.47100679146</v>
      </c>
      <c r="J44" s="2">
        <f t="shared" si="17"/>
        <v>19769.869824017485</v>
      </c>
      <c r="K44" s="6">
        <f t="shared" si="18"/>
        <v>0.12987899999999991</v>
      </c>
      <c r="L44" s="7">
        <f t="shared" si="19"/>
        <v>1.1298789999999999</v>
      </c>
      <c r="O44">
        <f t="shared" si="20"/>
        <v>1996</v>
      </c>
      <c r="P44" s="6">
        <f t="shared" si="5"/>
        <v>0.21751001655929533</v>
      </c>
      <c r="Q44" s="6">
        <f t="shared" si="5"/>
        <v>0.312370616676653</v>
      </c>
      <c r="R44" s="7"/>
      <c r="S44" s="60"/>
      <c r="T44" s="59">
        <f t="shared" si="6"/>
        <v>0.19509876721312638</v>
      </c>
      <c r="U44" s="7"/>
      <c r="V44" s="6">
        <f t="shared" si="7"/>
        <v>0.27502059955092539</v>
      </c>
      <c r="W44" s="6">
        <f t="shared" si="21"/>
        <v>1</v>
      </c>
      <c r="X44" s="7">
        <f t="shared" si="22"/>
        <v>0.72497940044907472</v>
      </c>
      <c r="Y44" s="7">
        <f t="shared" si="23"/>
        <v>0</v>
      </c>
      <c r="Z44" s="6"/>
      <c r="AB44">
        <f t="shared" si="24"/>
        <v>1996</v>
      </c>
      <c r="AC44" s="1" t="b">
        <f t="shared" si="25"/>
        <v>1</v>
      </c>
      <c r="AD44" s="1" t="b">
        <f t="shared" si="26"/>
        <v>1</v>
      </c>
      <c r="AG44" s="1" t="b">
        <f t="shared" si="8"/>
        <v>1</v>
      </c>
      <c r="AI44" s="1" t="b">
        <f t="shared" si="27"/>
        <v>1</v>
      </c>
      <c r="AJ44" s="1" t="b">
        <f t="shared" si="28"/>
        <v>1</v>
      </c>
      <c r="AL44">
        <f t="shared" si="29"/>
        <v>1996</v>
      </c>
      <c r="AM44" s="2">
        <f t="shared" si="9"/>
        <v>34397.494201358291</v>
      </c>
      <c r="AN44" s="2">
        <f t="shared" si="9"/>
        <v>51596.241302037437</v>
      </c>
      <c r="AO44" s="2"/>
      <c r="AP44" s="2"/>
      <c r="AQ44" s="2">
        <f t="shared" si="10"/>
        <v>34397.494201358291</v>
      </c>
      <c r="AR44" s="2"/>
      <c r="AS44" s="2">
        <f t="shared" si="11"/>
        <v>51596.241302037437</v>
      </c>
      <c r="AT44" s="2">
        <f t="shared" si="30"/>
        <v>171987.47100679146</v>
      </c>
      <c r="AU44" s="2">
        <f t="shared" si="31"/>
        <v>0</v>
      </c>
    </row>
    <row r="45" spans="1:47" x14ac:dyDescent="0.25">
      <c r="A45">
        <f t="shared" si="4"/>
        <v>1997</v>
      </c>
      <c r="B45" s="2">
        <f t="shared" si="12"/>
        <v>45814.022526789115</v>
      </c>
      <c r="C45" s="2">
        <f t="shared" si="13"/>
        <v>65365.730218312165</v>
      </c>
      <c r="D45" s="2"/>
      <c r="E45" s="2"/>
      <c r="F45" s="2"/>
      <c r="G45" s="2">
        <f>AQ44*(1+(G9/100))</f>
        <v>34397.494201358291</v>
      </c>
      <c r="H45" s="2">
        <f t="shared" si="15"/>
        <v>56466.926480949776</v>
      </c>
      <c r="I45" s="2">
        <f t="shared" ref="I45" si="33">SUM(B45:H45)</f>
        <v>202044.17342740935</v>
      </c>
      <c r="J45" s="2">
        <f t="shared" si="17"/>
        <v>30056.70242061789</v>
      </c>
      <c r="K45" s="6">
        <f t="shared" si="18"/>
        <v>0.17476100000000006</v>
      </c>
      <c r="L45" s="7">
        <f t="shared" si="19"/>
        <v>1.1747610000000002</v>
      </c>
      <c r="O45">
        <f t="shared" si="20"/>
        <v>1997</v>
      </c>
      <c r="P45" s="6">
        <f t="shared" si="5"/>
        <v>0.22675250540322672</v>
      </c>
      <c r="Q45" s="6">
        <f t="shared" si="5"/>
        <v>0.32352197595936533</v>
      </c>
      <c r="R45" s="7"/>
      <c r="S45" s="60"/>
      <c r="T45" s="59">
        <f t="shared" si="6"/>
        <v>0</v>
      </c>
      <c r="U45" s="7"/>
      <c r="V45" s="6">
        <f t="shared" si="7"/>
        <v>0.27947812363536073</v>
      </c>
      <c r="W45" s="6">
        <f t="shared" si="21"/>
        <v>0.82975260499795278</v>
      </c>
      <c r="X45" s="7">
        <f t="shared" si="22"/>
        <v>0.55027448136259205</v>
      </c>
      <c r="Y45" s="7">
        <f t="shared" si="23"/>
        <v>0</v>
      </c>
      <c r="Z45" s="6"/>
      <c r="AB45">
        <f t="shared" si="24"/>
        <v>1997</v>
      </c>
      <c r="AC45" s="1" t="b">
        <f t="shared" si="25"/>
        <v>1</v>
      </c>
      <c r="AD45" s="1" t="b">
        <f t="shared" si="26"/>
        <v>1</v>
      </c>
      <c r="AG45" s="1"/>
      <c r="AH45" s="1" t="b">
        <f t="shared" ref="AH45:AH64" si="34">AND((G45/$I45)&gt;0.15,(G45/$I45)&lt;0.25)</f>
        <v>1</v>
      </c>
      <c r="AI45" s="1" t="b">
        <f t="shared" si="27"/>
        <v>1</v>
      </c>
      <c r="AJ45" s="1" t="b">
        <f t="shared" si="28"/>
        <v>1</v>
      </c>
      <c r="AL45">
        <f t="shared" si="29"/>
        <v>1997</v>
      </c>
      <c r="AM45" s="2">
        <f t="shared" si="9"/>
        <v>40408.834685481874</v>
      </c>
      <c r="AN45" s="2">
        <f t="shared" si="9"/>
        <v>60613.2520282228</v>
      </c>
      <c r="AO45" s="2"/>
      <c r="AP45" s="2"/>
      <c r="AQ45" s="2"/>
      <c r="AR45" s="2">
        <f t="shared" si="10"/>
        <v>40408.834685481874</v>
      </c>
      <c r="AS45" s="2">
        <f t="shared" si="11"/>
        <v>60613.2520282228</v>
      </c>
      <c r="AT45" s="2">
        <f t="shared" si="30"/>
        <v>202044.17342740935</v>
      </c>
      <c r="AU45" s="2">
        <f t="shared" si="31"/>
        <v>0</v>
      </c>
    </row>
    <row r="46" spans="1:47" x14ac:dyDescent="0.25">
      <c r="A46">
        <f t="shared" si="4"/>
        <v>1998</v>
      </c>
      <c r="B46" s="2">
        <f t="shared" si="12"/>
        <v>51990.006706340981</v>
      </c>
      <c r="C46" s="2">
        <f t="shared" si="13"/>
        <v>65676.276970140258</v>
      </c>
      <c r="D46" s="2"/>
      <c r="E46" s="2"/>
      <c r="F46" s="2"/>
      <c r="G46" s="2">
        <f t="shared" ref="G46:G64" si="35">AR45*(1+(G10/100))</f>
        <v>46713.825161457607</v>
      </c>
      <c r="H46" s="2">
        <f t="shared" si="15"/>
        <v>65813.869052244321</v>
      </c>
      <c r="I46" s="2">
        <f t="shared" si="32"/>
        <v>230193.97789018316</v>
      </c>
      <c r="J46" s="2">
        <f t="shared" si="17"/>
        <v>28149.804462773813</v>
      </c>
      <c r="K46" s="6">
        <f t="shared" si="18"/>
        <v>0.13932500000000003</v>
      </c>
      <c r="L46" s="7">
        <f t="shared" si="19"/>
        <v>1.1393249999999999</v>
      </c>
      <c r="O46">
        <f t="shared" si="20"/>
        <v>1998</v>
      </c>
      <c r="P46" s="6">
        <f t="shared" si="5"/>
        <v>0.22585302701160778</v>
      </c>
      <c r="Q46" s="6">
        <f t="shared" si="5"/>
        <v>0.28530840629319992</v>
      </c>
      <c r="R46" s="7"/>
      <c r="S46" s="60"/>
      <c r="T46" s="59">
        <f t="shared" si="6"/>
        <v>0</v>
      </c>
      <c r="U46" s="7"/>
      <c r="V46" s="6">
        <f t="shared" si="7"/>
        <v>0.28590612862879339</v>
      </c>
      <c r="W46" s="6">
        <f t="shared" si="21"/>
        <v>0.79706756193360107</v>
      </c>
      <c r="X46" s="7">
        <f t="shared" si="22"/>
        <v>0.51116143330480768</v>
      </c>
      <c r="Y46" s="7">
        <f t="shared" si="23"/>
        <v>0</v>
      </c>
      <c r="Z46" s="6"/>
      <c r="AB46">
        <f t="shared" si="24"/>
        <v>1998</v>
      </c>
      <c r="AC46" s="1" t="b">
        <f t="shared" si="25"/>
        <v>1</v>
      </c>
      <c r="AD46" s="1" t="b">
        <f t="shared" si="26"/>
        <v>1</v>
      </c>
      <c r="AG46" s="1"/>
      <c r="AH46" s="1" t="b">
        <f t="shared" si="34"/>
        <v>1</v>
      </c>
      <c r="AI46" s="1" t="b">
        <f t="shared" si="27"/>
        <v>1</v>
      </c>
      <c r="AJ46" s="1" t="b">
        <f t="shared" si="28"/>
        <v>1</v>
      </c>
      <c r="AL46">
        <f t="shared" si="29"/>
        <v>1998</v>
      </c>
      <c r="AM46" s="2">
        <f t="shared" si="9"/>
        <v>46038.795578036632</v>
      </c>
      <c r="AN46" s="2">
        <f t="shared" si="9"/>
        <v>69058.193367054948</v>
      </c>
      <c r="AO46" s="2"/>
      <c r="AP46" s="2"/>
      <c r="AQ46" s="2"/>
      <c r="AR46" s="2">
        <f t="shared" si="10"/>
        <v>46038.795578036632</v>
      </c>
      <c r="AS46" s="2">
        <f t="shared" si="11"/>
        <v>69058.193367054948</v>
      </c>
      <c r="AT46" s="2">
        <f t="shared" si="30"/>
        <v>230193.97789018316</v>
      </c>
      <c r="AU46" s="2">
        <f t="shared" si="31"/>
        <v>0</v>
      </c>
    </row>
    <row r="47" spans="1:47" x14ac:dyDescent="0.25">
      <c r="A47">
        <f t="shared" si="4"/>
        <v>1999</v>
      </c>
      <c r="B47" s="2">
        <f t="shared" si="12"/>
        <v>55739.169806328959</v>
      </c>
      <c r="C47" s="2"/>
      <c r="D47" s="2">
        <f>(AN46*0.67)*(1+(D11/100))</f>
        <v>53356.936065999245</v>
      </c>
      <c r="E47" s="2">
        <f>(AN46*0.33)*(1+(E11/100))</f>
        <v>28061.030328756406</v>
      </c>
      <c r="F47" s="2"/>
      <c r="G47" s="2">
        <f t="shared" si="35"/>
        <v>59813.142827029413</v>
      </c>
      <c r="H47" s="2">
        <f t="shared" si="15"/>
        <v>68533.351097465333</v>
      </c>
      <c r="I47" s="2">
        <f t="shared" si="32"/>
        <v>265503.63012557937</v>
      </c>
      <c r="J47" s="2">
        <f t="shared" si="17"/>
        <v>35309.652235396206</v>
      </c>
      <c r="K47" s="6">
        <f t="shared" si="18"/>
        <v>0.1533908600000001</v>
      </c>
      <c r="L47" s="7">
        <f t="shared" si="19"/>
        <v>1.15339086</v>
      </c>
      <c r="O47">
        <f t="shared" si="20"/>
        <v>1999</v>
      </c>
      <c r="P47" s="6">
        <f t="shared" si="5"/>
        <v>0.20993750548708182</v>
      </c>
      <c r="Q47" s="6">
        <f t="shared" si="5"/>
        <v>0</v>
      </c>
      <c r="R47" s="7"/>
      <c r="S47" s="7"/>
      <c r="T47" s="6"/>
      <c r="U47" s="6">
        <f t="shared" si="5"/>
        <v>0.225281826838822</v>
      </c>
      <c r="V47" s="6">
        <f t="shared" si="7"/>
        <v>0.25812585336422728</v>
      </c>
      <c r="W47" s="6">
        <f t="shared" si="21"/>
        <v>0.69334518569013115</v>
      </c>
      <c r="X47" s="7">
        <f t="shared" si="22"/>
        <v>0.43521933232590382</v>
      </c>
      <c r="Y47" s="7">
        <f t="shared" si="23"/>
        <v>0</v>
      </c>
      <c r="Z47" s="6"/>
      <c r="AB47">
        <f t="shared" si="24"/>
        <v>1999</v>
      </c>
      <c r="AC47" s="1" t="b">
        <f t="shared" si="25"/>
        <v>1</v>
      </c>
      <c r="AD47" s="1"/>
      <c r="AE47" s="1" t="b">
        <f t="shared" ref="AE47:AE48" si="36">AND((D47/$I47)&gt;0.15,(D47/$I47)&lt;0.25)</f>
        <v>1</v>
      </c>
      <c r="AF47" s="1" t="b">
        <f t="shared" ref="AF47:AF48" si="37">AND((E47/$I47)&gt;0.05,(E47/$I47)&lt;0.15)</f>
        <v>1</v>
      </c>
      <c r="AG47" s="1"/>
      <c r="AH47" s="1" t="b">
        <f t="shared" si="34"/>
        <v>1</v>
      </c>
      <c r="AI47" s="1" t="b">
        <f t="shared" si="27"/>
        <v>1</v>
      </c>
      <c r="AJ47" s="1" t="b">
        <f t="shared" si="28"/>
        <v>1</v>
      </c>
      <c r="AL47">
        <f t="shared" si="29"/>
        <v>1999</v>
      </c>
      <c r="AM47" s="2">
        <f t="shared" si="9"/>
        <v>53100.726025115873</v>
      </c>
      <c r="AN47" s="2"/>
      <c r="AO47" s="2">
        <f t="shared" si="9"/>
        <v>53100.726025115873</v>
      </c>
      <c r="AP47" s="2">
        <f t="shared" ref="AO47:AP64" si="38">$I47*AP$39</f>
        <v>26550.363012557937</v>
      </c>
      <c r="AQ47" s="2"/>
      <c r="AR47" s="2">
        <f t="shared" si="10"/>
        <v>53100.726025115873</v>
      </c>
      <c r="AS47" s="2">
        <f t="shared" si="11"/>
        <v>79651.08903767381</v>
      </c>
      <c r="AT47" s="2">
        <f t="shared" si="30"/>
        <v>265503.63012557937</v>
      </c>
      <c r="AU47" s="2">
        <f t="shared" si="31"/>
        <v>0</v>
      </c>
    </row>
    <row r="48" spans="1:47" x14ac:dyDescent="0.25">
      <c r="A48">
        <f t="shared" si="4"/>
        <v>2000</v>
      </c>
      <c r="B48" s="2">
        <f t="shared" si="12"/>
        <v>48289.800247240375</v>
      </c>
      <c r="C48" s="2"/>
      <c r="D48" s="2">
        <f t="shared" ref="D48:D49" si="39">AO47*(1+(D12/100))</f>
        <v>62710.895421141337</v>
      </c>
      <c r="E48" s="2">
        <f t="shared" ref="E48:E49" si="40">AP47*(1+(E12/100))</f>
        <v>25842.795838273269</v>
      </c>
      <c r="F48" s="2"/>
      <c r="G48" s="2">
        <f t="shared" si="35"/>
        <v>44809.578663554283</v>
      </c>
      <c r="H48" s="2">
        <f t="shared" si="15"/>
        <v>88723.348079064861</v>
      </c>
      <c r="I48" s="2">
        <f t="shared" si="32"/>
        <v>270376.41824927414</v>
      </c>
      <c r="J48" s="2">
        <f t="shared" si="17"/>
        <v>4872.7881236947724</v>
      </c>
      <c r="K48" s="6">
        <f t="shared" si="18"/>
        <v>1.8353000000000053E-2</v>
      </c>
      <c r="L48" s="7">
        <f t="shared" si="19"/>
        <v>1.0183530000000001</v>
      </c>
      <c r="O48">
        <f t="shared" si="20"/>
        <v>2000</v>
      </c>
      <c r="P48" s="6">
        <f t="shared" si="5"/>
        <v>0.17860211537649517</v>
      </c>
      <c r="Q48" s="6">
        <f t="shared" si="5"/>
        <v>0</v>
      </c>
      <c r="R48" s="7"/>
      <c r="S48" s="7"/>
      <c r="T48" s="6"/>
      <c r="U48" s="6">
        <f t="shared" si="5"/>
        <v>0.16573035087047419</v>
      </c>
      <c r="V48" s="83">
        <f t="shared" si="7"/>
        <v>0.32814750877151638</v>
      </c>
      <c r="W48" s="6">
        <f t="shared" si="21"/>
        <v>0.67247997501848578</v>
      </c>
      <c r="X48" s="7">
        <f t="shared" si="22"/>
        <v>0.34433246624696934</v>
      </c>
      <c r="Y48" s="7">
        <f t="shared" si="23"/>
        <v>0</v>
      </c>
      <c r="Z48" s="6"/>
      <c r="AB48">
        <f t="shared" si="24"/>
        <v>2000</v>
      </c>
      <c r="AC48" s="1" t="b">
        <f t="shared" si="25"/>
        <v>1</v>
      </c>
      <c r="AD48" s="1"/>
      <c r="AE48" s="1" t="b">
        <f t="shared" si="36"/>
        <v>1</v>
      </c>
      <c r="AF48" s="1" t="b">
        <f t="shared" si="37"/>
        <v>1</v>
      </c>
      <c r="AG48" s="1"/>
      <c r="AH48" s="1" t="b">
        <f t="shared" si="34"/>
        <v>1</v>
      </c>
      <c r="AI48" s="35" t="b">
        <f t="shared" si="27"/>
        <v>1</v>
      </c>
      <c r="AJ48" s="1" t="b">
        <f t="shared" si="28"/>
        <v>1</v>
      </c>
      <c r="AL48">
        <f t="shared" si="29"/>
        <v>2000</v>
      </c>
      <c r="AM48" s="2">
        <f t="shared" si="9"/>
        <v>54075.283649854828</v>
      </c>
      <c r="AN48" s="2"/>
      <c r="AO48" s="2">
        <f t="shared" si="9"/>
        <v>54075.283649854828</v>
      </c>
      <c r="AP48" s="2">
        <f t="shared" si="38"/>
        <v>27037.641824927414</v>
      </c>
      <c r="AQ48" s="2"/>
      <c r="AR48" s="2">
        <f t="shared" si="10"/>
        <v>54075.283649854828</v>
      </c>
      <c r="AS48" s="2">
        <f t="shared" si="11"/>
        <v>81112.925474782242</v>
      </c>
      <c r="AT48" s="2">
        <f t="shared" si="30"/>
        <v>270376.41824927414</v>
      </c>
      <c r="AU48" s="2">
        <f t="shared" si="31"/>
        <v>0</v>
      </c>
    </row>
    <row r="49" spans="1:47" x14ac:dyDescent="0.25">
      <c r="A49">
        <f t="shared" si="4"/>
        <v>2001</v>
      </c>
      <c r="B49" s="2">
        <f t="shared" si="12"/>
        <v>47575.434555142281</v>
      </c>
      <c r="C49" s="2"/>
      <c r="D49" s="2">
        <f t="shared" si="39"/>
        <v>53805.447984442049</v>
      </c>
      <c r="E49" s="2">
        <f t="shared" si="40"/>
        <v>27875.808721500161</v>
      </c>
      <c r="F49" s="2"/>
      <c r="G49" s="2">
        <f t="shared" si="35"/>
        <v>43177.491735899588</v>
      </c>
      <c r="H49" s="2">
        <f t="shared" si="15"/>
        <v>87950.745092306388</v>
      </c>
      <c r="I49" s="2">
        <f t="shared" si="16"/>
        <v>260384.92808929045</v>
      </c>
      <c r="J49" s="2">
        <f t="shared" si="17"/>
        <v>-9991.4901599836885</v>
      </c>
      <c r="K49" s="6">
        <f t="shared" si="18"/>
        <v>-3.6954000000000042E-2</v>
      </c>
      <c r="L49" s="7">
        <f t="shared" si="19"/>
        <v>0.96304599999999996</v>
      </c>
      <c r="O49">
        <f t="shared" si="20"/>
        <v>2001</v>
      </c>
      <c r="P49" s="6">
        <f t="shared" si="5"/>
        <v>0.18271193691682436</v>
      </c>
      <c r="Q49" s="6"/>
      <c r="R49" s="6">
        <f t="shared" ref="R49" si="41">D49/$I49</f>
        <v>0.20663810451421843</v>
      </c>
      <c r="S49" s="6">
        <f t="shared" ref="S49" si="42">E49/$I49</f>
        <v>0.10705615308095355</v>
      </c>
      <c r="T49" s="6"/>
      <c r="U49" s="59">
        <f t="shared" si="5"/>
        <v>0.1658217779836062</v>
      </c>
      <c r="V49" s="59">
        <f t="shared" si="7"/>
        <v>0.33777202750439755</v>
      </c>
      <c r="W49" s="6">
        <f t="shared" si="21"/>
        <v>1.0000000000000002</v>
      </c>
      <c r="X49" s="7">
        <f t="shared" si="22"/>
        <v>0.66222797249560261</v>
      </c>
      <c r="Y49" s="7">
        <f t="shared" si="23"/>
        <v>0</v>
      </c>
      <c r="Z49" s="6"/>
      <c r="AB49">
        <f t="shared" si="24"/>
        <v>2001</v>
      </c>
      <c r="AC49" s="1" t="b">
        <f t="shared" si="25"/>
        <v>1</v>
      </c>
      <c r="AD49" s="1"/>
      <c r="AE49" s="1" t="b">
        <f>AND((D49/$I49)&gt;0.15,(D49/$I49)&lt;0.25)</f>
        <v>1</v>
      </c>
      <c r="AF49" s="1" t="b">
        <f>AND((E49/$I49)&gt;0.05,(E49/$I49)&lt;0.15)</f>
        <v>1</v>
      </c>
      <c r="AG49" s="1"/>
      <c r="AH49" s="1" t="b">
        <f t="shared" si="34"/>
        <v>1</v>
      </c>
      <c r="AI49" s="1" t="b">
        <f t="shared" si="27"/>
        <v>1</v>
      </c>
      <c r="AJ49" s="1" t="b">
        <f t="shared" si="28"/>
        <v>1</v>
      </c>
      <c r="AL49">
        <f t="shared" si="29"/>
        <v>2001</v>
      </c>
      <c r="AM49" s="2">
        <f t="shared" si="9"/>
        <v>52076.985617858096</v>
      </c>
      <c r="AN49" s="2"/>
      <c r="AO49" s="2">
        <f t="shared" si="38"/>
        <v>52076.985617858096</v>
      </c>
      <c r="AP49" s="2">
        <f t="shared" si="38"/>
        <v>26038.492808929048</v>
      </c>
      <c r="AQ49" s="2"/>
      <c r="AR49" s="2">
        <f t="shared" si="10"/>
        <v>52076.985617858096</v>
      </c>
      <c r="AS49" s="2">
        <f t="shared" si="11"/>
        <v>78115.478426787129</v>
      </c>
      <c r="AT49" s="2">
        <f t="shared" si="30"/>
        <v>260384.92808929045</v>
      </c>
      <c r="AU49" s="2">
        <f t="shared" si="31"/>
        <v>0</v>
      </c>
    </row>
    <row r="50" spans="1:47" x14ac:dyDescent="0.25">
      <c r="A50">
        <f t="shared" si="4"/>
        <v>2002</v>
      </c>
      <c r="B50" s="2">
        <f t="shared" si="12"/>
        <v>40541.933303502527</v>
      </c>
      <c r="C50" s="2"/>
      <c r="D50" s="2">
        <f t="shared" ref="D50:D51" si="43">AO49*(1+(D14/100))</f>
        <v>44469.579558801386</v>
      </c>
      <c r="E50" s="2">
        <f t="shared" ref="E50:E51" si="44">AP49*(1+(E14/100))</f>
        <v>20825.065778725275</v>
      </c>
      <c r="F50" s="2"/>
      <c r="G50" s="2">
        <f t="shared" si="35"/>
        <v>44222.213877116556</v>
      </c>
      <c r="H50" s="2">
        <f t="shared" si="15"/>
        <v>84567.816944839753</v>
      </c>
      <c r="I50" s="2">
        <f t="shared" si="16"/>
        <v>234626.60946298548</v>
      </c>
      <c r="J50" s="2">
        <f t="shared" si="17"/>
        <v>-25758.318626304972</v>
      </c>
      <c r="K50" s="6">
        <f t="shared" si="18"/>
        <v>-9.8924000000000012E-2</v>
      </c>
      <c r="L50" s="7">
        <f t="shared" si="19"/>
        <v>0.90107599999999999</v>
      </c>
      <c r="O50">
        <f t="shared" si="20"/>
        <v>2002</v>
      </c>
      <c r="P50" s="83">
        <f t="shared" si="5"/>
        <v>0.1727934158716912</v>
      </c>
      <c r="Q50" s="6"/>
      <c r="R50" s="6">
        <f t="shared" ref="R50" si="45">D50/$I50</f>
        <v>0.18953340228793134</v>
      </c>
      <c r="S50" s="6">
        <f t="shared" ref="S50" si="46">E50/$I50</f>
        <v>8.8758328931188943E-2</v>
      </c>
      <c r="T50" s="7"/>
      <c r="U50" s="59">
        <f t="shared" si="5"/>
        <v>0.18847910720072447</v>
      </c>
      <c r="V50" s="59">
        <f t="shared" si="7"/>
        <v>0.36043574570846409</v>
      </c>
      <c r="W50" s="6">
        <f t="shared" si="21"/>
        <v>1</v>
      </c>
      <c r="X50" s="7">
        <f t="shared" si="22"/>
        <v>0.63956425429153596</v>
      </c>
      <c r="Y50" s="7">
        <f t="shared" si="23"/>
        <v>0</v>
      </c>
      <c r="Z50" s="6"/>
      <c r="AB50">
        <f t="shared" si="24"/>
        <v>2002</v>
      </c>
      <c r="AC50" s="1" t="b">
        <f t="shared" si="25"/>
        <v>1</v>
      </c>
      <c r="AD50" s="1"/>
      <c r="AE50" s="1" t="b">
        <f t="shared" ref="AE50" si="47">AND((D50/$I50)&gt;0.15,(D50/$I50)&lt;0.25)</f>
        <v>1</v>
      </c>
      <c r="AF50" s="1" t="b">
        <f t="shared" ref="AF50" si="48">AND((E50/$I50)&gt;0.05,(E50/$I50)&lt;0.15)</f>
        <v>1</v>
      </c>
      <c r="AH50" s="1" t="b">
        <f t="shared" si="34"/>
        <v>1</v>
      </c>
      <c r="AI50" s="1" t="b">
        <f t="shared" si="27"/>
        <v>0</v>
      </c>
      <c r="AJ50" s="1" t="b">
        <f t="shared" si="28"/>
        <v>1</v>
      </c>
      <c r="AL50">
        <f t="shared" si="29"/>
        <v>2002</v>
      </c>
      <c r="AM50" s="2">
        <f t="shared" si="9"/>
        <v>46925.321892597101</v>
      </c>
      <c r="AN50" s="2"/>
      <c r="AO50" s="2">
        <f t="shared" si="38"/>
        <v>46925.321892597101</v>
      </c>
      <c r="AP50" s="2">
        <f t="shared" si="38"/>
        <v>23462.660946298551</v>
      </c>
      <c r="AQ50" s="2"/>
      <c r="AR50" s="2">
        <f t="shared" si="10"/>
        <v>46925.321892597101</v>
      </c>
      <c r="AS50" s="2">
        <f t="shared" si="11"/>
        <v>70387.982838895638</v>
      </c>
      <c r="AT50" s="2">
        <f t="shared" si="30"/>
        <v>234626.60946298548</v>
      </c>
      <c r="AU50" s="2">
        <f t="shared" si="31"/>
        <v>0</v>
      </c>
    </row>
    <row r="51" spans="1:47" x14ac:dyDescent="0.25">
      <c r="A51">
        <f t="shared" si="4"/>
        <v>2003</v>
      </c>
      <c r="B51" s="2">
        <f t="shared" ref="B51:B64" si="49">AM50*(1+(B15/100))</f>
        <v>60299.03863198727</v>
      </c>
      <c r="C51" s="2"/>
      <c r="D51" s="2">
        <f t="shared" si="43"/>
        <v>62946.565293167609</v>
      </c>
      <c r="E51" s="2">
        <f t="shared" si="44"/>
        <v>34168.203882875656</v>
      </c>
      <c r="F51" s="2"/>
      <c r="G51" s="2">
        <f t="shared" si="35"/>
        <v>65854.99674407077</v>
      </c>
      <c r="H51" s="2">
        <f t="shared" si="15"/>
        <v>73182.385757599797</v>
      </c>
      <c r="I51" s="2">
        <f t="shared" si="16"/>
        <v>296451.19030970108</v>
      </c>
      <c r="J51" s="2">
        <f t="shared" si="17"/>
        <v>61824.580846715602</v>
      </c>
      <c r="K51" s="6">
        <f t="shared" si="18"/>
        <v>0.26350200000000001</v>
      </c>
      <c r="L51" s="7">
        <f t="shared" si="19"/>
        <v>1.2635019999999999</v>
      </c>
      <c r="O51">
        <f t="shared" si="20"/>
        <v>2003</v>
      </c>
      <c r="P51" s="6">
        <f t="shared" si="5"/>
        <v>0.20340292298706295</v>
      </c>
      <c r="Q51" s="7"/>
      <c r="R51" s="6">
        <f t="shared" si="5"/>
        <v>0.21233365677300078</v>
      </c>
      <c r="S51" s="6">
        <f t="shared" si="5"/>
        <v>0.11525743528700393</v>
      </c>
      <c r="T51" s="7"/>
      <c r="U51" s="59">
        <f t="shared" si="5"/>
        <v>0.22214448414011218</v>
      </c>
      <c r="V51" s="59">
        <f t="shared" si="7"/>
        <v>0.24686150081282024</v>
      </c>
      <c r="W51" s="6">
        <f t="shared" si="21"/>
        <v>1.0000000000000002</v>
      </c>
      <c r="X51" s="7">
        <f t="shared" si="22"/>
        <v>0.7531384991871799</v>
      </c>
      <c r="Y51" s="7">
        <f t="shared" si="23"/>
        <v>0</v>
      </c>
      <c r="Z51" s="6"/>
      <c r="AB51">
        <f t="shared" si="24"/>
        <v>2003</v>
      </c>
      <c r="AC51" s="1" t="b">
        <f t="shared" si="25"/>
        <v>1</v>
      </c>
      <c r="AE51" s="1" t="b">
        <f>AND((D51/$I51)&gt;0.15,(D51/$I51)&lt;0.25)</f>
        <v>1</v>
      </c>
      <c r="AF51" s="1" t="b">
        <f>AND((E51/$I51)&gt;0.05,(E51/$I51)&lt;0.15)</f>
        <v>1</v>
      </c>
      <c r="AH51" s="1" t="b">
        <f t="shared" si="34"/>
        <v>1</v>
      </c>
      <c r="AI51" s="1" t="b">
        <f t="shared" si="27"/>
        <v>0</v>
      </c>
      <c r="AJ51" s="1" t="b">
        <f t="shared" si="28"/>
        <v>1</v>
      </c>
      <c r="AL51">
        <f t="shared" si="29"/>
        <v>2003</v>
      </c>
      <c r="AM51" s="2">
        <f>$I51*AM$39</f>
        <v>59290.238061940217</v>
      </c>
      <c r="AN51" s="2"/>
      <c r="AO51" s="2">
        <f t="shared" si="38"/>
        <v>59290.238061940217</v>
      </c>
      <c r="AP51" s="2">
        <f t="shared" si="38"/>
        <v>29645.119030970109</v>
      </c>
      <c r="AQ51" s="2"/>
      <c r="AR51" s="2">
        <f t="shared" si="10"/>
        <v>59290.238061940217</v>
      </c>
      <c r="AS51" s="2">
        <f t="shared" si="11"/>
        <v>88935.357092910315</v>
      </c>
      <c r="AT51" s="2">
        <f t="shared" si="30"/>
        <v>296451.19030970108</v>
      </c>
      <c r="AU51" s="2">
        <f t="shared" si="31"/>
        <v>0</v>
      </c>
    </row>
    <row r="52" spans="1:47" x14ac:dyDescent="0.25">
      <c r="A52">
        <f t="shared" si="4"/>
        <v>2004</v>
      </c>
      <c r="B52" s="2">
        <f t="shared" si="49"/>
        <v>65658.009629792592</v>
      </c>
      <c r="C52" s="2"/>
      <c r="D52" s="2">
        <f t="shared" ref="D52:D64" si="50">AO51*(1+(D16/100))</f>
        <v>71357.58021468691</v>
      </c>
      <c r="E52" s="2">
        <f t="shared" ref="E52:E64" si="51">AP51*(1+(E16/100))</f>
        <v>35543.608364562235</v>
      </c>
      <c r="F52" s="2"/>
      <c r="G52" s="2">
        <f t="shared" si="35"/>
        <v>71644.544966906702</v>
      </c>
      <c r="H52" s="2">
        <f t="shared" si="15"/>
        <v>92706.216233649713</v>
      </c>
      <c r="I52" s="2">
        <f t="shared" si="16"/>
        <v>336909.95940959814</v>
      </c>
      <c r="J52" s="2">
        <f t="shared" si="17"/>
        <v>40458.769099897065</v>
      </c>
      <c r="K52" s="6">
        <f t="shared" si="18"/>
        <v>0.13647699999999996</v>
      </c>
      <c r="L52" s="7">
        <f t="shared" si="19"/>
        <v>1.136477</v>
      </c>
      <c r="O52">
        <f t="shared" si="20"/>
        <v>2004</v>
      </c>
      <c r="P52" s="6">
        <f t="shared" si="5"/>
        <v>0.19488295847606243</v>
      </c>
      <c r="Q52" s="7"/>
      <c r="R52" s="6">
        <f t="shared" si="5"/>
        <v>0.21180015081695452</v>
      </c>
      <c r="S52" s="83">
        <f t="shared" si="5"/>
        <v>0.1054988354361769</v>
      </c>
      <c r="T52" s="60"/>
      <c r="U52" s="59">
        <f t="shared" si="5"/>
        <v>0.21265190584587282</v>
      </c>
      <c r="V52" s="59">
        <f t="shared" si="7"/>
        <v>0.27516614942493334</v>
      </c>
      <c r="W52" s="6">
        <f t="shared" si="21"/>
        <v>1</v>
      </c>
      <c r="X52" s="7">
        <f t="shared" si="22"/>
        <v>0.72483385057506666</v>
      </c>
      <c r="Y52" s="7">
        <f t="shared" si="23"/>
        <v>0</v>
      </c>
      <c r="Z52" s="6"/>
      <c r="AB52">
        <f t="shared" si="24"/>
        <v>2004</v>
      </c>
      <c r="AC52" s="1" t="b">
        <f t="shared" si="25"/>
        <v>1</v>
      </c>
      <c r="AE52" s="1" t="b">
        <f t="shared" ref="AE52:AE64" si="52">AND((D52/$I52)&gt;0.15,(D52/$I52)&lt;0.25)</f>
        <v>1</v>
      </c>
      <c r="AF52" s="1" t="b">
        <f t="shared" ref="AF52:AF64" si="53">AND((E52/$I52)&gt;0.05,(E52/$I52)&lt;0.15)</f>
        <v>1</v>
      </c>
      <c r="AH52" s="1" t="b">
        <f t="shared" si="34"/>
        <v>1</v>
      </c>
      <c r="AI52" s="39" t="b">
        <f t="shared" si="27"/>
        <v>1</v>
      </c>
      <c r="AJ52" s="1" t="b">
        <f t="shared" si="28"/>
        <v>1</v>
      </c>
      <c r="AL52">
        <f t="shared" si="29"/>
        <v>2004</v>
      </c>
      <c r="AM52" s="2">
        <f t="shared" ref="AM52:AM64" si="54">$I52*AM$39</f>
        <v>67381.991881919632</v>
      </c>
      <c r="AN52" s="2"/>
      <c r="AO52" s="2">
        <f t="shared" si="38"/>
        <v>67381.991881919632</v>
      </c>
      <c r="AP52" s="2">
        <f t="shared" si="38"/>
        <v>33690.995940959816</v>
      </c>
      <c r="AQ52" s="2"/>
      <c r="AR52" s="2">
        <f t="shared" ref="AR52:AS64" si="55">$I52*AR$39</f>
        <v>67381.991881919632</v>
      </c>
      <c r="AS52" s="2">
        <f t="shared" si="55"/>
        <v>101072.98782287944</v>
      </c>
      <c r="AT52" s="2">
        <f t="shared" si="30"/>
        <v>336909.95940959814</v>
      </c>
      <c r="AU52" s="2">
        <f t="shared" si="31"/>
        <v>0</v>
      </c>
    </row>
    <row r="53" spans="1:47" x14ac:dyDescent="0.25">
      <c r="A53">
        <f t="shared" si="4"/>
        <v>2005</v>
      </c>
      <c r="B53" s="2">
        <f t="shared" si="49"/>
        <v>70596.112894687205</v>
      </c>
      <c r="C53" s="2"/>
      <c r="D53" s="2">
        <f t="shared" si="50"/>
        <v>76768.977170989863</v>
      </c>
      <c r="E53" s="2">
        <f t="shared" si="51"/>
        <v>36171.663972092691</v>
      </c>
      <c r="F53" s="2"/>
      <c r="G53" s="2">
        <f t="shared" si="35"/>
        <v>77874.041837853336</v>
      </c>
      <c r="H53" s="2">
        <f t="shared" si="15"/>
        <v>103498.73953062855</v>
      </c>
      <c r="I53" s="2">
        <f t="shared" si="16"/>
        <v>364909.53540625161</v>
      </c>
      <c r="J53" s="2">
        <f t="shared" si="17"/>
        <v>27999.575996653468</v>
      </c>
      <c r="K53" s="6">
        <f t="shared" si="18"/>
        <v>8.3106999999999986E-2</v>
      </c>
      <c r="L53" s="7">
        <f t="shared" si="19"/>
        <v>1.083107</v>
      </c>
      <c r="O53">
        <f t="shared" si="20"/>
        <v>2005</v>
      </c>
      <c r="P53" s="6">
        <f t="shared" si="5"/>
        <v>0.19346195712888942</v>
      </c>
      <c r="Q53" s="7"/>
      <c r="R53" s="6">
        <f t="shared" si="5"/>
        <v>0.2103781066875203</v>
      </c>
      <c r="S53" s="6">
        <f t="shared" si="5"/>
        <v>9.9125017195900333E-2</v>
      </c>
      <c r="T53" s="60"/>
      <c r="U53" s="59">
        <f t="shared" si="5"/>
        <v>0.21340643168218837</v>
      </c>
      <c r="V53" s="59">
        <f t="shared" si="7"/>
        <v>0.28362848730550166</v>
      </c>
      <c r="W53" s="6">
        <f t="shared" si="21"/>
        <v>1.0000000000000002</v>
      </c>
      <c r="X53" s="7">
        <f t="shared" si="22"/>
        <v>0.7163715126944985</v>
      </c>
      <c r="Y53" s="7">
        <f t="shared" si="23"/>
        <v>0</v>
      </c>
      <c r="Z53" s="6"/>
      <c r="AB53">
        <f t="shared" si="24"/>
        <v>2005</v>
      </c>
      <c r="AC53" s="1" t="b">
        <f t="shared" si="25"/>
        <v>1</v>
      </c>
      <c r="AE53" s="1" t="b">
        <f t="shared" si="52"/>
        <v>1</v>
      </c>
      <c r="AF53" s="1" t="b">
        <f t="shared" si="53"/>
        <v>1</v>
      </c>
      <c r="AH53" s="1" t="b">
        <f t="shared" si="34"/>
        <v>1</v>
      </c>
      <c r="AI53" s="1" t="b">
        <f t="shared" si="27"/>
        <v>1</v>
      </c>
      <c r="AJ53" s="1" t="b">
        <f t="shared" si="28"/>
        <v>1</v>
      </c>
      <c r="AL53">
        <f t="shared" si="29"/>
        <v>2005</v>
      </c>
      <c r="AM53" s="2">
        <f t="shared" si="54"/>
        <v>72981.90708125032</v>
      </c>
      <c r="AN53" s="2"/>
      <c r="AO53" s="2">
        <f t="shared" si="38"/>
        <v>72981.90708125032</v>
      </c>
      <c r="AP53" s="2">
        <f t="shared" si="38"/>
        <v>36490.95354062516</v>
      </c>
      <c r="AQ53" s="2"/>
      <c r="AR53" s="2">
        <f t="shared" si="55"/>
        <v>72981.90708125032</v>
      </c>
      <c r="AS53" s="2">
        <f t="shared" si="55"/>
        <v>109472.86062187549</v>
      </c>
      <c r="AT53" s="2">
        <f t="shared" si="30"/>
        <v>364909.53540625161</v>
      </c>
      <c r="AU53" s="2">
        <f t="shared" si="31"/>
        <v>0</v>
      </c>
    </row>
    <row r="54" spans="1:47" x14ac:dyDescent="0.25">
      <c r="A54">
        <f t="shared" si="4"/>
        <v>2006</v>
      </c>
      <c r="B54" s="2">
        <f t="shared" si="49"/>
        <v>84396.277348757882</v>
      </c>
      <c r="C54" s="2"/>
      <c r="D54" s="2">
        <f t="shared" si="50"/>
        <v>82905.256987087923</v>
      </c>
      <c r="E54" s="2">
        <f t="shared" si="51"/>
        <v>42203.977226945433</v>
      </c>
      <c r="F54" s="2"/>
      <c r="G54" s="2">
        <f t="shared" si="35"/>
        <v>92422.097670482966</v>
      </c>
      <c r="H54" s="2">
        <f t="shared" si="15"/>
        <v>114147.35177042957</v>
      </c>
      <c r="I54" s="2">
        <f t="shared" si="16"/>
        <v>416074.96100370376</v>
      </c>
      <c r="J54" s="2">
        <f t="shared" si="17"/>
        <v>51165.425597452151</v>
      </c>
      <c r="K54" s="6">
        <f t="shared" si="18"/>
        <v>0.14021399999999998</v>
      </c>
      <c r="L54" s="7">
        <f t="shared" si="19"/>
        <v>1.1402140000000001</v>
      </c>
      <c r="O54">
        <f t="shared" si="20"/>
        <v>2006</v>
      </c>
      <c r="P54" s="83">
        <f t="shared" si="5"/>
        <v>0.20283911616591274</v>
      </c>
      <c r="Q54" s="7"/>
      <c r="R54" s="6">
        <f t="shared" si="5"/>
        <v>0.19925557833880306</v>
      </c>
      <c r="S54" s="6">
        <f t="shared" si="5"/>
        <v>0.10143359053651331</v>
      </c>
      <c r="T54" s="60"/>
      <c r="U54" s="59">
        <f t="shared" si="5"/>
        <v>0.22212847763665416</v>
      </c>
      <c r="V54" s="59">
        <f t="shared" si="7"/>
        <v>0.27434323732211674</v>
      </c>
      <c r="W54" s="6">
        <f t="shared" si="21"/>
        <v>1</v>
      </c>
      <c r="X54" s="7">
        <f t="shared" si="22"/>
        <v>0.72565676267788337</v>
      </c>
      <c r="Y54" s="7">
        <f t="shared" si="23"/>
        <v>0</v>
      </c>
      <c r="Z54" s="6"/>
      <c r="AB54">
        <f t="shared" si="24"/>
        <v>2006</v>
      </c>
      <c r="AC54" s="39" t="b">
        <f t="shared" si="25"/>
        <v>1</v>
      </c>
      <c r="AE54" s="1" t="b">
        <f t="shared" si="52"/>
        <v>1</v>
      </c>
      <c r="AF54" s="1" t="b">
        <f t="shared" si="53"/>
        <v>1</v>
      </c>
      <c r="AH54" s="39" t="b">
        <f t="shared" si="34"/>
        <v>1</v>
      </c>
      <c r="AI54" s="39" t="b">
        <f t="shared" si="27"/>
        <v>1</v>
      </c>
      <c r="AJ54" s="1" t="b">
        <f t="shared" si="28"/>
        <v>1</v>
      </c>
      <c r="AL54">
        <f t="shared" si="29"/>
        <v>2006</v>
      </c>
      <c r="AM54" s="2">
        <f t="shared" si="54"/>
        <v>83214.992200740759</v>
      </c>
      <c r="AN54" s="2"/>
      <c r="AO54" s="2">
        <f t="shared" si="38"/>
        <v>83214.992200740759</v>
      </c>
      <c r="AP54" s="2">
        <f t="shared" si="38"/>
        <v>41607.496100370379</v>
      </c>
      <c r="AQ54" s="2"/>
      <c r="AR54" s="2">
        <f t="shared" si="55"/>
        <v>83214.992200740759</v>
      </c>
      <c r="AS54" s="2">
        <f t="shared" si="55"/>
        <v>124822.48830111112</v>
      </c>
      <c r="AT54" s="2">
        <f t="shared" si="30"/>
        <v>416074.96100370376</v>
      </c>
      <c r="AU54" s="2">
        <f t="shared" si="31"/>
        <v>0</v>
      </c>
    </row>
    <row r="55" spans="1:47" x14ac:dyDescent="0.25">
      <c r="A55">
        <f t="shared" si="4"/>
        <v>2007</v>
      </c>
      <c r="B55" s="2">
        <f t="shared" si="49"/>
        <v>87700.28028036069</v>
      </c>
      <c r="C55" s="2"/>
      <c r="D55" s="2">
        <f t="shared" si="50"/>
        <v>88225.366881147362</v>
      </c>
      <c r="E55" s="2">
        <f t="shared" si="51"/>
        <v>42088.478755290664</v>
      </c>
      <c r="F55" s="2"/>
      <c r="G55" s="2">
        <f t="shared" si="35"/>
        <v>96131.623290139731</v>
      </c>
      <c r="H55" s="2">
        <f t="shared" si="15"/>
        <v>133460.20449154801</v>
      </c>
      <c r="I55" s="2">
        <f t="shared" si="16"/>
        <v>447605.95369848644</v>
      </c>
      <c r="J55" s="2">
        <f t="shared" si="17"/>
        <v>31530.992694782675</v>
      </c>
      <c r="K55" s="6">
        <f t="shared" si="18"/>
        <v>7.5781999999999988E-2</v>
      </c>
      <c r="L55" s="7">
        <f t="shared" si="19"/>
        <v>1.075782</v>
      </c>
      <c r="O55">
        <f t="shared" si="20"/>
        <v>2007</v>
      </c>
      <c r="P55" s="6">
        <f t="shared" si="5"/>
        <v>0.19593188954639512</v>
      </c>
      <c r="Q55" s="7"/>
      <c r="R55" s="6">
        <f t="shared" si="5"/>
        <v>0.19710498967262885</v>
      </c>
      <c r="S55" s="6">
        <f t="shared" si="5"/>
        <v>9.4030203145246918E-2</v>
      </c>
      <c r="T55" s="60"/>
      <c r="U55" s="6">
        <f t="shared" si="5"/>
        <v>0.21476841962405022</v>
      </c>
      <c r="V55" s="38">
        <f t="shared" si="7"/>
        <v>0.29816449801167894</v>
      </c>
      <c r="W55" s="6">
        <f t="shared" si="21"/>
        <v>1</v>
      </c>
      <c r="X55" s="7">
        <f t="shared" si="22"/>
        <v>0.70183550198832112</v>
      </c>
      <c r="Y55" s="7">
        <f t="shared" si="23"/>
        <v>0</v>
      </c>
      <c r="Z55" s="6"/>
      <c r="AB55">
        <f t="shared" si="24"/>
        <v>2007</v>
      </c>
      <c r="AC55" s="1" t="b">
        <f t="shared" si="25"/>
        <v>1</v>
      </c>
      <c r="AE55" s="1" t="b">
        <f t="shared" si="52"/>
        <v>1</v>
      </c>
      <c r="AF55" s="1" t="b">
        <f t="shared" si="53"/>
        <v>1</v>
      </c>
      <c r="AH55" s="1" t="b">
        <f t="shared" si="34"/>
        <v>1</v>
      </c>
      <c r="AI55" s="39" t="b">
        <f t="shared" si="27"/>
        <v>1</v>
      </c>
      <c r="AJ55" s="1" t="b">
        <f t="shared" si="28"/>
        <v>1</v>
      </c>
      <c r="AL55">
        <f t="shared" si="29"/>
        <v>2007</v>
      </c>
      <c r="AM55" s="2">
        <f t="shared" si="54"/>
        <v>89521.190739697297</v>
      </c>
      <c r="AN55" s="2"/>
      <c r="AO55" s="2">
        <f t="shared" si="38"/>
        <v>89521.190739697297</v>
      </c>
      <c r="AP55" s="2">
        <f t="shared" si="38"/>
        <v>44760.595369848648</v>
      </c>
      <c r="AQ55" s="2"/>
      <c r="AR55" s="2">
        <f t="shared" si="55"/>
        <v>89521.190739697297</v>
      </c>
      <c r="AS55" s="2">
        <f t="shared" si="55"/>
        <v>134281.78610954594</v>
      </c>
      <c r="AT55" s="2">
        <f t="shared" si="30"/>
        <v>447605.95369848644</v>
      </c>
      <c r="AU55" s="2">
        <f t="shared" si="31"/>
        <v>0</v>
      </c>
    </row>
    <row r="56" spans="1:47" x14ac:dyDescent="0.25">
      <c r="A56">
        <f t="shared" si="4"/>
        <v>2008</v>
      </c>
      <c r="B56" s="2">
        <f t="shared" si="49"/>
        <v>56380.44592786135</v>
      </c>
      <c r="C56" s="2"/>
      <c r="D56" s="2">
        <f t="shared" si="50"/>
        <v>52079.847924726302</v>
      </c>
      <c r="E56" s="2">
        <f t="shared" si="51"/>
        <v>28615.44861994424</v>
      </c>
      <c r="F56" s="2"/>
      <c r="G56" s="2">
        <f t="shared" si="35"/>
        <v>50041.450411583392</v>
      </c>
      <c r="H56" s="2">
        <f t="shared" si="15"/>
        <v>141063.01630807802</v>
      </c>
      <c r="I56" s="2">
        <f t="shared" si="16"/>
        <v>328180.20919219329</v>
      </c>
      <c r="J56" s="2">
        <f>I56-I55</f>
        <v>-119425.74450629315</v>
      </c>
      <c r="K56" s="6">
        <f>(J56/I55)</f>
        <v>-0.26680999999999999</v>
      </c>
      <c r="L56" s="7">
        <f t="shared" si="19"/>
        <v>0.73319000000000001</v>
      </c>
      <c r="O56">
        <f t="shared" si="20"/>
        <v>2008</v>
      </c>
      <c r="P56" s="6">
        <f t="shared" si="5"/>
        <v>0.17179721491018698</v>
      </c>
      <c r="Q56" s="7"/>
      <c r="R56" s="6">
        <f t="shared" si="5"/>
        <v>0.15869283541783169</v>
      </c>
      <c r="S56" s="6">
        <f t="shared" si="5"/>
        <v>8.7194315252526633E-2</v>
      </c>
      <c r="T56" s="60"/>
      <c r="U56" s="6">
        <f t="shared" si="5"/>
        <v>0.15248162140782062</v>
      </c>
      <c r="V56" s="6">
        <f t="shared" si="7"/>
        <v>0.4298340130116341</v>
      </c>
      <c r="W56" s="6">
        <f t="shared" si="21"/>
        <v>1</v>
      </c>
      <c r="X56" s="7">
        <f t="shared" si="22"/>
        <v>0.57016598698836596</v>
      </c>
      <c r="Y56" s="7">
        <f t="shared" si="23"/>
        <v>0</v>
      </c>
      <c r="Z56" s="6"/>
      <c r="AB56">
        <f t="shared" si="24"/>
        <v>2008</v>
      </c>
      <c r="AC56" s="1" t="b">
        <f t="shared" si="25"/>
        <v>1</v>
      </c>
      <c r="AE56" s="1" t="b">
        <f t="shared" si="52"/>
        <v>1</v>
      </c>
      <c r="AF56" s="1" t="b">
        <f t="shared" si="53"/>
        <v>1</v>
      </c>
      <c r="AH56" s="1" t="b">
        <f t="shared" si="34"/>
        <v>1</v>
      </c>
      <c r="AI56" s="1" t="b">
        <f t="shared" si="27"/>
        <v>0</v>
      </c>
      <c r="AJ56" s="1" t="b">
        <f t="shared" si="28"/>
        <v>1</v>
      </c>
      <c r="AL56">
        <f t="shared" si="29"/>
        <v>2008</v>
      </c>
      <c r="AM56" s="2">
        <f t="shared" si="54"/>
        <v>65636.041838438658</v>
      </c>
      <c r="AN56" s="2"/>
      <c r="AO56" s="2">
        <f t="shared" si="38"/>
        <v>65636.041838438658</v>
      </c>
      <c r="AP56" s="2">
        <f t="shared" si="38"/>
        <v>32818.020919219329</v>
      </c>
      <c r="AQ56" s="2"/>
      <c r="AR56" s="2">
        <f t="shared" si="55"/>
        <v>65636.041838438658</v>
      </c>
      <c r="AS56" s="2">
        <f t="shared" si="55"/>
        <v>98454.062757657986</v>
      </c>
      <c r="AT56" s="2">
        <f t="shared" si="30"/>
        <v>328180.20919219329</v>
      </c>
      <c r="AU56" s="2">
        <f t="shared" si="31"/>
        <v>0</v>
      </c>
    </row>
    <row r="57" spans="1:47" x14ac:dyDescent="0.25">
      <c r="A57">
        <f t="shared" si="4"/>
        <v>2009</v>
      </c>
      <c r="B57" s="2">
        <f t="shared" si="49"/>
        <v>83023.029321441049</v>
      </c>
      <c r="C57" s="2"/>
      <c r="D57" s="2">
        <f t="shared" si="50"/>
        <v>92033.545145021912</v>
      </c>
      <c r="E57" s="2">
        <f t="shared" si="51"/>
        <v>44671.233714822971</v>
      </c>
      <c r="F57" s="2"/>
      <c r="G57" s="2">
        <f t="shared" si="35"/>
        <v>89742.190924442024</v>
      </c>
      <c r="H57" s="2">
        <f t="shared" si="15"/>
        <v>104292.38867918709</v>
      </c>
      <c r="I57" s="2">
        <f t="shared" si="16"/>
        <v>413762.38778491504</v>
      </c>
      <c r="J57" s="2">
        <f t="shared" si="17"/>
        <v>85582.178592721757</v>
      </c>
      <c r="K57" s="6">
        <f t="shared" si="18"/>
        <v>0.2607779999999999</v>
      </c>
      <c r="L57" s="7">
        <f t="shared" si="19"/>
        <v>1.260778</v>
      </c>
      <c r="O57">
        <f t="shared" si="20"/>
        <v>2009</v>
      </c>
      <c r="P57" s="6">
        <f t="shared" si="5"/>
        <v>0.20065388196811809</v>
      </c>
      <c r="Q57" s="7"/>
      <c r="R57" s="6">
        <f t="shared" si="5"/>
        <v>0.22243091170689844</v>
      </c>
      <c r="S57" s="6">
        <f t="shared" si="5"/>
        <v>0.10796349555591866</v>
      </c>
      <c r="T57" s="60"/>
      <c r="U57" s="6">
        <f t="shared" si="5"/>
        <v>0.21689306126851834</v>
      </c>
      <c r="V57" s="6">
        <f t="shared" si="7"/>
        <v>0.25205864950054646</v>
      </c>
      <c r="W57" s="6">
        <f t="shared" si="21"/>
        <v>1</v>
      </c>
      <c r="X57" s="7">
        <f t="shared" si="22"/>
        <v>0.74794135049945354</v>
      </c>
      <c r="Y57" s="7">
        <f t="shared" si="23"/>
        <v>0</v>
      </c>
      <c r="Z57" s="6"/>
      <c r="AB57">
        <f t="shared" si="24"/>
        <v>2009</v>
      </c>
      <c r="AC57" s="1" t="b">
        <f t="shared" si="25"/>
        <v>1</v>
      </c>
      <c r="AE57" s="1" t="b">
        <f t="shared" si="52"/>
        <v>1</v>
      </c>
      <c r="AF57" s="1" t="b">
        <f t="shared" si="53"/>
        <v>1</v>
      </c>
      <c r="AH57" s="1" t="b">
        <f t="shared" si="34"/>
        <v>1</v>
      </c>
      <c r="AI57" s="1" t="b">
        <f t="shared" si="27"/>
        <v>1</v>
      </c>
      <c r="AJ57" s="1" t="b">
        <f t="shared" si="28"/>
        <v>1</v>
      </c>
      <c r="AL57">
        <f t="shared" si="29"/>
        <v>2009</v>
      </c>
      <c r="AM57" s="2">
        <f t="shared" si="54"/>
        <v>82752.477556983009</v>
      </c>
      <c r="AN57" s="2"/>
      <c r="AO57" s="2">
        <f t="shared" si="38"/>
        <v>82752.477556983009</v>
      </c>
      <c r="AP57" s="2">
        <f t="shared" si="38"/>
        <v>41376.238778491504</v>
      </c>
      <c r="AQ57" s="2"/>
      <c r="AR57" s="2">
        <f t="shared" si="55"/>
        <v>82752.477556983009</v>
      </c>
      <c r="AS57" s="2">
        <f t="shared" si="55"/>
        <v>124128.71633547451</v>
      </c>
      <c r="AT57" s="2">
        <f t="shared" si="30"/>
        <v>413762.38778491504</v>
      </c>
      <c r="AU57" s="2">
        <f t="shared" si="31"/>
        <v>0</v>
      </c>
    </row>
    <row r="58" spans="1:47" x14ac:dyDescent="0.25">
      <c r="A58">
        <f t="shared" si="4"/>
        <v>2010</v>
      </c>
      <c r="B58" s="2">
        <f t="shared" si="49"/>
        <v>95090.871960729171</v>
      </c>
      <c r="C58" s="2"/>
      <c r="D58" s="2">
        <f t="shared" si="50"/>
        <v>103821.25834299088</v>
      </c>
      <c r="E58" s="2">
        <f t="shared" si="51"/>
        <v>52845.732167889357</v>
      </c>
      <c r="F58" s="2"/>
      <c r="G58" s="2">
        <f t="shared" si="35"/>
        <v>91954.553061319515</v>
      </c>
      <c r="H58" s="2">
        <f t="shared" si="15"/>
        <v>132097.77992421199</v>
      </c>
      <c r="I58" s="2">
        <f t="shared" si="16"/>
        <v>475810.19545714092</v>
      </c>
      <c r="J58" s="2">
        <f t="shared" si="17"/>
        <v>62047.80767222587</v>
      </c>
      <c r="K58" s="6">
        <f t="shared" si="18"/>
        <v>0.14996000000000004</v>
      </c>
      <c r="L58" s="7">
        <f t="shared" si="19"/>
        <v>1.1499600000000001</v>
      </c>
      <c r="O58">
        <f t="shared" si="20"/>
        <v>2010</v>
      </c>
      <c r="P58" s="6">
        <f t="shared" si="5"/>
        <v>0.19985042958015931</v>
      </c>
      <c r="Q58" s="7"/>
      <c r="R58" s="6">
        <f t="shared" si="5"/>
        <v>0.21819889387456956</v>
      </c>
      <c r="S58" s="6">
        <f t="shared" si="5"/>
        <v>0.11106473268635432</v>
      </c>
      <c r="T58" s="7"/>
      <c r="U58" s="6">
        <f t="shared" si="5"/>
        <v>0.19325889596159865</v>
      </c>
      <c r="V58" s="38">
        <f t="shared" si="7"/>
        <v>0.27762704789731818</v>
      </c>
      <c r="W58" s="6">
        <f t="shared" si="21"/>
        <v>1</v>
      </c>
      <c r="X58" s="7">
        <f t="shared" si="22"/>
        <v>0.72237295210268182</v>
      </c>
      <c r="Y58" s="7">
        <f t="shared" si="23"/>
        <v>0</v>
      </c>
      <c r="Z58" s="6"/>
      <c r="AB58">
        <f t="shared" si="24"/>
        <v>2010</v>
      </c>
      <c r="AC58" s="1" t="b">
        <f t="shared" si="25"/>
        <v>1</v>
      </c>
      <c r="AE58" s="1" t="b">
        <f t="shared" si="52"/>
        <v>1</v>
      </c>
      <c r="AF58" s="1" t="b">
        <f t="shared" si="53"/>
        <v>1</v>
      </c>
      <c r="AH58" s="1" t="b">
        <f t="shared" si="34"/>
        <v>1</v>
      </c>
      <c r="AI58" s="39" t="b">
        <f t="shared" si="27"/>
        <v>1</v>
      </c>
      <c r="AJ58" s="1" t="b">
        <f t="shared" si="28"/>
        <v>1</v>
      </c>
      <c r="AL58">
        <f t="shared" si="29"/>
        <v>2010</v>
      </c>
      <c r="AM58" s="2">
        <f t="shared" si="54"/>
        <v>95162.039091428189</v>
      </c>
      <c r="AN58" s="2"/>
      <c r="AO58" s="2">
        <f t="shared" si="38"/>
        <v>95162.039091428189</v>
      </c>
      <c r="AP58" s="2">
        <f t="shared" si="38"/>
        <v>47581.019545714094</v>
      </c>
      <c r="AQ58" s="2"/>
      <c r="AR58" s="2">
        <f t="shared" si="55"/>
        <v>95162.039091428189</v>
      </c>
      <c r="AS58" s="2">
        <f t="shared" si="55"/>
        <v>142743.05863714227</v>
      </c>
      <c r="AT58" s="2">
        <f t="shared" si="30"/>
        <v>475810.19545714092</v>
      </c>
      <c r="AU58" s="2">
        <f t="shared" si="31"/>
        <v>0</v>
      </c>
    </row>
    <row r="59" spans="1:47" x14ac:dyDescent="0.25">
      <c r="A59">
        <f t="shared" si="4"/>
        <v>2011</v>
      </c>
      <c r="B59" s="2">
        <f t="shared" si="49"/>
        <v>97036.731261529334</v>
      </c>
      <c r="C59" s="2"/>
      <c r="D59" s="2">
        <f t="shared" si="50"/>
        <v>93154.120066599047</v>
      </c>
      <c r="E59" s="2">
        <f t="shared" si="51"/>
        <v>46248.750998434101</v>
      </c>
      <c r="F59" s="2"/>
      <c r="G59" s="2">
        <f t="shared" si="35"/>
        <v>81306.446199716243</v>
      </c>
      <c r="H59" s="2">
        <f t="shared" si="15"/>
        <v>153534.43387011025</v>
      </c>
      <c r="I59" s="2">
        <f t="shared" si="16"/>
        <v>471280.48239638895</v>
      </c>
      <c r="J59" s="2">
        <f t="shared" si="17"/>
        <v>-4529.7130607519648</v>
      </c>
      <c r="K59" s="6">
        <f t="shared" si="18"/>
        <v>-9.5199999999999643E-3</v>
      </c>
      <c r="L59" s="7">
        <f t="shared" si="19"/>
        <v>0.99048000000000003</v>
      </c>
      <c r="O59">
        <f t="shared" si="20"/>
        <v>2011</v>
      </c>
      <c r="P59" s="6">
        <f t="shared" si="5"/>
        <v>0.20590016961473229</v>
      </c>
      <c r="Q59" s="7"/>
      <c r="R59" s="6">
        <f t="shared" si="5"/>
        <v>0.19766173976253937</v>
      </c>
      <c r="S59" s="6">
        <f t="shared" si="5"/>
        <v>9.8134237945238678E-2</v>
      </c>
      <c r="T59" s="7"/>
      <c r="U59" s="6">
        <f t="shared" si="5"/>
        <v>0.17252241337533317</v>
      </c>
      <c r="V59" s="6">
        <f t="shared" si="7"/>
        <v>0.32578143930215658</v>
      </c>
      <c r="W59" s="6">
        <f t="shared" si="21"/>
        <v>1</v>
      </c>
      <c r="X59" s="7">
        <f t="shared" si="22"/>
        <v>0.67421856069784347</v>
      </c>
      <c r="Y59" s="7">
        <f t="shared" si="23"/>
        <v>0</v>
      </c>
      <c r="Z59" s="6"/>
      <c r="AA59" s="7">
        <f>SUM(P59:U59)</f>
        <v>0.67421856069784347</v>
      </c>
      <c r="AB59">
        <f t="shared" si="24"/>
        <v>2011</v>
      </c>
      <c r="AC59" s="1" t="b">
        <f t="shared" si="25"/>
        <v>1</v>
      </c>
      <c r="AE59" s="1" t="b">
        <f t="shared" si="52"/>
        <v>1</v>
      </c>
      <c r="AF59" s="1" t="b">
        <f t="shared" si="53"/>
        <v>1</v>
      </c>
      <c r="AH59" s="1" t="b">
        <f t="shared" si="34"/>
        <v>1</v>
      </c>
      <c r="AI59" s="1" t="b">
        <f t="shared" si="27"/>
        <v>1</v>
      </c>
      <c r="AJ59" s="1" t="b">
        <f t="shared" si="28"/>
        <v>1</v>
      </c>
      <c r="AL59">
        <f t="shared" si="29"/>
        <v>2011</v>
      </c>
      <c r="AM59" s="2">
        <f t="shared" si="54"/>
        <v>94256.096479277796</v>
      </c>
      <c r="AN59" s="2"/>
      <c r="AO59" s="2">
        <f t="shared" si="38"/>
        <v>94256.096479277796</v>
      </c>
      <c r="AP59" s="2">
        <f t="shared" si="38"/>
        <v>47128.048239638898</v>
      </c>
      <c r="AQ59" s="2"/>
      <c r="AR59" s="2">
        <f t="shared" si="55"/>
        <v>94256.096479277796</v>
      </c>
      <c r="AS59" s="2">
        <f t="shared" si="55"/>
        <v>141384.14471891668</v>
      </c>
      <c r="AT59" s="2">
        <f t="shared" si="30"/>
        <v>471280.48239638895</v>
      </c>
      <c r="AU59" s="2">
        <f t="shared" si="31"/>
        <v>0</v>
      </c>
    </row>
    <row r="60" spans="1:47" x14ac:dyDescent="0.25">
      <c r="A60">
        <f t="shared" si="4"/>
        <v>2012</v>
      </c>
      <c r="B60" s="2">
        <f t="shared" si="49"/>
        <v>109167.41094229954</v>
      </c>
      <c r="C60" s="2"/>
      <c r="D60" s="2">
        <f t="shared" si="50"/>
        <v>109148.55972300368</v>
      </c>
      <c r="E60" s="2">
        <f t="shared" si="51"/>
        <v>55629.948142069763</v>
      </c>
      <c r="F60" s="2"/>
      <c r="G60" s="2">
        <f t="shared" si="35"/>
        <v>111354.15238061879</v>
      </c>
      <c r="H60" s="2">
        <f t="shared" si="15"/>
        <v>147110.20258003281</v>
      </c>
      <c r="I60" s="2">
        <f t="shared" si="16"/>
        <v>532410.27376802452</v>
      </c>
      <c r="J60" s="2">
        <f t="shared" si="17"/>
        <v>61129.791371635569</v>
      </c>
      <c r="K60" s="6">
        <f t="shared" si="18"/>
        <v>0.12970999999999991</v>
      </c>
      <c r="L60" s="7">
        <f t="shared" si="19"/>
        <v>1.12971</v>
      </c>
      <c r="O60">
        <f t="shared" si="20"/>
        <v>2012</v>
      </c>
      <c r="P60" s="6">
        <f t="shared" si="5"/>
        <v>0.20504377229554491</v>
      </c>
      <c r="Q60" s="7"/>
      <c r="R60" s="6">
        <f t="shared" si="5"/>
        <v>0.20500836497862285</v>
      </c>
      <c r="S60" s="6">
        <f t="shared" si="5"/>
        <v>0.1044869922369458</v>
      </c>
      <c r="T60" s="7"/>
      <c r="U60" s="6">
        <f t="shared" si="5"/>
        <v>0.20915102105850178</v>
      </c>
      <c r="V60" s="38">
        <f t="shared" si="7"/>
        <v>0.27630984943038484</v>
      </c>
      <c r="W60" s="6">
        <f t="shared" si="21"/>
        <v>1.0000000000000002</v>
      </c>
      <c r="X60" s="7">
        <f t="shared" si="22"/>
        <v>0.72369015056961539</v>
      </c>
      <c r="Y60" s="7">
        <f t="shared" si="23"/>
        <v>0</v>
      </c>
      <c r="Z60" s="6"/>
      <c r="AB60">
        <f t="shared" si="24"/>
        <v>2012</v>
      </c>
      <c r="AC60" s="1" t="b">
        <f t="shared" si="25"/>
        <v>1</v>
      </c>
      <c r="AE60" s="1" t="b">
        <f t="shared" si="52"/>
        <v>1</v>
      </c>
      <c r="AF60" s="1" t="b">
        <f t="shared" si="53"/>
        <v>1</v>
      </c>
      <c r="AH60" s="1" t="b">
        <f t="shared" si="34"/>
        <v>1</v>
      </c>
      <c r="AI60" s="39" t="b">
        <f t="shared" si="27"/>
        <v>1</v>
      </c>
      <c r="AJ60" s="1" t="b">
        <f t="shared" si="28"/>
        <v>1</v>
      </c>
      <c r="AL60">
        <f t="shared" si="29"/>
        <v>2012</v>
      </c>
      <c r="AM60" s="2">
        <f t="shared" si="54"/>
        <v>106482.05475360491</v>
      </c>
      <c r="AN60" s="2"/>
      <c r="AO60" s="2">
        <f t="shared" si="38"/>
        <v>106482.05475360491</v>
      </c>
      <c r="AP60" s="2">
        <f t="shared" si="38"/>
        <v>53241.027376802456</v>
      </c>
      <c r="AQ60" s="2"/>
      <c r="AR60" s="2">
        <f t="shared" si="55"/>
        <v>106482.05475360491</v>
      </c>
      <c r="AS60" s="2">
        <f t="shared" si="55"/>
        <v>159723.08213040736</v>
      </c>
      <c r="AT60" s="2">
        <f t="shared" si="30"/>
        <v>532410.27376802452</v>
      </c>
      <c r="AU60" s="2">
        <f t="shared" si="31"/>
        <v>0</v>
      </c>
    </row>
    <row r="61" spans="1:47" x14ac:dyDescent="0.25">
      <c r="A61">
        <f t="shared" si="4"/>
        <v>2013</v>
      </c>
      <c r="B61" s="2">
        <f t="shared" si="49"/>
        <v>140747.97997331497</v>
      </c>
      <c r="C61" s="2"/>
      <c r="D61" s="2">
        <f t="shared" si="50"/>
        <v>143750.77391736663</v>
      </c>
      <c r="E61" s="2">
        <f t="shared" si="51"/>
        <v>73270.301875955527</v>
      </c>
      <c r="F61" s="2"/>
      <c r="G61" s="2">
        <f t="shared" si="35"/>
        <v>122496.95578854707</v>
      </c>
      <c r="H61" s="2">
        <f t="shared" si="15"/>
        <v>156113.34047426016</v>
      </c>
      <c r="I61" s="2">
        <f t="shared" si="16"/>
        <v>636379.35202944442</v>
      </c>
      <c r="J61" s="2">
        <f t="shared" si="17"/>
        <v>103969.0782614199</v>
      </c>
      <c r="K61" s="6">
        <f t="shared" si="18"/>
        <v>0.19528000000000012</v>
      </c>
      <c r="L61" s="7">
        <f t="shared" si="19"/>
        <v>1.1952800000000001</v>
      </c>
      <c r="O61">
        <f t="shared" si="20"/>
        <v>2013</v>
      </c>
      <c r="P61" s="6">
        <f t="shared" si="5"/>
        <v>0.22116993507797336</v>
      </c>
      <c r="Q61" s="7"/>
      <c r="R61" s="6">
        <f t="shared" si="5"/>
        <v>0.22588849474600092</v>
      </c>
      <c r="S61" s="6">
        <f t="shared" si="5"/>
        <v>0.11513620239609126</v>
      </c>
      <c r="T61" s="7"/>
      <c r="U61" s="6">
        <f t="shared" si="5"/>
        <v>0.19249046248577736</v>
      </c>
      <c r="V61" s="6">
        <f t="shared" si="7"/>
        <v>0.245314905294157</v>
      </c>
      <c r="W61" s="6">
        <f t="shared" si="21"/>
        <v>0.99999999999999989</v>
      </c>
      <c r="X61" s="7">
        <f t="shared" si="22"/>
        <v>0.75468509470584288</v>
      </c>
      <c r="Y61" s="7">
        <f t="shared" si="23"/>
        <v>0</v>
      </c>
      <c r="Z61" s="6"/>
      <c r="AB61">
        <f t="shared" si="24"/>
        <v>2013</v>
      </c>
      <c r="AC61" s="1" t="b">
        <f t="shared" si="25"/>
        <v>1</v>
      </c>
      <c r="AE61" s="1" t="b">
        <f t="shared" si="52"/>
        <v>1</v>
      </c>
      <c r="AF61" s="1" t="b">
        <f t="shared" si="53"/>
        <v>1</v>
      </c>
      <c r="AH61" s="1" t="b">
        <f t="shared" si="34"/>
        <v>1</v>
      </c>
      <c r="AI61" s="1" t="b">
        <f t="shared" si="27"/>
        <v>0</v>
      </c>
      <c r="AJ61" s="1" t="b">
        <f t="shared" si="28"/>
        <v>1</v>
      </c>
      <c r="AL61">
        <f t="shared" si="29"/>
        <v>2013</v>
      </c>
      <c r="AM61" s="2">
        <f t="shared" si="54"/>
        <v>127275.87040588888</v>
      </c>
      <c r="AN61" s="2"/>
      <c r="AO61" s="2">
        <f t="shared" si="38"/>
        <v>127275.87040588888</v>
      </c>
      <c r="AP61" s="2">
        <f t="shared" si="38"/>
        <v>63637.935202944442</v>
      </c>
      <c r="AQ61" s="2"/>
      <c r="AR61" s="2">
        <f t="shared" si="55"/>
        <v>127275.87040588888</v>
      </c>
      <c r="AS61" s="2">
        <f t="shared" si="55"/>
        <v>190913.80560883333</v>
      </c>
      <c r="AT61" s="2">
        <f t="shared" si="30"/>
        <v>636379.35202944442</v>
      </c>
      <c r="AU61" s="2">
        <f t="shared" si="31"/>
        <v>0</v>
      </c>
    </row>
    <row r="62" spans="1:47" x14ac:dyDescent="0.25">
      <c r="A62">
        <f t="shared" si="4"/>
        <v>2014</v>
      </c>
      <c r="B62" s="2">
        <f t="shared" si="49"/>
        <v>144470.84049772448</v>
      </c>
      <c r="C62" s="2"/>
      <c r="D62" s="2">
        <f t="shared" si="50"/>
        <v>144585.3887810898</v>
      </c>
      <c r="E62" s="2">
        <f t="shared" si="51"/>
        <v>68328.051027401452</v>
      </c>
      <c r="F62" s="2"/>
      <c r="G62" s="2">
        <f t="shared" si="35"/>
        <v>121879.3735006792</v>
      </c>
      <c r="H62" s="2">
        <f t="shared" si="15"/>
        <v>201910.44081190214</v>
      </c>
      <c r="I62" s="2">
        <f t="shared" si="16"/>
        <v>681174.09461879707</v>
      </c>
      <c r="J62" s="2">
        <f t="shared" si="17"/>
        <v>44794.742589352652</v>
      </c>
      <c r="K62" s="6">
        <f t="shared" si="18"/>
        <v>7.0390000000000091E-2</v>
      </c>
      <c r="L62" s="7">
        <f t="shared" si="19"/>
        <v>1.0703900000000002</v>
      </c>
      <c r="O62">
        <f t="shared" si="20"/>
        <v>2014</v>
      </c>
      <c r="P62" s="6">
        <f t="shared" si="5"/>
        <v>0.21209092013191452</v>
      </c>
      <c r="Q62" s="7"/>
      <c r="R62" s="6">
        <f t="shared" si="5"/>
        <v>0.21225908313792172</v>
      </c>
      <c r="S62" s="6">
        <f t="shared" si="5"/>
        <v>0.10030923308326871</v>
      </c>
      <c r="T62" s="7"/>
      <c r="U62" s="6">
        <f t="shared" si="5"/>
        <v>0.17892543839161426</v>
      </c>
      <c r="V62" s="38">
        <f t="shared" si="7"/>
        <v>0.2964153252552808</v>
      </c>
      <c r="W62" s="6">
        <f t="shared" si="21"/>
        <v>1</v>
      </c>
      <c r="X62" s="7">
        <f t="shared" si="22"/>
        <v>0.7035846747447192</v>
      </c>
      <c r="Y62" s="7">
        <f t="shared" si="23"/>
        <v>0</v>
      </c>
      <c r="Z62" s="6"/>
      <c r="AB62">
        <f t="shared" si="24"/>
        <v>2014</v>
      </c>
      <c r="AC62" s="1" t="b">
        <f t="shared" si="25"/>
        <v>1</v>
      </c>
      <c r="AE62" s="1" t="b">
        <f t="shared" si="52"/>
        <v>1</v>
      </c>
      <c r="AF62" s="1" t="b">
        <f t="shared" si="53"/>
        <v>1</v>
      </c>
      <c r="AH62" s="1" t="b">
        <f t="shared" si="34"/>
        <v>1</v>
      </c>
      <c r="AI62" s="39" t="b">
        <f t="shared" si="27"/>
        <v>1</v>
      </c>
      <c r="AJ62" s="1" t="b">
        <f t="shared" si="28"/>
        <v>1</v>
      </c>
      <c r="AL62">
        <f t="shared" si="29"/>
        <v>2014</v>
      </c>
      <c r="AM62" s="2">
        <f t="shared" si="54"/>
        <v>136234.81892375942</v>
      </c>
      <c r="AN62" s="2"/>
      <c r="AO62" s="2">
        <f t="shared" si="38"/>
        <v>136234.81892375942</v>
      </c>
      <c r="AP62" s="2">
        <f t="shared" si="38"/>
        <v>68117.40946187971</v>
      </c>
      <c r="AQ62" s="2"/>
      <c r="AR62" s="2">
        <f t="shared" si="55"/>
        <v>136234.81892375942</v>
      </c>
      <c r="AS62" s="2">
        <f t="shared" si="55"/>
        <v>204352.22838563912</v>
      </c>
      <c r="AT62" s="2">
        <f t="shared" si="30"/>
        <v>681174.09461879707</v>
      </c>
      <c r="AU62" s="2">
        <f t="shared" si="31"/>
        <v>0</v>
      </c>
    </row>
    <row r="63" spans="1:47" x14ac:dyDescent="0.25">
      <c r="A63">
        <f t="shared" si="4"/>
        <v>2015</v>
      </c>
      <c r="B63" s="2">
        <f t="shared" si="49"/>
        <v>137937.75416030642</v>
      </c>
      <c r="C63" s="2"/>
      <c r="D63" s="2">
        <f t="shared" si="50"/>
        <v>134245.79056747255</v>
      </c>
      <c r="E63" s="2">
        <f t="shared" si="51"/>
        <v>65542.571384220646</v>
      </c>
      <c r="F63" s="2"/>
      <c r="G63" s="2">
        <f t="shared" si="35"/>
        <v>130281.35733679114</v>
      </c>
      <c r="H63" s="2">
        <f t="shared" si="15"/>
        <v>204965.285070796</v>
      </c>
      <c r="I63" s="2">
        <f t="shared" si="16"/>
        <v>672972.75851958676</v>
      </c>
      <c r="J63" s="2">
        <f t="shared" si="17"/>
        <v>-8201.3360992103117</v>
      </c>
      <c r="K63" s="6">
        <f t="shared" si="18"/>
        <v>-1.2039999999999993E-2</v>
      </c>
      <c r="L63" s="7">
        <f t="shared" si="19"/>
        <v>0.98796000000000006</v>
      </c>
      <c r="O63">
        <f t="shared" si="20"/>
        <v>2015</v>
      </c>
      <c r="P63" s="6">
        <f t="shared" si="5"/>
        <v>0.20496781246204301</v>
      </c>
      <c r="Q63" s="7"/>
      <c r="R63" s="6">
        <f t="shared" si="5"/>
        <v>0.19948176039515772</v>
      </c>
      <c r="S63" s="6">
        <f t="shared" si="5"/>
        <v>9.7392606988137162E-2</v>
      </c>
      <c r="T63" s="7"/>
      <c r="U63" s="6">
        <f t="shared" si="5"/>
        <v>0.19359083363698937</v>
      </c>
      <c r="V63" s="6">
        <f t="shared" si="7"/>
        <v>0.30456698651767272</v>
      </c>
      <c r="W63" s="6">
        <f t="shared" si="21"/>
        <v>1</v>
      </c>
      <c r="X63" s="7">
        <f t="shared" si="22"/>
        <v>0.69543301348232722</v>
      </c>
      <c r="Y63" s="7">
        <f t="shared" si="23"/>
        <v>0</v>
      </c>
      <c r="Z63" s="6"/>
      <c r="AB63">
        <f t="shared" si="24"/>
        <v>2015</v>
      </c>
      <c r="AC63" s="1" t="b">
        <f t="shared" si="25"/>
        <v>1</v>
      </c>
      <c r="AE63" s="1" t="b">
        <f t="shared" si="52"/>
        <v>1</v>
      </c>
      <c r="AF63" s="1" t="b">
        <f t="shared" si="53"/>
        <v>1</v>
      </c>
      <c r="AH63" s="1" t="b">
        <f t="shared" si="34"/>
        <v>1</v>
      </c>
      <c r="AI63" s="1" t="b">
        <f t="shared" si="27"/>
        <v>1</v>
      </c>
      <c r="AJ63" s="1" t="b">
        <f t="shared" si="28"/>
        <v>1</v>
      </c>
      <c r="AL63">
        <f t="shared" si="29"/>
        <v>2015</v>
      </c>
      <c r="AM63" s="2">
        <f t="shared" si="54"/>
        <v>134594.55170391736</v>
      </c>
      <c r="AN63" s="2"/>
      <c r="AO63" s="2">
        <f t="shared" si="38"/>
        <v>134594.55170391736</v>
      </c>
      <c r="AP63" s="2">
        <f t="shared" si="38"/>
        <v>67297.275851958679</v>
      </c>
      <c r="AQ63" s="2"/>
      <c r="AR63" s="2">
        <f t="shared" si="55"/>
        <v>134594.55170391736</v>
      </c>
      <c r="AS63" s="2">
        <f t="shared" si="55"/>
        <v>201891.82755587602</v>
      </c>
      <c r="AT63" s="2">
        <f t="shared" si="30"/>
        <v>672972.75851958676</v>
      </c>
      <c r="AU63" s="2">
        <f t="shared" si="31"/>
        <v>0</v>
      </c>
    </row>
    <row r="64" spans="1:47" x14ac:dyDescent="0.25">
      <c r="A64">
        <f t="shared" si="4"/>
        <v>2016</v>
      </c>
      <c r="B64" s="2">
        <f t="shared" si="49"/>
        <v>150503.62771532041</v>
      </c>
      <c r="C64" s="2"/>
      <c r="D64" s="2">
        <f t="shared" si="50"/>
        <v>149494.16857754102</v>
      </c>
      <c r="E64" s="2">
        <f t="shared" si="51"/>
        <v>79525.19087425957</v>
      </c>
      <c r="F64" s="2"/>
      <c r="G64" s="2">
        <f t="shared" si="35"/>
        <v>140853.1983581495</v>
      </c>
      <c r="H64" s="2">
        <f t="shared" si="15"/>
        <v>206939.1232447729</v>
      </c>
      <c r="I64" s="2">
        <f t="shared" si="16"/>
        <v>727315.30877004343</v>
      </c>
      <c r="J64" s="2">
        <f t="shared" si="17"/>
        <v>54342.550250456668</v>
      </c>
      <c r="K64" s="6">
        <f t="shared" si="18"/>
        <v>8.0750000000000058E-2</v>
      </c>
      <c r="L64" s="7">
        <f t="shared" si="19"/>
        <v>1.0807500000000001</v>
      </c>
      <c r="O64">
        <f t="shared" si="20"/>
        <v>2016</v>
      </c>
      <c r="P64" s="6">
        <f t="shared" si="5"/>
        <v>0.20693037242655565</v>
      </c>
      <c r="Q64" s="7"/>
      <c r="R64" s="6">
        <f t="shared" si="5"/>
        <v>0.20554244737450844</v>
      </c>
      <c r="S64" s="6">
        <f t="shared" si="5"/>
        <v>0.10934073560027759</v>
      </c>
      <c r="T64" s="7"/>
      <c r="U64" s="6">
        <f t="shared" si="5"/>
        <v>0.19366180892898449</v>
      </c>
      <c r="V64" s="6">
        <f t="shared" si="7"/>
        <v>0.28452463566967379</v>
      </c>
      <c r="W64" s="6">
        <f t="shared" si="21"/>
        <v>1</v>
      </c>
      <c r="X64" s="7">
        <f t="shared" si="22"/>
        <v>0.71547536433032621</v>
      </c>
      <c r="Y64" s="7">
        <f t="shared" si="23"/>
        <v>0</v>
      </c>
      <c r="Z64" s="6"/>
      <c r="AB64">
        <f t="shared" si="24"/>
        <v>2016</v>
      </c>
      <c r="AC64" s="1" t="b">
        <f t="shared" si="25"/>
        <v>1</v>
      </c>
      <c r="AE64" s="1" t="b">
        <f t="shared" si="52"/>
        <v>1</v>
      </c>
      <c r="AF64" s="1" t="b">
        <f t="shared" si="53"/>
        <v>1</v>
      </c>
      <c r="AH64" s="1" t="b">
        <f t="shared" si="34"/>
        <v>1</v>
      </c>
      <c r="AI64" s="1" t="b">
        <f t="shared" si="27"/>
        <v>1</v>
      </c>
      <c r="AJ64" s="1" t="b">
        <f t="shared" si="28"/>
        <v>1</v>
      </c>
      <c r="AL64">
        <f t="shared" si="29"/>
        <v>2016</v>
      </c>
      <c r="AM64" s="2">
        <f t="shared" si="54"/>
        <v>145463.0617540087</v>
      </c>
      <c r="AN64" s="2"/>
      <c r="AO64" s="2">
        <f t="shared" si="38"/>
        <v>145463.0617540087</v>
      </c>
      <c r="AP64" s="2">
        <f t="shared" si="38"/>
        <v>72731.530877004348</v>
      </c>
      <c r="AQ64" s="2"/>
      <c r="AR64" s="2">
        <f t="shared" si="55"/>
        <v>145463.0617540087</v>
      </c>
      <c r="AS64" s="2">
        <f t="shared" si="55"/>
        <v>218194.59263101302</v>
      </c>
      <c r="AT64" s="2">
        <f t="shared" si="30"/>
        <v>727315.30877004354</v>
      </c>
      <c r="AU64" s="2">
        <f t="shared" si="31"/>
        <v>0</v>
      </c>
    </row>
    <row r="65" spans="1:45" x14ac:dyDescent="0.25">
      <c r="A65" s="9" t="s">
        <v>78</v>
      </c>
      <c r="B65" s="10">
        <f>B64</f>
        <v>150503.62771532041</v>
      </c>
      <c r="C65" s="10"/>
      <c r="D65" s="10">
        <f>D64</f>
        <v>149494.16857754102</v>
      </c>
      <c r="E65" s="10">
        <f>E64</f>
        <v>79525.19087425957</v>
      </c>
      <c r="F65" s="10"/>
      <c r="G65" s="10">
        <f>G64</f>
        <v>140853.1983581495</v>
      </c>
      <c r="H65" s="10">
        <f>H64</f>
        <v>206939.1232447729</v>
      </c>
      <c r="I65" s="10">
        <f>SUM(B65:H65)</f>
        <v>727315.30877004343</v>
      </c>
      <c r="J65" s="10"/>
      <c r="K65" s="10"/>
      <c r="AM65" s="22"/>
      <c r="AO65" s="22"/>
      <c r="AP65" s="22"/>
      <c r="AR65" s="22"/>
      <c r="AS65" s="22"/>
    </row>
    <row r="66" spans="1:45" x14ac:dyDescent="0.25">
      <c r="A66" s="11" t="s">
        <v>79</v>
      </c>
      <c r="I66" s="6">
        <f>(I65-I39)/I39</f>
        <v>6.2731530877004342</v>
      </c>
      <c r="K66" s="6"/>
      <c r="R66" s="7"/>
      <c r="AO66" s="2"/>
    </row>
    <row r="67" spans="1:45" x14ac:dyDescent="0.25">
      <c r="A67" s="1" t="s">
        <v>80</v>
      </c>
      <c r="I67" s="29">
        <f>STDEV(L40:L64)</f>
        <v>0.11896679357663149</v>
      </c>
      <c r="K67" s="30"/>
    </row>
    <row r="68" spans="1:45" x14ac:dyDescent="0.25">
      <c r="A68" s="1" t="s">
        <v>81</v>
      </c>
      <c r="I68" s="13">
        <f>((1+I66)^(1/I73))-1</f>
        <v>8.2602209597595788E-2</v>
      </c>
      <c r="K68" s="30"/>
    </row>
    <row r="69" spans="1:45" x14ac:dyDescent="0.25">
      <c r="A69" s="1" t="s">
        <v>82</v>
      </c>
      <c r="I69" s="31">
        <f>J60</f>
        <v>61129.791371635569</v>
      </c>
    </row>
    <row r="70" spans="1:45" x14ac:dyDescent="0.25">
      <c r="A70" s="1" t="s">
        <v>83</v>
      </c>
      <c r="I70" s="32">
        <f>K60</f>
        <v>0.12970999999999991</v>
      </c>
    </row>
    <row r="71" spans="1:45" x14ac:dyDescent="0.25">
      <c r="A71" s="3" t="s">
        <v>84</v>
      </c>
      <c r="I71" s="33">
        <f>I64-I65</f>
        <v>0</v>
      </c>
    </row>
    <row r="72" spans="1:45" x14ac:dyDescent="0.25">
      <c r="A72" s="3" t="s">
        <v>148</v>
      </c>
      <c r="I72" s="33">
        <f>((SUM(J40:J64))-(I65-I39))</f>
        <v>0</v>
      </c>
    </row>
    <row r="73" spans="1:45" x14ac:dyDescent="0.25">
      <c r="A73" s="3" t="s">
        <v>159</v>
      </c>
      <c r="I73" s="3">
        <f>COUNTA(I40:I64)</f>
        <v>25</v>
      </c>
    </row>
    <row r="74" spans="1:45" x14ac:dyDescent="0.25">
      <c r="A74" s="1" t="s">
        <v>105</v>
      </c>
      <c r="B74" s="62"/>
      <c r="C74" s="62"/>
      <c r="D74" s="62"/>
      <c r="E74" s="62"/>
      <c r="G74" s="62"/>
      <c r="H74" s="62"/>
      <c r="I74" s="85">
        <f>(SUM(B65:G65)/I65)</f>
        <v>0.71547536433032621</v>
      </c>
    </row>
    <row r="75" spans="1:45" x14ac:dyDescent="0.25">
      <c r="A75" s="1" t="s">
        <v>106</v>
      </c>
      <c r="B75" s="62"/>
      <c r="C75" s="62"/>
      <c r="D75" s="62"/>
      <c r="E75" s="62"/>
      <c r="G75" s="62"/>
      <c r="H75" s="62"/>
      <c r="I75" s="85">
        <f>(H65/I65)</f>
        <v>0.28452463566967379</v>
      </c>
    </row>
    <row r="76" spans="1:45" x14ac:dyDescent="0.25">
      <c r="A76" s="3" t="s">
        <v>107</v>
      </c>
      <c r="I76" s="3">
        <f>100%-(I74+I75)</f>
        <v>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76"/>
  <sheetViews>
    <sheetView topLeftCell="A47" zoomScaleNormal="100" workbookViewId="0">
      <selection activeCell="A74" sqref="A74:I76"/>
    </sheetView>
  </sheetViews>
  <sheetFormatPr defaultColWidth="8.85546875" defaultRowHeight="15" x14ac:dyDescent="0.25"/>
  <cols>
    <col min="1" max="1" width="25.42578125" customWidth="1"/>
    <col min="2" max="2" width="9.85546875" bestFit="1" customWidth="1"/>
    <col min="3" max="4" width="9.28515625" bestFit="1" customWidth="1"/>
    <col min="5" max="5" width="10.140625" customWidth="1"/>
    <col min="7" max="7" width="9.85546875" bestFit="1" customWidth="1"/>
    <col min="8" max="8" width="9.28515625" bestFit="1" customWidth="1"/>
    <col min="9" max="9" width="11.7109375" customWidth="1"/>
    <col min="10" max="10" width="10" bestFit="1" customWidth="1"/>
    <col min="28" max="28" width="10.85546875" bestFit="1" customWidth="1"/>
    <col min="29" max="30" width="9.28515625" bestFit="1" customWidth="1"/>
    <col min="31" max="31" width="10.28515625" customWidth="1"/>
    <col min="33" max="33" width="9.85546875" bestFit="1" customWidth="1"/>
    <col min="34" max="35" width="9.28515625" bestFit="1" customWidth="1"/>
  </cols>
  <sheetData>
    <row r="1" spans="1:8" x14ac:dyDescent="0.25">
      <c r="A1" t="s">
        <v>49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1992</v>
      </c>
      <c r="B4" s="17">
        <f>'Non-Rebalanced Portfolio'!B4</f>
        <v>7.42</v>
      </c>
      <c r="C4" s="17">
        <f>'Non-Rebalanced Portfolio'!C4</f>
        <v>12.465999999999999</v>
      </c>
      <c r="D4" s="17"/>
      <c r="E4" s="17"/>
      <c r="F4" s="17">
        <f>'Non-Rebalanced Portfolio'!F4</f>
        <v>-8.7210000000000001</v>
      </c>
      <c r="G4" s="17"/>
      <c r="H4" s="17">
        <f>'Non-Rebalanced Portfolio'!H4</f>
        <v>7.14</v>
      </c>
    </row>
    <row r="5" spans="1:8" x14ac:dyDescent="0.25">
      <c r="A5" s="17">
        <f>'Non-Rebalanced Portfolio'!A5</f>
        <v>1993</v>
      </c>
      <c r="B5" s="17">
        <f>'Non-Rebalanced Portfolio'!B5</f>
        <v>9.89</v>
      </c>
      <c r="C5" s="17">
        <f>'Non-Rebalanced Portfolio'!C5</f>
        <v>14.49</v>
      </c>
      <c r="D5" s="17"/>
      <c r="E5" s="17"/>
      <c r="F5" s="17">
        <f>'Non-Rebalanced Portfolio'!F5</f>
        <v>30.494</v>
      </c>
      <c r="G5" s="17"/>
      <c r="H5" s="17">
        <f>'Non-Rebalanced Portfolio'!H5</f>
        <v>9.68</v>
      </c>
    </row>
    <row r="6" spans="1:8" x14ac:dyDescent="0.25">
      <c r="A6" s="17">
        <f>'Non-Rebalanced Portfolio'!A6</f>
        <v>1994</v>
      </c>
      <c r="B6" s="17">
        <f>'Non-Rebalanced Portfolio'!B6</f>
        <v>1.18</v>
      </c>
      <c r="C6" s="17">
        <f>'Non-Rebalanced Portfolio'!C6</f>
        <v>-1.764</v>
      </c>
      <c r="D6" s="17"/>
      <c r="E6" s="17"/>
      <c r="F6" s="17">
        <f>'Non-Rebalanced Portfolio'!F6</f>
        <v>5.2549999999999999</v>
      </c>
      <c r="G6" s="17"/>
      <c r="H6" s="17">
        <f>'Non-Rebalanced Portfolio'!H6</f>
        <v>-2.66</v>
      </c>
    </row>
    <row r="7" spans="1:8" x14ac:dyDescent="0.25">
      <c r="A7" s="17">
        <f>'Non-Rebalanced Portfolio'!A7</f>
        <v>1995</v>
      </c>
      <c r="B7" s="17">
        <f>'Non-Rebalanced Portfolio'!B7</f>
        <v>37.450000000000003</v>
      </c>
      <c r="C7" s="17">
        <f>'Non-Rebalanced Portfolio'!C7</f>
        <v>33.796999999999997</v>
      </c>
      <c r="D7" s="17"/>
      <c r="E7" s="17"/>
      <c r="F7" s="17">
        <f>'Non-Rebalanced Portfolio'!F7</f>
        <v>9.6460000000000008</v>
      </c>
      <c r="G7" s="17"/>
      <c r="H7" s="17">
        <f>'Non-Rebalanced Portfolio'!H7</f>
        <v>18.18</v>
      </c>
    </row>
    <row r="8" spans="1:8" x14ac:dyDescent="0.25">
      <c r="A8" s="17">
        <f>'Non-Rebalanced Portfolio'!A8</f>
        <v>1996</v>
      </c>
      <c r="B8" s="17">
        <f>'Non-Rebalanced Portfolio'!B8</f>
        <v>22.88</v>
      </c>
      <c r="C8" s="17">
        <f>'Non-Rebalanced Portfolio'!C8</f>
        <v>17.646999999999998</v>
      </c>
      <c r="D8" s="17"/>
      <c r="E8" s="17"/>
      <c r="F8" s="17">
        <f>'Non-Rebalanced Portfolio'!F8</f>
        <v>10.218999999999999</v>
      </c>
      <c r="G8" s="17"/>
      <c r="H8" s="17">
        <f>'Non-Rebalanced Portfolio'!H8</f>
        <v>3.58</v>
      </c>
    </row>
    <row r="9" spans="1:8" x14ac:dyDescent="0.25">
      <c r="A9" s="17">
        <f>'Non-Rebalanced Portfolio'!A9</f>
        <v>1997</v>
      </c>
      <c r="B9" s="17">
        <f>'Non-Rebalanced Portfolio'!B9</f>
        <v>33.19</v>
      </c>
      <c r="C9" s="17">
        <f>'Non-Rebalanced Portfolio'!C9</f>
        <v>26.687000000000001</v>
      </c>
      <c r="D9" s="17"/>
      <c r="E9" s="17"/>
      <c r="F9" s="17">
        <f>'Non-Rebalanced Portfolio'!F9</f>
        <v>0</v>
      </c>
      <c r="G9" s="17">
        <f>'Non-Rebalanced Portfolio'!G9</f>
        <v>-0.77500000000000002</v>
      </c>
      <c r="H9" s="17">
        <f>'Non-Rebalanced Portfolio'!H9</f>
        <v>9.44</v>
      </c>
    </row>
    <row r="10" spans="1:8" x14ac:dyDescent="0.25">
      <c r="A10" s="17">
        <f>'Non-Rebalanced Portfolio'!A10</f>
        <v>1998</v>
      </c>
      <c r="B10" s="17">
        <f>'Non-Rebalanced Portfolio'!B10</f>
        <v>28.66</v>
      </c>
      <c r="C10" s="17">
        <f>'Non-Rebalanced Portfolio'!C10</f>
        <v>8.3529999999999998</v>
      </c>
      <c r="D10" s="17"/>
      <c r="E10" s="17"/>
      <c r="F10" s="17">
        <f>'Non-Rebalanced Portfolio'!F10</f>
        <v>0</v>
      </c>
      <c r="G10" s="17">
        <f>'Non-Rebalanced Portfolio'!G10</f>
        <v>15.603</v>
      </c>
      <c r="H10" s="17">
        <f>'Non-Rebalanced Portfolio'!H10</f>
        <v>8.58</v>
      </c>
    </row>
    <row r="11" spans="1:8" x14ac:dyDescent="0.25">
      <c r="A11" s="17">
        <f>'Non-Rebalanced Portfolio'!A11</f>
        <v>1999</v>
      </c>
      <c r="B11" s="17">
        <f>'Non-Rebalanced Portfolio'!B11</f>
        <v>21.07</v>
      </c>
      <c r="C11" s="17">
        <f>'Non-Rebalanced Portfolio'!C11</f>
        <v>0</v>
      </c>
      <c r="D11" s="17">
        <f>'Non-Rebalanced Portfolio'!D11</f>
        <v>15.319000000000001</v>
      </c>
      <c r="E11" s="17">
        <f>'Non-Rebalanced Portfolio'!E11</f>
        <v>23.132999999999999</v>
      </c>
      <c r="F11" s="17">
        <f>'Non-Rebalanced Portfolio'!F11</f>
        <v>0</v>
      </c>
      <c r="G11" s="18">
        <f>'Non-Rebalanced Portfolio'!G11</f>
        <v>29.919</v>
      </c>
      <c r="H11" s="17">
        <f>'Non-Rebalanced Portfolio'!H11</f>
        <v>-0.76</v>
      </c>
    </row>
    <row r="12" spans="1:8" x14ac:dyDescent="0.25">
      <c r="A12" s="17">
        <f>'Non-Rebalanced Portfolio'!A12</f>
        <v>2000</v>
      </c>
      <c r="B12" s="17">
        <f>'Non-Rebalanced Portfolio'!B12</f>
        <v>-9.06</v>
      </c>
      <c r="C12" s="17">
        <f>'Non-Rebalanced Portfolio'!C12</f>
        <v>0</v>
      </c>
      <c r="D12" s="17">
        <f>'Non-Rebalanced Portfolio'!D12</f>
        <v>18.097999999999999</v>
      </c>
      <c r="E12" s="17">
        <f>'Non-Rebalanced Portfolio'!E12</f>
        <v>-2.665</v>
      </c>
      <c r="F12" s="17">
        <f>'Non-Rebalanced Portfolio'!F12</f>
        <v>0</v>
      </c>
      <c r="G12" s="17">
        <f>'Non-Rebalanced Portfolio'!G12</f>
        <v>-15.614000000000001</v>
      </c>
      <c r="H12" s="17">
        <f>'Non-Rebalanced Portfolio'!H12</f>
        <v>11.39</v>
      </c>
    </row>
    <row r="13" spans="1:8" x14ac:dyDescent="0.25">
      <c r="A13" s="17">
        <f>'Non-Rebalanced Portfolio'!A13</f>
        <v>2001</v>
      </c>
      <c r="B13" s="17">
        <f>'Non-Rebalanced Portfolio'!B13</f>
        <v>-12.02</v>
      </c>
      <c r="C13" s="17">
        <f>'Non-Rebalanced Portfolio'!C13</f>
        <v>0</v>
      </c>
      <c r="D13" s="18">
        <f>'Non-Rebalanced Portfolio'!D13</f>
        <v>-0.499</v>
      </c>
      <c r="E13" s="18">
        <f>'Non-Rebalanced Portfolio'!E13</f>
        <v>3.1</v>
      </c>
      <c r="F13" s="17"/>
      <c r="G13" s="17">
        <f>'Non-Rebalanced Portfolio'!G13</f>
        <v>-20.152999999999999</v>
      </c>
      <c r="H13" s="17">
        <f>'Non-Rebalanced Portfolio'!H13</f>
        <v>8.43</v>
      </c>
    </row>
    <row r="14" spans="1:8" x14ac:dyDescent="0.25">
      <c r="A14" s="17">
        <f>'Non-Rebalanced Portfolio'!A14</f>
        <v>2002</v>
      </c>
      <c r="B14" s="17">
        <f>'Non-Rebalanced Portfolio'!B14</f>
        <v>-22.15</v>
      </c>
      <c r="C14" s="17">
        <f>'Non-Rebalanced Portfolio'!C14</f>
        <v>0</v>
      </c>
      <c r="D14" s="17">
        <f>'Non-Rebalanced Portfolio'!D14</f>
        <v>-14.608000000000001</v>
      </c>
      <c r="E14" s="17">
        <f>'Non-Rebalanced Portfolio'!E14</f>
        <v>-20.021999999999998</v>
      </c>
      <c r="F14" s="17"/>
      <c r="G14" s="17">
        <f>'Non-Rebalanced Portfolio'!G14</f>
        <v>-15.083</v>
      </c>
      <c r="H14" s="17">
        <f>'Non-Rebalanced Portfolio'!H14</f>
        <v>8.26</v>
      </c>
    </row>
    <row r="15" spans="1:8" x14ac:dyDescent="0.25">
      <c r="A15" s="17">
        <f>'Non-Rebalanced Portfolio'!A15</f>
        <v>2003</v>
      </c>
      <c r="B15" s="17">
        <f>'Non-Rebalanced Portfolio'!B15</f>
        <v>28.5</v>
      </c>
      <c r="C15" s="17"/>
      <c r="D15" s="17">
        <f>'Non-Rebalanced Portfolio'!D15</f>
        <v>34.142000000000003</v>
      </c>
      <c r="E15" s="17">
        <f>'Non-Rebalanced Portfolio'!E15</f>
        <v>45.628</v>
      </c>
      <c r="F15" s="17"/>
      <c r="G15" s="17">
        <f>'Non-Rebalanced Portfolio'!G15</f>
        <v>40.340000000000003</v>
      </c>
      <c r="H15" s="17">
        <f>'Non-Rebalanced Portfolio'!H15</f>
        <v>3.97</v>
      </c>
    </row>
    <row r="16" spans="1:8"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row>
    <row r="17" spans="1:8"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row>
    <row r="18" spans="1:8"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row>
    <row r="19" spans="1:8"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row>
    <row r="20" spans="1:8"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row>
    <row r="21" spans="1:8"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row>
    <row r="22" spans="1:8"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row>
    <row r="23" spans="1:8"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row>
    <row r="24" spans="1:8"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row>
    <row r="25" spans="1:8"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row>
    <row r="26" spans="1:8"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row>
    <row r="27" spans="1:8"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row>
    <row r="28" spans="1:8" x14ac:dyDescent="0.25">
      <c r="A28" s="17">
        <f>'Non-Rebalanced Portfolio'!A28</f>
        <v>2016</v>
      </c>
      <c r="B28" s="17">
        <f>'Non-Rebalanced Portfolio'!B28</f>
        <v>11.82</v>
      </c>
      <c r="C28" s="19"/>
      <c r="D28" s="17">
        <f>'Non-Rebalanced Portfolio'!D28</f>
        <v>11.07</v>
      </c>
      <c r="E28" s="17">
        <f>'Non-Rebalanced Portfolio'!E28</f>
        <v>18.170000000000002</v>
      </c>
      <c r="F28" s="19"/>
      <c r="G28" s="17">
        <f>'Non-Rebalanced Portfolio'!G28</f>
        <v>4.6500000000000004</v>
      </c>
      <c r="H28" s="17">
        <f>'Non-Rebalanced Portfolio'!H28</f>
        <v>2.5</v>
      </c>
    </row>
    <row r="29" spans="1:8" x14ac:dyDescent="0.25">
      <c r="A29" s="17">
        <f>'Non-Rebalanced Portfolio'!A29</f>
        <v>2017</v>
      </c>
      <c r="B29" s="17">
        <f>'Non-Rebalanced Portfolio'!B29</f>
        <v>21.67</v>
      </c>
      <c r="C29" s="19"/>
      <c r="D29" s="19">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9">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9">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9">
        <f>'Non-Rebalanced Portfolio'!D32</f>
        <v>19.600000000000001</v>
      </c>
      <c r="E32" s="17">
        <f>'Non-Rebalanced Portfolio'!E32</f>
        <v>16.100000000000001</v>
      </c>
      <c r="F32" s="19"/>
      <c r="G32" s="17">
        <f>'Non-Rebalanced Portfolio'!G32</f>
        <v>27.4</v>
      </c>
      <c r="H32" s="17">
        <f>'Non-Rebalanced Portfolio'!H32</f>
        <v>3.46</v>
      </c>
    </row>
    <row r="33" spans="1:36" x14ac:dyDescent="0.25">
      <c r="A33" s="17">
        <f>'Non-Rebalanced Portfolio'!A33</f>
        <v>2017</v>
      </c>
      <c r="B33" s="17">
        <f>'Non-Rebalanced Portfolio'!B33</f>
        <v>21.67</v>
      </c>
      <c r="C33" s="19"/>
      <c r="D33" s="19">
        <f>'Non-Rebalanced Portfolio'!D33</f>
        <v>19.600000000000001</v>
      </c>
      <c r="E33" s="17">
        <f>'Non-Rebalanced Portfolio'!E33</f>
        <v>16.100000000000001</v>
      </c>
      <c r="F33" s="19"/>
      <c r="G33" s="17">
        <f>'Non-Rebalanced Portfolio'!G33</f>
        <v>27.4</v>
      </c>
      <c r="H33" s="17">
        <f>'Non-Rebalanced Portfolio'!H33</f>
        <v>3.46</v>
      </c>
    </row>
    <row r="35" spans="1:36" x14ac:dyDescent="0.25">
      <c r="A35" s="57"/>
    </row>
    <row r="36" spans="1:36" x14ac:dyDescent="0.25">
      <c r="A36" s="20" t="s">
        <v>120</v>
      </c>
      <c r="O36" s="20" t="s">
        <v>125</v>
      </c>
      <c r="AA36" s="20" t="s">
        <v>4</v>
      </c>
    </row>
    <row r="37" spans="1:36"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5" t="s">
        <v>112</v>
      </c>
      <c r="AB37" s="4" t="str">
        <f t="shared" ref="AB37:AH38" si="2">P37</f>
        <v>LC Stocks</v>
      </c>
      <c r="AC37" s="4" t="str">
        <f t="shared" si="2"/>
        <v>Ext Mkt</v>
      </c>
      <c r="AD37" s="4" t="str">
        <f t="shared" si="2"/>
        <v>Mcap Stk</v>
      </c>
      <c r="AE37" s="4" t="str">
        <f t="shared" si="2"/>
        <v>Small Cap</v>
      </c>
      <c r="AF37" s="4" t="str">
        <f t="shared" si="2"/>
        <v>Intl Val</v>
      </c>
      <c r="AG37" s="4" t="str">
        <f t="shared" si="2"/>
        <v>Tot Int Stk</v>
      </c>
      <c r="AH37" s="4" t="str">
        <f t="shared" si="2"/>
        <v>Bonds</v>
      </c>
      <c r="AI37" s="4"/>
      <c r="AJ37" t="s">
        <v>88</v>
      </c>
    </row>
    <row r="38" spans="1:36"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5" t="s">
        <v>87</v>
      </c>
      <c r="AA38" t="str">
        <f>A38</f>
        <v>Fund</v>
      </c>
      <c r="AB38" s="4" t="str">
        <f t="shared" si="2"/>
        <v>VFINX</v>
      </c>
      <c r="AC38" s="4" t="str">
        <f t="shared" si="2"/>
        <v>VEXMX</v>
      </c>
      <c r="AD38" s="4" t="str">
        <f t="shared" si="2"/>
        <v>VIMSX</v>
      </c>
      <c r="AE38" s="4" t="str">
        <f t="shared" si="2"/>
        <v>NAESX</v>
      </c>
      <c r="AF38" s="4" t="str">
        <f t="shared" si="2"/>
        <v>VTRIX</v>
      </c>
      <c r="AG38" s="4" t="str">
        <f t="shared" si="2"/>
        <v>VGTSX</v>
      </c>
      <c r="AH38" s="4" t="str">
        <f t="shared" si="2"/>
        <v>VBMFX</v>
      </c>
      <c r="AI38" s="4" t="str">
        <f>W38</f>
        <v>Total</v>
      </c>
      <c r="AJ38" t="s">
        <v>87</v>
      </c>
    </row>
    <row r="39" spans="1:36" x14ac:dyDescent="0.25">
      <c r="A39" t="s">
        <v>71</v>
      </c>
      <c r="B39" s="2">
        <f>'Non-Rebalanced Portfolio'!B39</f>
        <v>20000</v>
      </c>
      <c r="C39" s="2">
        <f>'Non-Rebalanced Portfolio'!C39</f>
        <v>30000</v>
      </c>
      <c r="F39" s="2">
        <f>'Non-Rebalanced Portfolio'!F39</f>
        <v>20000</v>
      </c>
      <c r="H39" s="2">
        <f>'Non-Rebalanced Portfolio'!H39</f>
        <v>30000</v>
      </c>
      <c r="I39" s="2">
        <f>SUM(B39:H39)</f>
        <v>100000</v>
      </c>
      <c r="O39" s="21" t="s">
        <v>86</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4"/>
      <c r="AA39" t="str">
        <f>A39</f>
        <v>Stating Balance</v>
      </c>
      <c r="AB39" s="2">
        <f t="shared" ref="AB39:AB49" si="3">B39</f>
        <v>20000</v>
      </c>
      <c r="AC39" s="2">
        <f t="shared" ref="AC39:AC46" si="4">C39</f>
        <v>30000</v>
      </c>
      <c r="AD39" s="2"/>
      <c r="AE39" s="2"/>
      <c r="AF39" s="2">
        <f t="shared" ref="AF39:AG46" si="5">F39</f>
        <v>20000</v>
      </c>
      <c r="AG39" s="2"/>
      <c r="AH39" s="2">
        <f t="shared" ref="AH39:AH49" si="6">H39</f>
        <v>30000</v>
      </c>
      <c r="AI39" s="2">
        <f>SUM(AB39:AH39)</f>
        <v>100000</v>
      </c>
      <c r="AJ39" s="2">
        <f t="shared" ref="AJ39:AJ64" si="7">AI39-I39</f>
        <v>0</v>
      </c>
    </row>
    <row r="40" spans="1:36" x14ac:dyDescent="0.25">
      <c r="A40">
        <f t="shared" ref="A40:A64" si="8">A4</f>
        <v>1992</v>
      </c>
      <c r="B40" s="2">
        <f t="shared" ref="B40" si="9">B39*(1+(B4/100))</f>
        <v>21484</v>
      </c>
      <c r="C40" s="2">
        <f t="shared" ref="C40" si="10">C39*(1+(C4/100))</f>
        <v>33739.800000000003</v>
      </c>
      <c r="D40" s="2"/>
      <c r="E40" s="2"/>
      <c r="F40" s="2">
        <f t="shared" ref="F40" si="11">F39*(1+(F4/100))</f>
        <v>18255.8</v>
      </c>
      <c r="G40" s="2"/>
      <c r="H40" s="2">
        <f t="shared" ref="H40" si="12">H39*(1+(H4/100))</f>
        <v>32141.999999999996</v>
      </c>
      <c r="I40" s="2">
        <f>SUM(B40:H40)</f>
        <v>105621.6</v>
      </c>
      <c r="J40" s="2">
        <f>I40-I39</f>
        <v>5621.6000000000058</v>
      </c>
      <c r="K40" s="6">
        <f>(J40/I39)</f>
        <v>5.6216000000000058E-2</v>
      </c>
      <c r="L40" s="7">
        <f>K40+1</f>
        <v>1.056216</v>
      </c>
      <c r="O40">
        <f>A40</f>
        <v>1992</v>
      </c>
      <c r="P40" s="6">
        <f t="shared" ref="P40:U64" si="13">B40/$I40</f>
        <v>0.20340536405432222</v>
      </c>
      <c r="Q40" s="6">
        <f t="shared" si="13"/>
        <v>0.31944034174827879</v>
      </c>
      <c r="R40" s="7"/>
      <c r="S40" s="7"/>
      <c r="T40" s="6">
        <f t="shared" ref="T40:T48" si="14">F40/$I40</f>
        <v>0.17284153998803273</v>
      </c>
      <c r="U40" s="7"/>
      <c r="V40" s="6">
        <f t="shared" ref="V40:V64" si="15">H40/$I40</f>
        <v>0.30431275420936621</v>
      </c>
      <c r="W40" s="6">
        <f>SUM(P40:V40)</f>
        <v>1</v>
      </c>
      <c r="X40" s="7">
        <f>SUM(P40:U40)</f>
        <v>0.69568724579063379</v>
      </c>
      <c r="Y40" s="7">
        <f>W40-(X40+V40)</f>
        <v>0</v>
      </c>
      <c r="Z40" s="24"/>
      <c r="AA40">
        <f t="shared" ref="AA40:AA64" si="16">O40</f>
        <v>1992</v>
      </c>
      <c r="AB40" s="2">
        <f t="shared" si="3"/>
        <v>21484</v>
      </c>
      <c r="AC40" s="2">
        <f t="shared" si="4"/>
        <v>33739.800000000003</v>
      </c>
      <c r="AD40" s="2"/>
      <c r="AE40" s="2"/>
      <c r="AF40" s="2">
        <f t="shared" si="5"/>
        <v>18255.8</v>
      </c>
      <c r="AG40" s="2"/>
      <c r="AH40" s="2">
        <f t="shared" si="6"/>
        <v>32141.999999999996</v>
      </c>
      <c r="AI40" s="2">
        <f t="shared" ref="AI40:AI64" si="17">SUM(AB40:AH40)</f>
        <v>105621.6</v>
      </c>
      <c r="AJ40" s="2">
        <f t="shared" si="7"/>
        <v>0</v>
      </c>
    </row>
    <row r="41" spans="1:36" x14ac:dyDescent="0.25">
      <c r="A41">
        <f t="shared" si="8"/>
        <v>1993</v>
      </c>
      <c r="B41" s="2">
        <f t="shared" ref="B41:B50" si="18">AB40*(1+(B5/100))</f>
        <v>23608.767599999999</v>
      </c>
      <c r="C41" s="2">
        <f t="shared" ref="C41:C46" si="19">AC40*(1+(C5/100))</f>
        <v>38628.697020000007</v>
      </c>
      <c r="D41" s="2"/>
      <c r="E41" s="2"/>
      <c r="F41" s="2">
        <f t="shared" ref="F41:F44" si="20">AF40*(1+(F5/100))</f>
        <v>23822.723652000001</v>
      </c>
      <c r="G41" s="2"/>
      <c r="H41" s="2">
        <f t="shared" ref="H41:H64" si="21">AH40*(1+(H5/100))</f>
        <v>35253.345599999993</v>
      </c>
      <c r="I41" s="2">
        <f t="shared" ref="I41:I64" si="22">SUM(B41:H41)</f>
        <v>121313.533872</v>
      </c>
      <c r="J41" s="2">
        <f t="shared" ref="J41:J64" si="23">I41-I40</f>
        <v>15691.933871999994</v>
      </c>
      <c r="K41" s="6">
        <f t="shared" ref="K41:K64" si="24">(J41/I40)</f>
        <v>0.14856746983571537</v>
      </c>
      <c r="L41" s="7">
        <f t="shared" ref="L41:L64" si="25">K41+1</f>
        <v>1.1485674698357153</v>
      </c>
      <c r="O41">
        <f t="shared" ref="O41:O64" si="26">A41</f>
        <v>1993</v>
      </c>
      <c r="P41" s="6">
        <f t="shared" si="13"/>
        <v>0.19460951178711863</v>
      </c>
      <c r="Q41" s="6">
        <f t="shared" si="13"/>
        <v>0.31842034262028679</v>
      </c>
      <c r="R41" s="7"/>
      <c r="S41" s="7"/>
      <c r="T41" s="6">
        <f t="shared" si="14"/>
        <v>0.19637317364059123</v>
      </c>
      <c r="U41" s="7"/>
      <c r="V41" s="6">
        <f t="shared" si="15"/>
        <v>0.29059697195200335</v>
      </c>
      <c r="W41" s="6">
        <f t="shared" ref="W41:W64" si="27">SUM(P41:V41)</f>
        <v>1</v>
      </c>
      <c r="X41" s="7">
        <f t="shared" ref="X41:X64" si="28">SUM(P41:U41)</f>
        <v>0.70940302804799671</v>
      </c>
      <c r="Y41" s="7">
        <f t="shared" ref="Y41:Y64" si="29">W41-(X41+V41)</f>
        <v>0</v>
      </c>
      <c r="Z41" s="24"/>
      <c r="AA41">
        <f t="shared" si="16"/>
        <v>1993</v>
      </c>
      <c r="AB41" s="2">
        <f t="shared" si="3"/>
        <v>23608.767599999999</v>
      </c>
      <c r="AC41" s="2">
        <f t="shared" si="4"/>
        <v>38628.697020000007</v>
      </c>
      <c r="AD41" s="2"/>
      <c r="AE41" s="2"/>
      <c r="AF41" s="2">
        <f t="shared" si="5"/>
        <v>23822.723652000001</v>
      </c>
      <c r="AG41" s="2"/>
      <c r="AH41" s="2">
        <f t="shared" si="6"/>
        <v>35253.345599999993</v>
      </c>
      <c r="AI41" s="2">
        <f t="shared" si="17"/>
        <v>121313.533872</v>
      </c>
      <c r="AJ41" s="2">
        <f t="shared" si="7"/>
        <v>0</v>
      </c>
    </row>
    <row r="42" spans="1:36" x14ac:dyDescent="0.25">
      <c r="A42">
        <f t="shared" si="8"/>
        <v>1994</v>
      </c>
      <c r="B42" s="2">
        <f t="shared" si="18"/>
        <v>23887.35105768</v>
      </c>
      <c r="C42" s="2">
        <f t="shared" si="19"/>
        <v>37947.286804567208</v>
      </c>
      <c r="D42" s="2"/>
      <c r="E42" s="2"/>
      <c r="F42" s="2">
        <f t="shared" si="20"/>
        <v>25074.607779912603</v>
      </c>
      <c r="G42" s="2"/>
      <c r="H42" s="2">
        <f t="shared" si="21"/>
        <v>34315.606607039997</v>
      </c>
      <c r="I42" s="2">
        <f t="shared" si="22"/>
        <v>121224.85224919982</v>
      </c>
      <c r="J42" s="2">
        <f t="shared" si="23"/>
        <v>-88.681622800184414</v>
      </c>
      <c r="K42" s="6">
        <f t="shared" si="24"/>
        <v>-7.3101178384395204E-4</v>
      </c>
      <c r="L42" s="7">
        <f t="shared" si="25"/>
        <v>0.99926898821615606</v>
      </c>
      <c r="O42">
        <f t="shared" si="26"/>
        <v>1994</v>
      </c>
      <c r="P42" s="6">
        <f t="shared" si="13"/>
        <v>0.1970499498615613</v>
      </c>
      <c r="Q42" s="6">
        <f t="shared" si="13"/>
        <v>0.31303223803118879</v>
      </c>
      <c r="R42" s="7"/>
      <c r="S42" s="7"/>
      <c r="T42" s="6">
        <f t="shared" si="14"/>
        <v>0.20684378916269719</v>
      </c>
      <c r="U42" s="7"/>
      <c r="V42" s="6">
        <f t="shared" si="15"/>
        <v>0.28307402294455269</v>
      </c>
      <c r="W42" s="6">
        <f t="shared" si="27"/>
        <v>1</v>
      </c>
      <c r="X42" s="7">
        <f t="shared" si="28"/>
        <v>0.71692597705544725</v>
      </c>
      <c r="Y42" s="7">
        <f t="shared" si="29"/>
        <v>0</v>
      </c>
      <c r="Z42" s="24"/>
      <c r="AA42">
        <f t="shared" si="16"/>
        <v>1994</v>
      </c>
      <c r="AB42" s="2">
        <f t="shared" si="3"/>
        <v>23887.35105768</v>
      </c>
      <c r="AC42" s="2">
        <f t="shared" si="4"/>
        <v>37947.286804567208</v>
      </c>
      <c r="AD42" s="2"/>
      <c r="AE42" s="2"/>
      <c r="AF42" s="2">
        <f t="shared" si="5"/>
        <v>25074.607779912603</v>
      </c>
      <c r="AG42" s="2"/>
      <c r="AH42" s="2">
        <f t="shared" si="6"/>
        <v>34315.606607039997</v>
      </c>
      <c r="AI42" s="2">
        <f t="shared" si="17"/>
        <v>121224.85224919982</v>
      </c>
      <c r="AJ42" s="2">
        <f t="shared" si="7"/>
        <v>0</v>
      </c>
    </row>
    <row r="43" spans="1:36" x14ac:dyDescent="0.25">
      <c r="A43">
        <f t="shared" si="8"/>
        <v>1995</v>
      </c>
      <c r="B43" s="2">
        <f t="shared" si="18"/>
        <v>32833.164028781161</v>
      </c>
      <c r="C43" s="2">
        <f t="shared" si="19"/>
        <v>50772.33132590678</v>
      </c>
      <c r="D43" s="2"/>
      <c r="E43" s="2"/>
      <c r="F43" s="2">
        <f t="shared" si="20"/>
        <v>27493.304446362974</v>
      </c>
      <c r="G43" s="2"/>
      <c r="H43" s="2">
        <f t="shared" si="21"/>
        <v>40554.18388819987</v>
      </c>
      <c r="I43" s="2">
        <f t="shared" si="22"/>
        <v>151652.98368925077</v>
      </c>
      <c r="J43" s="2">
        <f t="shared" si="23"/>
        <v>30428.131440050958</v>
      </c>
      <c r="K43" s="6">
        <f t="shared" si="24"/>
        <v>0.25100572098450885</v>
      </c>
      <c r="L43" s="7">
        <f t="shared" si="25"/>
        <v>1.2510057209845089</v>
      </c>
      <c r="O43">
        <f t="shared" si="26"/>
        <v>1995</v>
      </c>
      <c r="P43" s="6">
        <f t="shared" si="13"/>
        <v>0.21650193243846075</v>
      </c>
      <c r="Q43" s="6">
        <f t="shared" si="13"/>
        <v>0.33479282827658302</v>
      </c>
      <c r="R43" s="7"/>
      <c r="S43" s="7"/>
      <c r="T43" s="6">
        <f t="shared" si="14"/>
        <v>0.18129089041003624</v>
      </c>
      <c r="U43" s="7"/>
      <c r="V43" s="6">
        <f t="shared" si="15"/>
        <v>0.26741434887492005</v>
      </c>
      <c r="W43" s="6">
        <f t="shared" si="27"/>
        <v>1</v>
      </c>
      <c r="X43" s="7">
        <f t="shared" si="28"/>
        <v>0.73258565112508001</v>
      </c>
      <c r="Y43" s="7">
        <f t="shared" si="29"/>
        <v>0</v>
      </c>
      <c r="Z43" s="24"/>
      <c r="AA43">
        <f t="shared" si="16"/>
        <v>1995</v>
      </c>
      <c r="AB43" s="2">
        <f t="shared" si="3"/>
        <v>32833.164028781161</v>
      </c>
      <c r="AC43" s="2">
        <f t="shared" si="4"/>
        <v>50772.33132590678</v>
      </c>
      <c r="AD43" s="2"/>
      <c r="AE43" s="2"/>
      <c r="AF43" s="2">
        <f t="shared" si="5"/>
        <v>27493.304446362974</v>
      </c>
      <c r="AG43" s="2"/>
      <c r="AH43" s="2">
        <f t="shared" si="6"/>
        <v>40554.18388819987</v>
      </c>
      <c r="AI43" s="2">
        <f t="shared" si="17"/>
        <v>151652.98368925077</v>
      </c>
      <c r="AJ43" s="2">
        <f t="shared" si="7"/>
        <v>0</v>
      </c>
    </row>
    <row r="44" spans="1:36" x14ac:dyDescent="0.25">
      <c r="A44">
        <f t="shared" si="8"/>
        <v>1996</v>
      </c>
      <c r="B44" s="2">
        <f t="shared" si="18"/>
        <v>40345.391958566295</v>
      </c>
      <c r="C44" s="2">
        <f t="shared" si="19"/>
        <v>59732.124634989545</v>
      </c>
      <c r="D44" s="2"/>
      <c r="E44" s="2"/>
      <c r="F44" s="2">
        <f t="shared" si="20"/>
        <v>30302.845227736805</v>
      </c>
      <c r="G44" s="2"/>
      <c r="H44" s="2">
        <f t="shared" si="21"/>
        <v>42006.02367139743</v>
      </c>
      <c r="I44" s="2">
        <f t="shared" si="22"/>
        <v>172386.38549269008</v>
      </c>
      <c r="J44" s="2">
        <f t="shared" si="23"/>
        <v>20733.401803439308</v>
      </c>
      <c r="K44" s="6">
        <f t="shared" si="24"/>
        <v>0.13671608232861232</v>
      </c>
      <c r="L44" s="7">
        <f t="shared" si="25"/>
        <v>1.1367160823286122</v>
      </c>
      <c r="O44">
        <f t="shared" si="26"/>
        <v>1996</v>
      </c>
      <c r="P44" s="6">
        <f t="shared" si="13"/>
        <v>0.23404047740346126</v>
      </c>
      <c r="Q44" s="6">
        <f t="shared" si="13"/>
        <v>0.34650140418149461</v>
      </c>
      <c r="R44" s="7"/>
      <c r="S44" s="7"/>
      <c r="T44" s="6">
        <f t="shared" si="14"/>
        <v>0.17578444574453808</v>
      </c>
      <c r="U44" s="7"/>
      <c r="V44" s="6">
        <f t="shared" si="15"/>
        <v>0.24367367267050602</v>
      </c>
      <c r="W44" s="6">
        <f t="shared" si="27"/>
        <v>1</v>
      </c>
      <c r="X44" s="7">
        <f t="shared" si="28"/>
        <v>0.75632632732949401</v>
      </c>
      <c r="Y44" s="7">
        <f t="shared" si="29"/>
        <v>0</v>
      </c>
      <c r="Z44" s="24"/>
      <c r="AA44">
        <f t="shared" si="16"/>
        <v>1996</v>
      </c>
      <c r="AB44" s="2">
        <f t="shared" si="3"/>
        <v>40345.391958566295</v>
      </c>
      <c r="AC44" s="2">
        <f t="shared" si="4"/>
        <v>59732.124634989545</v>
      </c>
      <c r="AD44" s="2"/>
      <c r="AE44" s="2"/>
      <c r="AF44" s="2">
        <f t="shared" si="5"/>
        <v>30302.845227736805</v>
      </c>
      <c r="AG44" s="2"/>
      <c r="AH44" s="2">
        <f t="shared" si="6"/>
        <v>42006.02367139743</v>
      </c>
      <c r="AI44" s="2">
        <f t="shared" si="17"/>
        <v>172386.38549269008</v>
      </c>
      <c r="AJ44" s="2">
        <f t="shared" si="7"/>
        <v>0</v>
      </c>
    </row>
    <row r="45" spans="1:36" x14ac:dyDescent="0.25">
      <c r="A45">
        <f t="shared" si="8"/>
        <v>1997</v>
      </c>
      <c r="B45" s="2">
        <f t="shared" si="18"/>
        <v>53736.027549614453</v>
      </c>
      <c r="C45" s="2">
        <f t="shared" si="19"/>
        <v>75672.836736329205</v>
      </c>
      <c r="D45" s="2"/>
      <c r="E45" s="2"/>
      <c r="F45" s="2"/>
      <c r="G45" s="2">
        <f>AF44*(1+(G9/100))</f>
        <v>30067.998177221845</v>
      </c>
      <c r="H45" s="2">
        <f t="shared" si="21"/>
        <v>45971.392305977351</v>
      </c>
      <c r="I45" s="2">
        <f t="shared" si="22"/>
        <v>205448.25476914283</v>
      </c>
      <c r="J45" s="2">
        <f t="shared" si="23"/>
        <v>33061.869276452751</v>
      </c>
      <c r="K45" s="6">
        <f t="shared" si="24"/>
        <v>0.19178932942969976</v>
      </c>
      <c r="L45" s="7">
        <f t="shared" si="25"/>
        <v>1.1917893294296997</v>
      </c>
      <c r="O45">
        <f t="shared" si="26"/>
        <v>1997</v>
      </c>
      <c r="P45" s="6">
        <f t="shared" si="13"/>
        <v>0.2615550451377468</v>
      </c>
      <c r="Q45" s="6">
        <f t="shared" si="13"/>
        <v>0.3683303945383275</v>
      </c>
      <c r="R45" s="7"/>
      <c r="S45" s="7"/>
      <c r="T45" s="6">
        <f t="shared" si="14"/>
        <v>0</v>
      </c>
      <c r="U45" s="7"/>
      <c r="V45" s="6">
        <f t="shared" si="15"/>
        <v>0.22376141553324111</v>
      </c>
      <c r="W45" s="6">
        <f t="shared" si="27"/>
        <v>0.85364685520931538</v>
      </c>
      <c r="X45" s="7">
        <f t="shared" si="28"/>
        <v>0.62988543967607424</v>
      </c>
      <c r="Y45" s="7">
        <f t="shared" si="29"/>
        <v>0</v>
      </c>
      <c r="Z45" s="24"/>
      <c r="AA45">
        <f t="shared" si="16"/>
        <v>1997</v>
      </c>
      <c r="AB45" s="2">
        <f t="shared" si="3"/>
        <v>53736.027549614453</v>
      </c>
      <c r="AC45" s="2">
        <f t="shared" si="4"/>
        <v>75672.836736329205</v>
      </c>
      <c r="AD45" s="2"/>
      <c r="AE45" s="2"/>
      <c r="AF45" s="2"/>
      <c r="AG45" s="2">
        <f>G45</f>
        <v>30067.998177221845</v>
      </c>
      <c r="AH45" s="2">
        <f t="shared" si="6"/>
        <v>45971.392305977351</v>
      </c>
      <c r="AI45" s="2">
        <f t="shared" si="17"/>
        <v>205448.25476914283</v>
      </c>
      <c r="AJ45" s="2">
        <f t="shared" si="7"/>
        <v>0</v>
      </c>
    </row>
    <row r="46" spans="1:36" x14ac:dyDescent="0.25">
      <c r="A46">
        <f t="shared" si="8"/>
        <v>1998</v>
      </c>
      <c r="B46" s="2">
        <f t="shared" si="18"/>
        <v>69136.773045333946</v>
      </c>
      <c r="C46" s="2">
        <f t="shared" si="19"/>
        <v>81993.788788914797</v>
      </c>
      <c r="D46" s="2"/>
      <c r="E46" s="2"/>
      <c r="F46" s="2"/>
      <c r="G46" s="2">
        <f t="shared" ref="G46:G64" si="30">AG45*(1+(G10/100))</f>
        <v>34759.507932813765</v>
      </c>
      <c r="H46" s="2">
        <f t="shared" si="21"/>
        <v>49915.737765830214</v>
      </c>
      <c r="I46" s="2">
        <f t="shared" si="22"/>
        <v>235805.80753289271</v>
      </c>
      <c r="J46" s="2">
        <f t="shared" si="23"/>
        <v>30357.552763749874</v>
      </c>
      <c r="K46" s="6">
        <f t="shared" si="24"/>
        <v>0.1477625244267074</v>
      </c>
      <c r="L46" s="7">
        <f t="shared" si="25"/>
        <v>1.1477625244267073</v>
      </c>
      <c r="O46">
        <f t="shared" si="26"/>
        <v>1998</v>
      </c>
      <c r="P46" s="6">
        <f t="shared" si="13"/>
        <v>0.29319368241467086</v>
      </c>
      <c r="Q46" s="6">
        <f t="shared" si="13"/>
        <v>0.34771742751703616</v>
      </c>
      <c r="R46" s="7"/>
      <c r="S46" s="7"/>
      <c r="T46" s="6">
        <f t="shared" si="14"/>
        <v>0</v>
      </c>
      <c r="U46" s="7"/>
      <c r="V46" s="6">
        <f t="shared" si="15"/>
        <v>0.21168154545501358</v>
      </c>
      <c r="W46" s="6">
        <f t="shared" si="27"/>
        <v>0.85259265538672069</v>
      </c>
      <c r="X46" s="7">
        <f t="shared" si="28"/>
        <v>0.64091110993170708</v>
      </c>
      <c r="Y46" s="7">
        <f t="shared" si="29"/>
        <v>0</v>
      </c>
      <c r="Z46" s="24"/>
      <c r="AA46">
        <f t="shared" si="16"/>
        <v>1998</v>
      </c>
      <c r="AB46" s="2">
        <f t="shared" si="3"/>
        <v>69136.773045333946</v>
      </c>
      <c r="AC46" s="2">
        <f t="shared" si="4"/>
        <v>81993.788788914797</v>
      </c>
      <c r="AD46" s="2"/>
      <c r="AE46" s="2"/>
      <c r="AF46" s="2"/>
      <c r="AG46" s="2">
        <f t="shared" si="5"/>
        <v>34759.507932813765</v>
      </c>
      <c r="AH46" s="2">
        <f t="shared" si="6"/>
        <v>49915.737765830214</v>
      </c>
      <c r="AI46" s="2">
        <f t="shared" si="17"/>
        <v>235805.80753289271</v>
      </c>
      <c r="AJ46" s="2">
        <f t="shared" si="7"/>
        <v>0</v>
      </c>
    </row>
    <row r="47" spans="1:36" x14ac:dyDescent="0.25">
      <c r="A47">
        <f t="shared" si="8"/>
        <v>1999</v>
      </c>
      <c r="B47" s="2">
        <f t="shared" si="18"/>
        <v>83703.891125985814</v>
      </c>
      <c r="C47" s="2"/>
      <c r="D47" s="2">
        <f>($AC46*0.67)*(1+(D11/100))</f>
        <v>63351.4595866374</v>
      </c>
      <c r="E47" s="2">
        <f>($AC46*0.33)*(1+(E11/100))</f>
        <v>33317.265943319973</v>
      </c>
      <c r="F47" s="2"/>
      <c r="G47" s="2">
        <f t="shared" si="30"/>
        <v>45159.205111232317</v>
      </c>
      <c r="H47" s="2">
        <f t="shared" si="21"/>
        <v>49536.378158809901</v>
      </c>
      <c r="I47" s="2">
        <f t="shared" si="22"/>
        <v>275068.19992598542</v>
      </c>
      <c r="J47" s="2">
        <f t="shared" si="23"/>
        <v>39262.392393092712</v>
      </c>
      <c r="K47" s="6">
        <f t="shared" si="24"/>
        <v>0.16650307642493484</v>
      </c>
      <c r="L47" s="7">
        <f t="shared" si="25"/>
        <v>1.1665030764249349</v>
      </c>
      <c r="O47">
        <f t="shared" si="26"/>
        <v>1999</v>
      </c>
      <c r="P47" s="6">
        <f t="shared" si="13"/>
        <v>0.30430231901945998</v>
      </c>
      <c r="Q47" s="6">
        <f t="shared" si="13"/>
        <v>0</v>
      </c>
      <c r="R47" s="7"/>
      <c r="S47" s="7"/>
      <c r="T47" s="6">
        <f t="shared" si="14"/>
        <v>0</v>
      </c>
      <c r="U47" s="7"/>
      <c r="V47" s="6">
        <f t="shared" si="15"/>
        <v>0.18008762253193575</v>
      </c>
      <c r="W47" s="6">
        <f t="shared" si="27"/>
        <v>0.4843899415513957</v>
      </c>
      <c r="X47" s="7">
        <f t="shared" si="28"/>
        <v>0.30430231901945998</v>
      </c>
      <c r="Y47" s="7">
        <f t="shared" si="29"/>
        <v>0</v>
      </c>
      <c r="Z47" s="24"/>
      <c r="AA47">
        <f t="shared" si="16"/>
        <v>1999</v>
      </c>
      <c r="AB47" s="2">
        <f t="shared" si="3"/>
        <v>83703.891125985814</v>
      </c>
      <c r="AC47" s="2"/>
      <c r="AD47" s="2">
        <f t="shared" ref="AD47" si="31">D47</f>
        <v>63351.4595866374</v>
      </c>
      <c r="AE47" s="2">
        <f t="shared" ref="AE47" si="32">E47</f>
        <v>33317.265943319973</v>
      </c>
      <c r="AF47" s="2"/>
      <c r="AG47" s="2">
        <f>G47</f>
        <v>45159.205111232317</v>
      </c>
      <c r="AH47" s="2">
        <f t="shared" si="6"/>
        <v>49536.378158809901</v>
      </c>
      <c r="AI47" s="2">
        <f t="shared" si="17"/>
        <v>275068.19992598542</v>
      </c>
      <c r="AJ47" s="2">
        <f t="shared" si="7"/>
        <v>0</v>
      </c>
    </row>
    <row r="48" spans="1:36" x14ac:dyDescent="0.25">
      <c r="A48">
        <f t="shared" si="8"/>
        <v>2000</v>
      </c>
      <c r="B48" s="2">
        <f t="shared" si="18"/>
        <v>76120.318589971503</v>
      </c>
      <c r="C48" s="2"/>
      <c r="D48" s="2">
        <f t="shared" ref="D48:D49" si="33">AD47*(1+(D12/100))</f>
        <v>74816.806742627028</v>
      </c>
      <c r="E48" s="2">
        <f t="shared" ref="E48:E49" si="34">AE47*(1+(E12/100))</f>
        <v>32429.360805930497</v>
      </c>
      <c r="F48" s="2"/>
      <c r="G48" s="2">
        <f t="shared" si="30"/>
        <v>38108.046825164507</v>
      </c>
      <c r="H48" s="2">
        <f t="shared" si="21"/>
        <v>55178.571631098355</v>
      </c>
      <c r="I48" s="2">
        <f t="shared" si="22"/>
        <v>276653.10459479189</v>
      </c>
      <c r="J48" s="2">
        <f t="shared" si="23"/>
        <v>1584.90466880647</v>
      </c>
      <c r="K48" s="6">
        <f t="shared" si="24"/>
        <v>5.7618607648318911E-3</v>
      </c>
      <c r="L48" s="7">
        <f t="shared" si="25"/>
        <v>1.005761860764832</v>
      </c>
      <c r="O48">
        <f t="shared" si="26"/>
        <v>2000</v>
      </c>
      <c r="P48" s="6">
        <f t="shared" si="13"/>
        <v>0.27514716923731386</v>
      </c>
      <c r="Q48" s="6">
        <f t="shared" si="13"/>
        <v>0</v>
      </c>
      <c r="R48" s="7"/>
      <c r="S48" s="7"/>
      <c r="T48" s="6">
        <f t="shared" si="14"/>
        <v>0</v>
      </c>
      <c r="U48" s="6"/>
      <c r="V48" s="6">
        <f t="shared" si="15"/>
        <v>0.19945039731947803</v>
      </c>
      <c r="W48" s="6">
        <f t="shared" si="27"/>
        <v>0.47459756655679186</v>
      </c>
      <c r="X48" s="7">
        <f t="shared" si="28"/>
        <v>0.27514716923731386</v>
      </c>
      <c r="Y48" s="7">
        <f t="shared" si="29"/>
        <v>0</v>
      </c>
      <c r="Z48" s="24"/>
      <c r="AA48">
        <f t="shared" si="16"/>
        <v>2000</v>
      </c>
      <c r="AB48" s="2">
        <f t="shared" si="3"/>
        <v>76120.318589971503</v>
      </c>
      <c r="AC48" s="2"/>
      <c r="AD48" s="2">
        <f t="shared" ref="AD48" si="35">D48</f>
        <v>74816.806742627028</v>
      </c>
      <c r="AE48" s="2">
        <f t="shared" ref="AE48" si="36">E48</f>
        <v>32429.360805930497</v>
      </c>
      <c r="AF48" s="2"/>
      <c r="AG48" s="2">
        <f>G48</f>
        <v>38108.046825164507</v>
      </c>
      <c r="AH48" s="2">
        <f t="shared" si="6"/>
        <v>55178.571631098355</v>
      </c>
      <c r="AI48" s="2">
        <f t="shared" si="17"/>
        <v>276653.10459479189</v>
      </c>
      <c r="AJ48" s="2">
        <f t="shared" si="7"/>
        <v>0</v>
      </c>
    </row>
    <row r="49" spans="1:36" x14ac:dyDescent="0.25">
      <c r="A49">
        <f t="shared" si="8"/>
        <v>2001</v>
      </c>
      <c r="B49" s="2">
        <f t="shared" si="18"/>
        <v>66970.656295456924</v>
      </c>
      <c r="C49" s="2"/>
      <c r="D49" s="2">
        <f t="shared" si="33"/>
        <v>74443.470876981315</v>
      </c>
      <c r="E49" s="2">
        <f t="shared" si="34"/>
        <v>33434.670990914339</v>
      </c>
      <c r="F49" s="2"/>
      <c r="G49" s="2">
        <f t="shared" si="30"/>
        <v>30428.132148489105</v>
      </c>
      <c r="H49" s="2">
        <f t="shared" si="21"/>
        <v>59830.125219599948</v>
      </c>
      <c r="I49" s="2">
        <f t="shared" si="22"/>
        <v>265107.05553144164</v>
      </c>
      <c r="J49" s="2">
        <f t="shared" si="23"/>
        <v>-11546.049063350249</v>
      </c>
      <c r="K49" s="6">
        <f t="shared" si="24"/>
        <v>-4.1734753276170565E-2</v>
      </c>
      <c r="L49" s="7">
        <f t="shared" si="25"/>
        <v>0.9582652467238294</v>
      </c>
      <c r="O49">
        <f t="shared" si="26"/>
        <v>2001</v>
      </c>
      <c r="P49" s="6">
        <f t="shared" si="13"/>
        <v>0.25261740454702541</v>
      </c>
      <c r="Q49" s="6">
        <f t="shared" si="13"/>
        <v>0</v>
      </c>
      <c r="R49" s="7"/>
      <c r="S49" s="7"/>
      <c r="T49" s="6"/>
      <c r="U49" s="6">
        <f t="shared" si="13"/>
        <v>0.11477677230238911</v>
      </c>
      <c r="V49" s="6">
        <f t="shared" si="15"/>
        <v>0.2256828853523444</v>
      </c>
      <c r="W49" s="6">
        <f t="shared" si="27"/>
        <v>0.59307706220175893</v>
      </c>
      <c r="X49" s="7">
        <f t="shared" si="28"/>
        <v>0.36739417684941456</v>
      </c>
      <c r="Y49" s="7">
        <f t="shared" si="29"/>
        <v>0</v>
      </c>
      <c r="Z49" s="24"/>
      <c r="AA49">
        <f t="shared" si="16"/>
        <v>2001</v>
      </c>
      <c r="AB49" s="2">
        <f t="shared" si="3"/>
        <v>66970.656295456924</v>
      </c>
      <c r="AC49" s="2"/>
      <c r="AD49" s="2">
        <f t="shared" ref="AD49" si="37">D49</f>
        <v>74443.470876981315</v>
      </c>
      <c r="AE49" s="2">
        <f t="shared" ref="AE49" si="38">E49</f>
        <v>33434.670990914339</v>
      </c>
      <c r="AF49" s="2"/>
      <c r="AG49" s="2">
        <f>G49</f>
        <v>30428.132148489105</v>
      </c>
      <c r="AH49" s="2">
        <f t="shared" si="6"/>
        <v>59830.125219599948</v>
      </c>
      <c r="AI49" s="2">
        <f t="shared" si="17"/>
        <v>265107.05553144164</v>
      </c>
      <c r="AJ49" s="2">
        <f t="shared" si="7"/>
        <v>0</v>
      </c>
    </row>
    <row r="50" spans="1:36" x14ac:dyDescent="0.25">
      <c r="A50">
        <f t="shared" si="8"/>
        <v>2002</v>
      </c>
      <c r="B50" s="2">
        <f t="shared" si="18"/>
        <v>52136.655926013213</v>
      </c>
      <c r="C50" s="2"/>
      <c r="D50" s="2">
        <f t="shared" ref="D50:D51" si="39">AD49*(1+(D14/100))</f>
        <v>63568.768651271886</v>
      </c>
      <c r="E50" s="2">
        <f t="shared" ref="E50:E51" si="40">AE49*(1+(E14/100))</f>
        <v>26740.381165113471</v>
      </c>
      <c r="F50" s="2"/>
      <c r="G50" s="2">
        <f t="shared" si="30"/>
        <v>25838.656976532493</v>
      </c>
      <c r="H50" s="2">
        <f t="shared" si="21"/>
        <v>64772.093562738904</v>
      </c>
      <c r="I50" s="2">
        <f t="shared" si="22"/>
        <v>233056.55628166997</v>
      </c>
      <c r="J50" s="2">
        <f t="shared" si="23"/>
        <v>-32050.499249771674</v>
      </c>
      <c r="K50" s="6">
        <f t="shared" si="24"/>
        <v>-0.12089644006464585</v>
      </c>
      <c r="L50" s="7">
        <f t="shared" si="25"/>
        <v>0.87910355993535416</v>
      </c>
      <c r="O50">
        <f t="shared" si="26"/>
        <v>2002</v>
      </c>
      <c r="P50" s="6">
        <f t="shared" si="13"/>
        <v>0.22370817091711137</v>
      </c>
      <c r="Q50" s="6">
        <f t="shared" si="13"/>
        <v>0</v>
      </c>
      <c r="R50" s="7"/>
      <c r="S50" s="7"/>
      <c r="T50" s="7"/>
      <c r="U50" s="6">
        <f t="shared" si="13"/>
        <v>0.11086861227497129</v>
      </c>
      <c r="V50" s="6">
        <f t="shared" si="15"/>
        <v>0.27792435705801799</v>
      </c>
      <c r="W50" s="6">
        <f t="shared" si="27"/>
        <v>0.61250114025010061</v>
      </c>
      <c r="X50" s="7">
        <f t="shared" si="28"/>
        <v>0.33457678319208267</v>
      </c>
      <c r="Y50" s="7">
        <f t="shared" si="29"/>
        <v>0</v>
      </c>
      <c r="Z50" s="24"/>
      <c r="AA50">
        <f t="shared" si="16"/>
        <v>2002</v>
      </c>
      <c r="AB50" s="40">
        <v>0</v>
      </c>
      <c r="AC50" s="40"/>
      <c r="AD50" s="40">
        <v>0</v>
      </c>
      <c r="AE50" s="40">
        <v>0</v>
      </c>
      <c r="AF50" s="40"/>
      <c r="AG50" s="40">
        <v>0</v>
      </c>
      <c r="AH50" s="40">
        <f>I50</f>
        <v>233056.55628166997</v>
      </c>
      <c r="AI50" s="2">
        <f t="shared" si="17"/>
        <v>233056.55628166997</v>
      </c>
      <c r="AJ50" s="2">
        <f t="shared" si="7"/>
        <v>0</v>
      </c>
    </row>
    <row r="51" spans="1:36" x14ac:dyDescent="0.25">
      <c r="A51">
        <f t="shared" si="8"/>
        <v>2003</v>
      </c>
      <c r="B51" s="2">
        <f t="shared" ref="B51:B64" si="41">AB50*(1+(B15/100))</f>
        <v>0</v>
      </c>
      <c r="C51" s="2"/>
      <c r="D51" s="2">
        <f t="shared" si="39"/>
        <v>0</v>
      </c>
      <c r="E51" s="2">
        <f t="shared" si="40"/>
        <v>0</v>
      </c>
      <c r="F51" s="2"/>
      <c r="G51" s="2">
        <f t="shared" si="30"/>
        <v>0</v>
      </c>
      <c r="H51" s="2">
        <f t="shared" si="21"/>
        <v>242308.90156605229</v>
      </c>
      <c r="I51" s="2">
        <f t="shared" si="22"/>
        <v>242308.90156605229</v>
      </c>
      <c r="J51" s="2">
        <f t="shared" si="23"/>
        <v>9252.3452843823179</v>
      </c>
      <c r="K51" s="6">
        <f t="shared" si="24"/>
        <v>3.9700000000000089E-2</v>
      </c>
      <c r="L51" s="7">
        <f t="shared" si="25"/>
        <v>1.0397000000000001</v>
      </c>
      <c r="O51">
        <f t="shared" si="26"/>
        <v>2003</v>
      </c>
      <c r="P51" s="6">
        <f t="shared" si="13"/>
        <v>0</v>
      </c>
      <c r="Q51" s="7"/>
      <c r="R51" s="6">
        <f t="shared" si="13"/>
        <v>0</v>
      </c>
      <c r="S51" s="6">
        <f t="shared" si="13"/>
        <v>0</v>
      </c>
      <c r="T51" s="7"/>
      <c r="U51" s="6">
        <f t="shared" si="13"/>
        <v>0</v>
      </c>
      <c r="V51" s="6">
        <f t="shared" si="15"/>
        <v>1</v>
      </c>
      <c r="W51" s="6">
        <f t="shared" si="27"/>
        <v>1</v>
      </c>
      <c r="X51" s="7">
        <f t="shared" si="28"/>
        <v>0</v>
      </c>
      <c r="Y51" s="7">
        <f t="shared" si="29"/>
        <v>0</v>
      </c>
      <c r="Z51" s="24"/>
      <c r="AA51">
        <f t="shared" si="16"/>
        <v>2003</v>
      </c>
      <c r="AB51" s="40">
        <f>$I51*P$39</f>
        <v>48461.78031321046</v>
      </c>
      <c r="AC51" s="40"/>
      <c r="AD51" s="40">
        <f>$I51*R$39</f>
        <v>48461.78031321046</v>
      </c>
      <c r="AE51" s="40">
        <f>$I51*S$39</f>
        <v>24230.89015660523</v>
      </c>
      <c r="AF51" s="40"/>
      <c r="AG51" s="40">
        <f>$I51*U$39</f>
        <v>48461.78031321046</v>
      </c>
      <c r="AH51" s="40">
        <f>$I51*V$39</f>
        <v>72692.670469815683</v>
      </c>
      <c r="AI51" s="2">
        <f t="shared" si="17"/>
        <v>242308.90156605229</v>
      </c>
      <c r="AJ51" s="2">
        <f t="shared" si="7"/>
        <v>0</v>
      </c>
    </row>
    <row r="52" spans="1:36" x14ac:dyDescent="0.25">
      <c r="A52">
        <f t="shared" si="8"/>
        <v>2004</v>
      </c>
      <c r="B52" s="2">
        <f t="shared" si="41"/>
        <v>53666.575518849262</v>
      </c>
      <c r="C52" s="2"/>
      <c r="D52" s="2">
        <f t="shared" ref="D52:D64" si="42">AD51*(1+(D16/100))</f>
        <v>58325.206460358182</v>
      </c>
      <c r="E52" s="2">
        <f t="shared" ref="E52:E64" si="43">AE51*(1+(E16/100))</f>
        <v>29052.110371064973</v>
      </c>
      <c r="F52" s="2"/>
      <c r="G52" s="2">
        <f t="shared" si="30"/>
        <v>58559.76147707412</v>
      </c>
      <c r="H52" s="2">
        <f t="shared" si="21"/>
        <v>75774.839697735864</v>
      </c>
      <c r="I52" s="2">
        <f t="shared" si="22"/>
        <v>275378.49352508242</v>
      </c>
      <c r="J52" s="2">
        <f t="shared" si="23"/>
        <v>33069.591959030135</v>
      </c>
      <c r="K52" s="6">
        <f t="shared" si="24"/>
        <v>0.13647700000000007</v>
      </c>
      <c r="L52" s="7">
        <f t="shared" si="25"/>
        <v>1.1364770000000002</v>
      </c>
      <c r="O52">
        <f t="shared" si="26"/>
        <v>2004</v>
      </c>
      <c r="P52" s="6">
        <f t="shared" si="13"/>
        <v>0.19488295847606243</v>
      </c>
      <c r="Q52" s="7"/>
      <c r="R52" s="6">
        <f t="shared" si="13"/>
        <v>0.2118001508169545</v>
      </c>
      <c r="S52" s="6">
        <f t="shared" si="13"/>
        <v>0.10549883543617689</v>
      </c>
      <c r="T52" s="7"/>
      <c r="U52" s="6">
        <f t="shared" si="13"/>
        <v>0.21265190584587279</v>
      </c>
      <c r="V52" s="6">
        <f t="shared" si="15"/>
        <v>0.27516614942493334</v>
      </c>
      <c r="W52" s="6">
        <f t="shared" si="27"/>
        <v>0.99999999999999989</v>
      </c>
      <c r="X52" s="7">
        <f t="shared" si="28"/>
        <v>0.72483385057506655</v>
      </c>
      <c r="Y52" s="7">
        <f t="shared" si="29"/>
        <v>0</v>
      </c>
      <c r="Z52" s="24"/>
      <c r="AA52">
        <f t="shared" si="16"/>
        <v>2004</v>
      </c>
      <c r="AB52" s="2">
        <f>B52</f>
        <v>53666.575518849262</v>
      </c>
      <c r="AC52" s="2"/>
      <c r="AD52" s="2">
        <f t="shared" ref="AD52" si="44">D52</f>
        <v>58325.206460358182</v>
      </c>
      <c r="AE52" s="2">
        <f t="shared" ref="AE52" si="45">E52</f>
        <v>29052.110371064973</v>
      </c>
      <c r="AF52" s="2"/>
      <c r="AG52" s="2">
        <f t="shared" ref="AG52" si="46">G52</f>
        <v>58559.76147707412</v>
      </c>
      <c r="AH52" s="2">
        <f t="shared" ref="AH52" si="47">H52</f>
        <v>75774.839697735864</v>
      </c>
      <c r="AI52" s="2">
        <f t="shared" si="17"/>
        <v>275378.49352508242</v>
      </c>
      <c r="AJ52" s="2">
        <f t="shared" si="7"/>
        <v>0</v>
      </c>
    </row>
    <row r="53" spans="1:36" x14ac:dyDescent="0.25">
      <c r="A53">
        <f t="shared" si="8"/>
        <v>2005</v>
      </c>
      <c r="B53" s="2">
        <f t="shared" si="41"/>
        <v>56226.471171098376</v>
      </c>
      <c r="C53" s="2"/>
      <c r="D53" s="2">
        <f t="shared" si="42"/>
        <v>66450.490972350686</v>
      </c>
      <c r="E53" s="2">
        <f t="shared" si="43"/>
        <v>31191.21725768649</v>
      </c>
      <c r="F53" s="2"/>
      <c r="G53" s="2">
        <f t="shared" si="30"/>
        <v>67678.101936669336</v>
      </c>
      <c r="H53" s="2">
        <f t="shared" si="21"/>
        <v>77593.435850481532</v>
      </c>
      <c r="I53" s="2">
        <f t="shared" si="22"/>
        <v>299139.71718828636</v>
      </c>
      <c r="J53" s="2">
        <f t="shared" si="23"/>
        <v>23761.223663203942</v>
      </c>
      <c r="K53" s="6">
        <f t="shared" si="24"/>
        <v>8.6285691228242881E-2</v>
      </c>
      <c r="L53" s="7">
        <f t="shared" si="25"/>
        <v>1.0862856912282428</v>
      </c>
      <c r="O53">
        <f t="shared" si="26"/>
        <v>2005</v>
      </c>
      <c r="P53" s="6">
        <f t="shared" si="13"/>
        <v>0.1879605680569256</v>
      </c>
      <c r="Q53" s="7"/>
      <c r="R53" s="6">
        <f t="shared" si="13"/>
        <v>0.22213864343037074</v>
      </c>
      <c r="S53" s="6">
        <f t="shared" si="13"/>
        <v>0.10426972904455185</v>
      </c>
      <c r="T53" s="7"/>
      <c r="U53" s="6">
        <f t="shared" si="13"/>
        <v>0.22624244808679472</v>
      </c>
      <c r="V53" s="6">
        <f t="shared" si="15"/>
        <v>0.25938861138135727</v>
      </c>
      <c r="W53" s="6">
        <f t="shared" si="27"/>
        <v>1.0000000000000002</v>
      </c>
      <c r="X53" s="7">
        <f t="shared" si="28"/>
        <v>0.74061138861864295</v>
      </c>
      <c r="Y53" s="7">
        <f t="shared" si="29"/>
        <v>0</v>
      </c>
      <c r="Z53" s="24"/>
      <c r="AA53">
        <f t="shared" si="16"/>
        <v>2005</v>
      </c>
      <c r="AB53" s="2">
        <f>B53</f>
        <v>56226.471171098376</v>
      </c>
      <c r="AC53" s="2"/>
      <c r="AD53" s="2">
        <f t="shared" ref="AD53" si="48">D53</f>
        <v>66450.490972350686</v>
      </c>
      <c r="AE53" s="2">
        <f t="shared" ref="AE53" si="49">E53</f>
        <v>31191.21725768649</v>
      </c>
      <c r="AF53" s="2"/>
      <c r="AG53" s="2">
        <f t="shared" ref="AG53" si="50">G53</f>
        <v>67678.101936669336</v>
      </c>
      <c r="AH53" s="2">
        <f t="shared" ref="AH53" si="51">H53</f>
        <v>77593.435850481532</v>
      </c>
      <c r="AI53" s="2">
        <f t="shared" si="17"/>
        <v>299139.71718828636</v>
      </c>
      <c r="AJ53" s="2">
        <f t="shared" si="7"/>
        <v>0</v>
      </c>
    </row>
    <row r="54" spans="1:36" x14ac:dyDescent="0.25">
      <c r="A54">
        <f t="shared" si="8"/>
        <v>2006</v>
      </c>
      <c r="B54" s="2">
        <f t="shared" si="41"/>
        <v>65020.291262258164</v>
      </c>
      <c r="C54" s="2"/>
      <c r="D54" s="2">
        <f t="shared" si="42"/>
        <v>75485.764229861205</v>
      </c>
      <c r="E54" s="2">
        <f t="shared" si="43"/>
        <v>36074.514231549889</v>
      </c>
      <c r="F54" s="2"/>
      <c r="G54" s="2">
        <f t="shared" si="30"/>
        <v>85705.51794953995</v>
      </c>
      <c r="H54" s="2">
        <f t="shared" si="21"/>
        <v>80906.675561297088</v>
      </c>
      <c r="I54" s="2">
        <f t="shared" si="22"/>
        <v>343192.7632345063</v>
      </c>
      <c r="J54" s="2">
        <f t="shared" si="23"/>
        <v>44053.046046219941</v>
      </c>
      <c r="K54" s="6">
        <f t="shared" si="24"/>
        <v>0.14726578757340938</v>
      </c>
      <c r="L54" s="7">
        <f t="shared" si="25"/>
        <v>1.1472657875734094</v>
      </c>
      <c r="O54">
        <f t="shared" si="26"/>
        <v>2006</v>
      </c>
      <c r="P54" s="6">
        <f t="shared" si="13"/>
        <v>0.18945705803775731</v>
      </c>
      <c r="Q54" s="7"/>
      <c r="R54" s="6">
        <f t="shared" si="13"/>
        <v>0.21995150340125671</v>
      </c>
      <c r="S54" s="6">
        <f t="shared" si="13"/>
        <v>0.10511443741283055</v>
      </c>
      <c r="T54" s="7"/>
      <c r="U54" s="6">
        <f t="shared" si="13"/>
        <v>0.24972996849288659</v>
      </c>
      <c r="V54" s="6">
        <f t="shared" si="15"/>
        <v>0.23574703265526878</v>
      </c>
      <c r="W54" s="6">
        <f t="shared" si="27"/>
        <v>0.99999999999999989</v>
      </c>
      <c r="X54" s="7">
        <f t="shared" si="28"/>
        <v>0.76425296734473114</v>
      </c>
      <c r="Y54" s="7">
        <f t="shared" si="29"/>
        <v>0</v>
      </c>
      <c r="Z54" s="24"/>
      <c r="AA54">
        <f t="shared" si="16"/>
        <v>2006</v>
      </c>
      <c r="AB54" s="2">
        <f>B54</f>
        <v>65020.291262258164</v>
      </c>
      <c r="AC54" s="2"/>
      <c r="AD54" s="2">
        <f t="shared" ref="AD54" si="52">D54</f>
        <v>75485.764229861205</v>
      </c>
      <c r="AE54" s="2">
        <f t="shared" ref="AE54" si="53">E54</f>
        <v>36074.514231549889</v>
      </c>
      <c r="AF54" s="2"/>
      <c r="AG54" s="2">
        <f t="shared" ref="AG54" si="54">G54</f>
        <v>85705.51794953995</v>
      </c>
      <c r="AH54" s="2">
        <f t="shared" ref="AH54" si="55">H54</f>
        <v>80906.675561297088</v>
      </c>
      <c r="AI54" s="2">
        <f t="shared" si="17"/>
        <v>343192.7632345063</v>
      </c>
      <c r="AJ54" s="2">
        <f t="shared" si="7"/>
        <v>0</v>
      </c>
    </row>
    <row r="55" spans="1:36" x14ac:dyDescent="0.25">
      <c r="A55">
        <f t="shared" si="8"/>
        <v>2007</v>
      </c>
      <c r="B55" s="2">
        <f t="shared" si="41"/>
        <v>68524.884961293879</v>
      </c>
      <c r="C55" s="2"/>
      <c r="D55" s="2">
        <f t="shared" si="42"/>
        <v>80030.762094141159</v>
      </c>
      <c r="E55" s="2">
        <f t="shared" si="43"/>
        <v>36491.535616066605</v>
      </c>
      <c r="F55" s="2"/>
      <c r="G55" s="2">
        <f t="shared" si="30"/>
        <v>99008.728445667526</v>
      </c>
      <c r="H55" s="2">
        <f t="shared" si="21"/>
        <v>86505.417510138839</v>
      </c>
      <c r="I55" s="2">
        <f t="shared" si="22"/>
        <v>370561.32862730802</v>
      </c>
      <c r="J55" s="2">
        <f t="shared" si="23"/>
        <v>27368.565392801713</v>
      </c>
      <c r="K55" s="6">
        <f t="shared" si="24"/>
        <v>7.9746918713727535E-2</v>
      </c>
      <c r="L55" s="7">
        <f t="shared" si="25"/>
        <v>1.0797469187137276</v>
      </c>
      <c r="O55">
        <f t="shared" si="26"/>
        <v>2007</v>
      </c>
      <c r="P55" s="6">
        <f t="shared" si="13"/>
        <v>0.18492184604134115</v>
      </c>
      <c r="Q55" s="7"/>
      <c r="R55" s="6">
        <f t="shared" si="13"/>
        <v>0.21597170538707799</v>
      </c>
      <c r="S55" s="6">
        <f t="shared" si="13"/>
        <v>9.8476372996729941E-2</v>
      </c>
      <c r="T55" s="7"/>
      <c r="U55" s="6">
        <f t="shared" si="13"/>
        <v>0.26718580919501594</v>
      </c>
      <c r="V55" s="6">
        <f t="shared" si="15"/>
        <v>0.23344426637983492</v>
      </c>
      <c r="W55" s="6">
        <f t="shared" si="27"/>
        <v>1</v>
      </c>
      <c r="X55" s="7">
        <f t="shared" si="28"/>
        <v>0.76655573362016505</v>
      </c>
      <c r="Y55" s="7">
        <f t="shared" si="29"/>
        <v>0</v>
      </c>
      <c r="Z55" s="24"/>
      <c r="AA55">
        <f t="shared" si="16"/>
        <v>2007</v>
      </c>
      <c r="AB55" s="2">
        <f>B55</f>
        <v>68524.884961293879</v>
      </c>
      <c r="AC55" s="2"/>
      <c r="AD55" s="2">
        <f t="shared" ref="AD55" si="56">D55</f>
        <v>80030.762094141159</v>
      </c>
      <c r="AE55" s="2">
        <f t="shared" ref="AE55" si="57">E55</f>
        <v>36491.535616066605</v>
      </c>
      <c r="AF55" s="2"/>
      <c r="AG55" s="2">
        <f t="shared" ref="AG55" si="58">G55</f>
        <v>99008.728445667526</v>
      </c>
      <c r="AH55" s="2">
        <f t="shared" ref="AH55" si="59">H55</f>
        <v>86505.417510138839</v>
      </c>
      <c r="AI55" s="2">
        <f t="shared" si="17"/>
        <v>370561.32862730802</v>
      </c>
      <c r="AJ55" s="2">
        <f t="shared" si="7"/>
        <v>0</v>
      </c>
    </row>
    <row r="56" spans="1:36" x14ac:dyDescent="0.25">
      <c r="A56">
        <f t="shared" si="8"/>
        <v>2008</v>
      </c>
      <c r="B56" s="2">
        <f t="shared" si="41"/>
        <v>43156.972548622878</v>
      </c>
      <c r="C56" s="2"/>
      <c r="D56" s="2">
        <f t="shared" si="42"/>
        <v>46558.696155887563</v>
      </c>
      <c r="E56" s="2">
        <f t="shared" si="43"/>
        <v>23329.038719351382</v>
      </c>
      <c r="F56" s="2"/>
      <c r="G56" s="2">
        <f t="shared" si="30"/>
        <v>55344.889113843688</v>
      </c>
      <c r="H56" s="2">
        <f t="shared" si="21"/>
        <v>90873.941094400856</v>
      </c>
      <c r="I56" s="2">
        <f t="shared" si="22"/>
        <v>259263.53763210637</v>
      </c>
      <c r="J56" s="2">
        <f>I56-I55</f>
        <v>-111297.79099520165</v>
      </c>
      <c r="K56" s="6">
        <f>(J56/I55)</f>
        <v>-0.30034917946642886</v>
      </c>
      <c r="L56" s="7">
        <f t="shared" si="25"/>
        <v>0.69965082053357119</v>
      </c>
      <c r="O56">
        <f t="shared" si="26"/>
        <v>2008</v>
      </c>
      <c r="P56" s="6">
        <f t="shared" si="13"/>
        <v>0.16645986143204758</v>
      </c>
      <c r="Q56" s="7"/>
      <c r="R56" s="6">
        <f t="shared" si="13"/>
        <v>0.17958057882383027</v>
      </c>
      <c r="S56" s="6">
        <f t="shared" si="13"/>
        <v>8.9981950151645188E-2</v>
      </c>
      <c r="T56" s="7"/>
      <c r="U56" s="6">
        <f t="shared" si="13"/>
        <v>0.21346962098610953</v>
      </c>
      <c r="V56" s="6">
        <f t="shared" si="15"/>
        <v>0.35050798860636745</v>
      </c>
      <c r="W56" s="6">
        <f t="shared" si="27"/>
        <v>1</v>
      </c>
      <c r="X56" s="7">
        <f t="shared" si="28"/>
        <v>0.64949201139363255</v>
      </c>
      <c r="Y56" s="7">
        <f t="shared" si="29"/>
        <v>0</v>
      </c>
      <c r="Z56" s="24"/>
      <c r="AA56">
        <f t="shared" si="16"/>
        <v>2008</v>
      </c>
      <c r="AB56" s="40">
        <v>0</v>
      </c>
      <c r="AC56" s="40"/>
      <c r="AD56" s="40">
        <v>0</v>
      </c>
      <c r="AE56" s="40">
        <v>0</v>
      </c>
      <c r="AF56" s="40"/>
      <c r="AG56" s="40">
        <v>0</v>
      </c>
      <c r="AH56" s="40">
        <f>I56</f>
        <v>259263.53763210637</v>
      </c>
      <c r="AI56" s="2">
        <f t="shared" si="17"/>
        <v>259263.53763210637</v>
      </c>
      <c r="AJ56" s="2">
        <f t="shared" si="7"/>
        <v>0</v>
      </c>
    </row>
    <row r="57" spans="1:36" x14ac:dyDescent="0.25">
      <c r="A57">
        <f t="shared" si="8"/>
        <v>2009</v>
      </c>
      <c r="B57" s="2">
        <f t="shared" si="41"/>
        <v>0</v>
      </c>
      <c r="C57" s="2"/>
      <c r="D57" s="2">
        <f t="shared" si="42"/>
        <v>0</v>
      </c>
      <c r="E57" s="2">
        <f t="shared" si="43"/>
        <v>0</v>
      </c>
      <c r="F57" s="2"/>
      <c r="G57" s="2">
        <f t="shared" si="30"/>
        <v>0</v>
      </c>
      <c r="H57" s="2">
        <f t="shared" si="21"/>
        <v>274637.86541369028</v>
      </c>
      <c r="I57" s="2">
        <f t="shared" si="22"/>
        <v>274637.86541369028</v>
      </c>
      <c r="J57" s="2">
        <f t="shared" si="23"/>
        <v>15374.32778158391</v>
      </c>
      <c r="K57" s="6">
        <f t="shared" si="24"/>
        <v>5.9300000000000012E-2</v>
      </c>
      <c r="L57" s="7">
        <f t="shared" si="25"/>
        <v>1.0592999999999999</v>
      </c>
      <c r="O57">
        <f t="shared" si="26"/>
        <v>2009</v>
      </c>
      <c r="P57" s="6">
        <f t="shared" si="13"/>
        <v>0</v>
      </c>
      <c r="Q57" s="7"/>
      <c r="R57" s="6">
        <f t="shared" si="13"/>
        <v>0</v>
      </c>
      <c r="S57" s="6">
        <f t="shared" si="13"/>
        <v>0</v>
      </c>
      <c r="T57" s="7"/>
      <c r="U57" s="6">
        <f t="shared" si="13"/>
        <v>0</v>
      </c>
      <c r="V57" s="6">
        <f t="shared" si="15"/>
        <v>1</v>
      </c>
      <c r="W57" s="6">
        <f t="shared" si="27"/>
        <v>1</v>
      </c>
      <c r="X57" s="7">
        <f t="shared" si="28"/>
        <v>0</v>
      </c>
      <c r="Y57" s="7">
        <f t="shared" si="29"/>
        <v>0</v>
      </c>
      <c r="Z57" s="24"/>
      <c r="AA57">
        <f t="shared" si="16"/>
        <v>2009</v>
      </c>
      <c r="AB57" s="40">
        <f>$I57*P$39</f>
        <v>54927.573082738061</v>
      </c>
      <c r="AC57" s="40"/>
      <c r="AD57" s="40">
        <f>$I57*R$39</f>
        <v>54927.573082738061</v>
      </c>
      <c r="AE57" s="40">
        <f>$I57*S$39</f>
        <v>27463.786541369031</v>
      </c>
      <c r="AF57" s="40"/>
      <c r="AG57" s="40">
        <f>$I57*U$39</f>
        <v>54927.573082738061</v>
      </c>
      <c r="AH57" s="40">
        <f>$I57*V$39</f>
        <v>82391.359624107077</v>
      </c>
      <c r="AI57" s="2">
        <f t="shared" si="17"/>
        <v>274637.86541369034</v>
      </c>
      <c r="AJ57" s="2">
        <f t="shared" si="7"/>
        <v>0</v>
      </c>
    </row>
    <row r="58" spans="1:36" x14ac:dyDescent="0.25">
      <c r="A58">
        <f t="shared" si="8"/>
        <v>2010</v>
      </c>
      <c r="B58" s="2">
        <f t="shared" si="41"/>
        <v>63117.274229374307</v>
      </c>
      <c r="C58" s="2"/>
      <c r="D58" s="2">
        <f t="shared" si="42"/>
        <v>68912.133189603162</v>
      </c>
      <c r="E58" s="2">
        <f t="shared" si="43"/>
        <v>35076.748170636529</v>
      </c>
      <c r="F58" s="2"/>
      <c r="G58" s="2">
        <f t="shared" si="30"/>
        <v>61035.519209538528</v>
      </c>
      <c r="H58" s="2">
        <f t="shared" si="21"/>
        <v>87680.884911974761</v>
      </c>
      <c r="I58" s="2">
        <f t="shared" si="22"/>
        <v>315822.55971112731</v>
      </c>
      <c r="J58" s="2">
        <f t="shared" si="23"/>
        <v>41184.694297437032</v>
      </c>
      <c r="K58" s="6">
        <f t="shared" si="24"/>
        <v>0.14996000000000015</v>
      </c>
      <c r="L58" s="7">
        <f t="shared" si="25"/>
        <v>1.1499600000000001</v>
      </c>
      <c r="O58">
        <f t="shared" si="26"/>
        <v>2010</v>
      </c>
      <c r="P58" s="6">
        <f t="shared" si="13"/>
        <v>0.19985042958015931</v>
      </c>
      <c r="Q58" s="7"/>
      <c r="R58" s="6">
        <f t="shared" si="13"/>
        <v>0.21819889387456951</v>
      </c>
      <c r="S58" s="6">
        <f t="shared" si="13"/>
        <v>0.11106473268635432</v>
      </c>
      <c r="T58" s="7"/>
      <c r="U58" s="6">
        <f t="shared" si="13"/>
        <v>0.19325889596159865</v>
      </c>
      <c r="V58" s="6">
        <f t="shared" si="15"/>
        <v>0.27762704789731812</v>
      </c>
      <c r="W58" s="6">
        <f t="shared" si="27"/>
        <v>0.99999999999999978</v>
      </c>
      <c r="X58" s="7">
        <f t="shared" si="28"/>
        <v>0.72237295210268171</v>
      </c>
      <c r="Y58" s="7">
        <f t="shared" si="29"/>
        <v>0</v>
      </c>
      <c r="Z58" s="24"/>
      <c r="AA58">
        <f t="shared" si="16"/>
        <v>2010</v>
      </c>
      <c r="AB58" s="2">
        <f t="shared" ref="AB58" si="60">B58</f>
        <v>63117.274229374307</v>
      </c>
      <c r="AC58" s="2"/>
      <c r="AD58" s="2">
        <f t="shared" ref="AD58" si="61">D58</f>
        <v>68912.133189603162</v>
      </c>
      <c r="AE58" s="2">
        <f t="shared" ref="AE58" si="62">E58</f>
        <v>35076.748170636529</v>
      </c>
      <c r="AF58" s="2"/>
      <c r="AG58" s="2">
        <f t="shared" ref="AG58" si="63">G58</f>
        <v>61035.519209538528</v>
      </c>
      <c r="AH58" s="2">
        <f t="shared" ref="AH58" si="64">H58</f>
        <v>87680.884911974761</v>
      </c>
      <c r="AI58" s="2">
        <f t="shared" si="17"/>
        <v>315822.55971112731</v>
      </c>
      <c r="AJ58" s="2">
        <f t="shared" si="7"/>
        <v>0</v>
      </c>
    </row>
    <row r="59" spans="1:36" x14ac:dyDescent="0.25">
      <c r="A59">
        <f t="shared" si="8"/>
        <v>2011</v>
      </c>
      <c r="B59" s="2">
        <f t="shared" si="41"/>
        <v>64360.684531692983</v>
      </c>
      <c r="C59" s="2"/>
      <c r="D59" s="2">
        <f t="shared" si="42"/>
        <v>67458.087179302529</v>
      </c>
      <c r="E59" s="2">
        <f t="shared" si="43"/>
        <v>34094.599221858705</v>
      </c>
      <c r="F59" s="2"/>
      <c r="G59" s="2">
        <f t="shared" si="30"/>
        <v>52148.747612629719</v>
      </c>
      <c r="H59" s="2">
        <f t="shared" si="21"/>
        <v>94309.559811320069</v>
      </c>
      <c r="I59" s="2">
        <f t="shared" si="22"/>
        <v>312371.67835680407</v>
      </c>
      <c r="J59" s="2">
        <f t="shared" si="23"/>
        <v>-3450.8813543232391</v>
      </c>
      <c r="K59" s="6">
        <f t="shared" si="24"/>
        <v>-1.0926646144213539E-2</v>
      </c>
      <c r="L59" s="7">
        <f t="shared" si="25"/>
        <v>0.98907335385578643</v>
      </c>
      <c r="O59">
        <f t="shared" si="26"/>
        <v>2011</v>
      </c>
      <c r="P59" s="6">
        <f t="shared" si="13"/>
        <v>0.20603879605940939</v>
      </c>
      <c r="Q59" s="7"/>
      <c r="R59" s="6">
        <f t="shared" si="13"/>
        <v>0.21595455623300477</v>
      </c>
      <c r="S59" s="6">
        <f t="shared" si="13"/>
        <v>0.10914753668197287</v>
      </c>
      <c r="T59" s="7"/>
      <c r="U59" s="6">
        <f t="shared" si="13"/>
        <v>0.16694454467496003</v>
      </c>
      <c r="V59" s="6">
        <f t="shared" si="15"/>
        <v>0.30191456635065272</v>
      </c>
      <c r="W59" s="6">
        <f t="shared" si="27"/>
        <v>0.99999999999999978</v>
      </c>
      <c r="X59" s="7">
        <f t="shared" si="28"/>
        <v>0.69808543364934705</v>
      </c>
      <c r="Y59" s="7">
        <f t="shared" si="29"/>
        <v>0</v>
      </c>
      <c r="Z59" s="24"/>
      <c r="AA59">
        <f t="shared" si="16"/>
        <v>2011</v>
      </c>
      <c r="AB59" s="2">
        <f t="shared" ref="AB59:AB64" si="65">B59</f>
        <v>64360.684531692983</v>
      </c>
      <c r="AC59" s="2"/>
      <c r="AD59" s="2">
        <f t="shared" ref="AD59" si="66">D59</f>
        <v>67458.087179302529</v>
      </c>
      <c r="AE59" s="2">
        <f t="shared" ref="AE59" si="67">E59</f>
        <v>34094.599221858705</v>
      </c>
      <c r="AF59" s="2"/>
      <c r="AG59" s="2">
        <f t="shared" ref="AG59" si="68">G59</f>
        <v>52148.747612629719</v>
      </c>
      <c r="AH59" s="2">
        <f t="shared" ref="AH59" si="69">H59</f>
        <v>94309.559811320069</v>
      </c>
      <c r="AI59" s="2">
        <f t="shared" si="17"/>
        <v>312371.67835680407</v>
      </c>
      <c r="AJ59" s="2">
        <f t="shared" si="7"/>
        <v>0</v>
      </c>
    </row>
    <row r="60" spans="1:36" x14ac:dyDescent="0.25">
      <c r="A60">
        <f t="shared" si="8"/>
        <v>2012</v>
      </c>
      <c r="B60" s="2">
        <f t="shared" si="41"/>
        <v>74542.544824606812</v>
      </c>
      <c r="C60" s="2"/>
      <c r="D60" s="2">
        <f t="shared" si="42"/>
        <v>78116.464953632327</v>
      </c>
      <c r="E60" s="2">
        <f t="shared" si="43"/>
        <v>40245.264921482019</v>
      </c>
      <c r="F60" s="2"/>
      <c r="G60" s="2">
        <f t="shared" si="30"/>
        <v>61608.530429560749</v>
      </c>
      <c r="H60" s="2">
        <f t="shared" si="21"/>
        <v>98129.096983678523</v>
      </c>
      <c r="I60" s="2">
        <f t="shared" si="22"/>
        <v>352641.90211296041</v>
      </c>
      <c r="J60" s="2">
        <f t="shared" si="23"/>
        <v>40270.223756156338</v>
      </c>
      <c r="K60" s="6">
        <f t="shared" si="24"/>
        <v>0.1289176533800801</v>
      </c>
      <c r="L60" s="7">
        <f t="shared" si="25"/>
        <v>1.1289176533800802</v>
      </c>
      <c r="O60">
        <f t="shared" si="26"/>
        <v>2012</v>
      </c>
      <c r="P60" s="6">
        <f t="shared" si="13"/>
        <v>0.21138311805251347</v>
      </c>
      <c r="Q60" s="7"/>
      <c r="R60" s="6">
        <f t="shared" si="13"/>
        <v>0.22151781874352974</v>
      </c>
      <c r="S60" s="6">
        <f t="shared" si="13"/>
        <v>0.11412502224023965</v>
      </c>
      <c r="T60" s="7"/>
      <c r="U60" s="6">
        <f t="shared" si="13"/>
        <v>0.17470564348823733</v>
      </c>
      <c r="V60" s="6">
        <f t="shared" si="15"/>
        <v>0.27826839747547982</v>
      </c>
      <c r="W60" s="6">
        <f t="shared" si="27"/>
        <v>1</v>
      </c>
      <c r="X60" s="7">
        <f t="shared" si="28"/>
        <v>0.72173160252452029</v>
      </c>
      <c r="Y60" s="7">
        <f t="shared" si="29"/>
        <v>0</v>
      </c>
      <c r="Z60" s="24"/>
      <c r="AA60">
        <f t="shared" si="16"/>
        <v>2012</v>
      </c>
      <c r="AB60" s="2">
        <f t="shared" si="65"/>
        <v>74542.544824606812</v>
      </c>
      <c r="AC60" s="2"/>
      <c r="AD60" s="2">
        <f t="shared" ref="AD60" si="70">D60</f>
        <v>78116.464953632327</v>
      </c>
      <c r="AE60" s="2">
        <f t="shared" ref="AE60" si="71">E60</f>
        <v>40245.264921482019</v>
      </c>
      <c r="AF60" s="2"/>
      <c r="AG60" s="2">
        <f t="shared" ref="AG60" si="72">G60</f>
        <v>61608.530429560749</v>
      </c>
      <c r="AH60" s="2">
        <f t="shared" ref="AH60" si="73">H60</f>
        <v>98129.096983678523</v>
      </c>
      <c r="AI60" s="2">
        <f t="shared" si="17"/>
        <v>352641.90211296041</v>
      </c>
      <c r="AJ60" s="2">
        <f t="shared" si="7"/>
        <v>0</v>
      </c>
    </row>
    <row r="61" spans="1:36" x14ac:dyDescent="0.25">
      <c r="A61">
        <f t="shared" si="8"/>
        <v>2013</v>
      </c>
      <c r="B61" s="2">
        <f t="shared" si="41"/>
        <v>98530.335749165286</v>
      </c>
      <c r="C61" s="2"/>
      <c r="D61" s="2">
        <f t="shared" si="42"/>
        <v>105457.22768740365</v>
      </c>
      <c r="E61" s="2">
        <f t="shared" si="43"/>
        <v>55385.533584943551</v>
      </c>
      <c r="F61" s="2"/>
      <c r="G61" s="2">
        <f t="shared" si="30"/>
        <v>70874.453406166678</v>
      </c>
      <c r="H61" s="2">
        <f t="shared" si="21"/>
        <v>95911.379391847397</v>
      </c>
      <c r="I61" s="2">
        <f t="shared" si="22"/>
        <v>426158.92981952662</v>
      </c>
      <c r="J61" s="2">
        <f t="shared" si="23"/>
        <v>73517.027706566209</v>
      </c>
      <c r="K61" s="6">
        <f t="shared" si="24"/>
        <v>0.2084750203139977</v>
      </c>
      <c r="L61" s="7">
        <f t="shared" si="25"/>
        <v>1.2084750203139978</v>
      </c>
      <c r="O61">
        <f t="shared" si="26"/>
        <v>2013</v>
      </c>
      <c r="P61" s="6">
        <f t="shared" si="13"/>
        <v>0.23120561099327835</v>
      </c>
      <c r="Q61" s="7"/>
      <c r="R61" s="6">
        <f t="shared" si="13"/>
        <v>0.24745985665972919</v>
      </c>
      <c r="S61" s="6">
        <f t="shared" si="13"/>
        <v>0.12996450316880298</v>
      </c>
      <c r="T61" s="7"/>
      <c r="U61" s="6">
        <f t="shared" si="13"/>
        <v>0.16630991033364287</v>
      </c>
      <c r="V61" s="6">
        <f t="shared" si="15"/>
        <v>0.22506011884454646</v>
      </c>
      <c r="W61" s="6">
        <f t="shared" si="27"/>
        <v>0.99999999999999989</v>
      </c>
      <c r="X61" s="7">
        <f t="shared" si="28"/>
        <v>0.77493988115545342</v>
      </c>
      <c r="Y61" s="7">
        <f t="shared" si="29"/>
        <v>0</v>
      </c>
      <c r="Z61" s="24"/>
      <c r="AA61">
        <f t="shared" si="16"/>
        <v>2013</v>
      </c>
      <c r="AB61" s="2">
        <f t="shared" si="65"/>
        <v>98530.335749165286</v>
      </c>
      <c r="AC61" s="2"/>
      <c r="AD61" s="2">
        <f t="shared" ref="AD61" si="74">D61</f>
        <v>105457.22768740365</v>
      </c>
      <c r="AE61" s="2">
        <f t="shared" ref="AE61" si="75">E61</f>
        <v>55385.533584943551</v>
      </c>
      <c r="AF61" s="2"/>
      <c r="AG61" s="2">
        <f t="shared" ref="AG61" si="76">G61</f>
        <v>70874.453406166678</v>
      </c>
      <c r="AH61" s="2">
        <f t="shared" ref="AH61" si="77">H61</f>
        <v>95911.379391847397</v>
      </c>
      <c r="AI61" s="2">
        <f t="shared" si="17"/>
        <v>426158.92981952662</v>
      </c>
      <c r="AJ61" s="2">
        <f t="shared" si="7"/>
        <v>0</v>
      </c>
    </row>
    <row r="62" spans="1:36" x14ac:dyDescent="0.25">
      <c r="A62">
        <f t="shared" si="8"/>
        <v>2014</v>
      </c>
      <c r="B62" s="2">
        <f t="shared" si="41"/>
        <v>111841.78410887752</v>
      </c>
      <c r="C62" s="2"/>
      <c r="D62" s="2">
        <f t="shared" si="42"/>
        <v>119799.41065289055</v>
      </c>
      <c r="E62" s="2">
        <f t="shared" si="43"/>
        <v>59467.447410153894</v>
      </c>
      <c r="F62" s="2"/>
      <c r="G62" s="2">
        <f t="shared" si="30"/>
        <v>67869.376581745208</v>
      </c>
      <c r="H62" s="2">
        <f t="shared" si="21"/>
        <v>101435.87484481782</v>
      </c>
      <c r="I62" s="2">
        <f t="shared" si="22"/>
        <v>460413.89359848504</v>
      </c>
      <c r="J62" s="2">
        <f t="shared" si="23"/>
        <v>34254.963778958423</v>
      </c>
      <c r="K62" s="6">
        <f t="shared" si="24"/>
        <v>8.0380725081755311E-2</v>
      </c>
      <c r="L62" s="7">
        <f t="shared" si="25"/>
        <v>1.0803807250817554</v>
      </c>
      <c r="O62">
        <f t="shared" si="26"/>
        <v>2014</v>
      </c>
      <c r="P62" s="6">
        <f t="shared" si="13"/>
        <v>0.24291574529766868</v>
      </c>
      <c r="Q62" s="7"/>
      <c r="R62" s="6">
        <f t="shared" si="13"/>
        <v>0.2601993821614873</v>
      </c>
      <c r="S62" s="6">
        <f t="shared" si="13"/>
        <v>0.12916084470294875</v>
      </c>
      <c r="T62" s="7"/>
      <c r="U62" s="6">
        <f t="shared" si="13"/>
        <v>0.14740948856103009</v>
      </c>
      <c r="V62" s="6">
        <f t="shared" si="15"/>
        <v>0.22031453927686509</v>
      </c>
      <c r="W62" s="6">
        <f t="shared" si="27"/>
        <v>0.99999999999999989</v>
      </c>
      <c r="X62" s="7">
        <f t="shared" si="28"/>
        <v>0.77968546072313483</v>
      </c>
      <c r="Y62" s="7">
        <f t="shared" si="29"/>
        <v>0</v>
      </c>
      <c r="Z62" s="24"/>
      <c r="AA62">
        <f t="shared" si="16"/>
        <v>2014</v>
      </c>
      <c r="AB62" s="2">
        <f t="shared" si="65"/>
        <v>111841.78410887752</v>
      </c>
      <c r="AC62" s="2"/>
      <c r="AD62" s="2">
        <f t="shared" ref="AD62:AE64" si="78">D62</f>
        <v>119799.41065289055</v>
      </c>
      <c r="AE62" s="2">
        <f t="shared" si="78"/>
        <v>59467.447410153894</v>
      </c>
      <c r="AF62" s="2"/>
      <c r="AG62" s="2">
        <f t="shared" ref="AG62:AH64" si="79">G62</f>
        <v>67869.376581745208</v>
      </c>
      <c r="AH62" s="2">
        <f t="shared" si="79"/>
        <v>101435.87484481782</v>
      </c>
      <c r="AI62" s="2">
        <f t="shared" si="17"/>
        <v>460413.89359848504</v>
      </c>
      <c r="AJ62" s="2">
        <f t="shared" si="7"/>
        <v>0</v>
      </c>
    </row>
    <row r="63" spans="1:36" x14ac:dyDescent="0.25">
      <c r="A63">
        <f t="shared" si="8"/>
        <v>2015</v>
      </c>
      <c r="B63" s="2">
        <f t="shared" si="41"/>
        <v>113239.80641023848</v>
      </c>
      <c r="C63" s="2"/>
      <c r="D63" s="2">
        <f t="shared" si="42"/>
        <v>118050.33925735836</v>
      </c>
      <c r="E63" s="2">
        <f t="shared" si="43"/>
        <v>57219.577898050076</v>
      </c>
      <c r="F63" s="2"/>
      <c r="G63" s="2">
        <f t="shared" si="30"/>
        <v>64903.484825122941</v>
      </c>
      <c r="H63" s="2">
        <f t="shared" si="21"/>
        <v>101740.18246935226</v>
      </c>
      <c r="I63" s="2">
        <f t="shared" si="22"/>
        <v>455153.3908601221</v>
      </c>
      <c r="J63" s="2">
        <f t="shared" si="23"/>
        <v>-5260.5027383629349</v>
      </c>
      <c r="K63" s="6">
        <f t="shared" si="24"/>
        <v>-1.1425595125394896E-2</v>
      </c>
      <c r="L63" s="7">
        <f t="shared" si="25"/>
        <v>0.98857440487460513</v>
      </c>
      <c r="O63">
        <f t="shared" si="26"/>
        <v>2015</v>
      </c>
      <c r="P63" s="6">
        <f t="shared" si="13"/>
        <v>0.24879482100802228</v>
      </c>
      <c r="Q63" s="7"/>
      <c r="R63" s="6">
        <f t="shared" si="13"/>
        <v>0.25936385760913211</v>
      </c>
      <c r="S63" s="6">
        <f t="shared" si="13"/>
        <v>0.12571493269537085</v>
      </c>
      <c r="T63" s="7"/>
      <c r="U63" s="6">
        <f t="shared" si="13"/>
        <v>0.14259694891533634</v>
      </c>
      <c r="V63" s="6">
        <f t="shared" si="15"/>
        <v>0.22352943977213846</v>
      </c>
      <c r="W63" s="6">
        <f t="shared" si="27"/>
        <v>1</v>
      </c>
      <c r="X63" s="7">
        <f t="shared" si="28"/>
        <v>0.77647056022786154</v>
      </c>
      <c r="Y63" s="7">
        <f t="shared" si="29"/>
        <v>0</v>
      </c>
      <c r="Z63" s="24"/>
      <c r="AA63">
        <f t="shared" si="16"/>
        <v>2015</v>
      </c>
      <c r="AB63" s="2">
        <f t="shared" si="65"/>
        <v>113239.80641023848</v>
      </c>
      <c r="AC63" s="2"/>
      <c r="AD63" s="2">
        <f t="shared" si="78"/>
        <v>118050.33925735836</v>
      </c>
      <c r="AE63" s="2">
        <f t="shared" si="78"/>
        <v>57219.577898050076</v>
      </c>
      <c r="AF63" s="2"/>
      <c r="AG63" s="2">
        <f t="shared" si="79"/>
        <v>64903.484825122941</v>
      </c>
      <c r="AH63" s="2">
        <f t="shared" si="79"/>
        <v>101740.18246935226</v>
      </c>
      <c r="AI63" s="2">
        <f t="shared" si="17"/>
        <v>455153.3908601221</v>
      </c>
      <c r="AJ63" s="2">
        <f t="shared" si="7"/>
        <v>0</v>
      </c>
    </row>
    <row r="64" spans="1:36" x14ac:dyDescent="0.25">
      <c r="A64">
        <f t="shared" si="8"/>
        <v>2016</v>
      </c>
      <c r="B64" s="2">
        <f t="shared" si="41"/>
        <v>126624.75152792867</v>
      </c>
      <c r="C64" s="2"/>
      <c r="D64" s="2">
        <f t="shared" si="42"/>
        <v>131118.51181314792</v>
      </c>
      <c r="E64" s="2">
        <f t="shared" si="43"/>
        <v>67616.375202125768</v>
      </c>
      <c r="F64" s="2"/>
      <c r="G64" s="2">
        <f t="shared" si="30"/>
        <v>67921.496869491151</v>
      </c>
      <c r="H64" s="2">
        <f t="shared" si="21"/>
        <v>104283.68703108607</v>
      </c>
      <c r="I64" s="2">
        <f t="shared" si="22"/>
        <v>497564.82244377956</v>
      </c>
      <c r="J64" s="2">
        <f t="shared" si="23"/>
        <v>42411.431583657453</v>
      </c>
      <c r="K64" s="6">
        <f t="shared" si="24"/>
        <v>9.3180524270094586E-2</v>
      </c>
      <c r="L64" s="7">
        <f t="shared" si="25"/>
        <v>1.0931805242700945</v>
      </c>
      <c r="O64">
        <f t="shared" si="26"/>
        <v>2016</v>
      </c>
      <c r="P64" s="6">
        <f t="shared" si="13"/>
        <v>0.25448895463713406</v>
      </c>
      <c r="Q64" s="7"/>
      <c r="R64" s="6">
        <f t="shared" si="13"/>
        <v>0.26352046185492378</v>
      </c>
      <c r="S64" s="6">
        <f t="shared" si="13"/>
        <v>0.13589460539036766</v>
      </c>
      <c r="T64" s="7"/>
      <c r="U64" s="6">
        <f t="shared" si="13"/>
        <v>0.13650783537287883</v>
      </c>
      <c r="V64" s="6">
        <f t="shared" si="15"/>
        <v>0.20958814274469575</v>
      </c>
      <c r="W64" s="6">
        <f t="shared" si="27"/>
        <v>1.0000000000000002</v>
      </c>
      <c r="X64" s="7">
        <f t="shared" si="28"/>
        <v>0.79041185725530438</v>
      </c>
      <c r="Y64" s="7">
        <f t="shared" si="29"/>
        <v>0</v>
      </c>
      <c r="Z64" s="24"/>
      <c r="AA64">
        <f t="shared" si="16"/>
        <v>2016</v>
      </c>
      <c r="AB64" s="2">
        <f t="shared" si="65"/>
        <v>126624.75152792867</v>
      </c>
      <c r="AC64" s="2"/>
      <c r="AD64" s="2">
        <f t="shared" si="78"/>
        <v>131118.51181314792</v>
      </c>
      <c r="AE64" s="2">
        <f t="shared" si="78"/>
        <v>67616.375202125768</v>
      </c>
      <c r="AF64" s="2"/>
      <c r="AG64" s="2">
        <f t="shared" si="79"/>
        <v>67921.496869491151</v>
      </c>
      <c r="AH64" s="2">
        <f t="shared" si="79"/>
        <v>104283.68703108607</v>
      </c>
      <c r="AI64" s="2">
        <f t="shared" si="17"/>
        <v>497564.82244377956</v>
      </c>
      <c r="AJ64" s="2">
        <f t="shared" si="7"/>
        <v>0</v>
      </c>
    </row>
    <row r="65" spans="1:19" x14ac:dyDescent="0.25">
      <c r="A65" s="9" t="s">
        <v>78</v>
      </c>
      <c r="B65" s="10">
        <f>B64</f>
        <v>126624.75152792867</v>
      </c>
      <c r="C65" s="10"/>
      <c r="D65" s="10">
        <f>D64</f>
        <v>131118.51181314792</v>
      </c>
      <c r="E65" s="10">
        <f>E64</f>
        <v>67616.375202125768</v>
      </c>
      <c r="F65" s="10"/>
      <c r="G65" s="10">
        <f>G64</f>
        <v>67921.496869491151</v>
      </c>
      <c r="H65" s="10">
        <f>H64</f>
        <v>104283.68703108607</v>
      </c>
      <c r="I65" s="10">
        <f>SUM(B65:H65)</f>
        <v>497564.82244377956</v>
      </c>
      <c r="J65" s="10"/>
      <c r="K65" s="10"/>
      <c r="S65" s="7"/>
    </row>
    <row r="66" spans="1:19" x14ac:dyDescent="0.25">
      <c r="A66" s="11" t="s">
        <v>79</v>
      </c>
      <c r="I66" s="6">
        <f>(I65-I39)/I39</f>
        <v>3.9756482244377955</v>
      </c>
      <c r="K66" s="6"/>
    </row>
    <row r="67" spans="1:19" x14ac:dyDescent="0.25">
      <c r="A67" s="1" t="s">
        <v>80</v>
      </c>
      <c r="I67" s="12">
        <f>STDEV(L40:L64)</f>
        <v>0.11607953748853368</v>
      </c>
    </row>
    <row r="68" spans="1:19" x14ac:dyDescent="0.25">
      <c r="A68" s="1" t="s">
        <v>81</v>
      </c>
      <c r="I68" s="13">
        <f>((1+I66)^(1/I73))-1</f>
        <v>6.6286686578738818E-2</v>
      </c>
    </row>
    <row r="69" spans="1:19" x14ac:dyDescent="0.25">
      <c r="A69" s="1" t="s">
        <v>82</v>
      </c>
      <c r="I69" s="31">
        <f>J60</f>
        <v>40270.223756156338</v>
      </c>
    </row>
    <row r="70" spans="1:19" x14ac:dyDescent="0.25">
      <c r="A70" s="1" t="s">
        <v>83</v>
      </c>
      <c r="I70" s="32">
        <f>K60</f>
        <v>0.1289176533800801</v>
      </c>
    </row>
    <row r="71" spans="1:19" x14ac:dyDescent="0.25">
      <c r="A71" s="3" t="s">
        <v>84</v>
      </c>
      <c r="I71" s="33">
        <f>I64-I65</f>
        <v>0</v>
      </c>
    </row>
    <row r="72" spans="1:19" x14ac:dyDescent="0.25">
      <c r="A72" s="3" t="s">
        <v>148</v>
      </c>
      <c r="I72" s="33">
        <f>((SUM(J40:J64))-(I65-I39))</f>
        <v>0</v>
      </c>
    </row>
    <row r="73" spans="1:19" x14ac:dyDescent="0.25">
      <c r="A73" s="3" t="s">
        <v>159</v>
      </c>
      <c r="I73" s="3">
        <f>COUNTA(I40:I64)</f>
        <v>25</v>
      </c>
    </row>
    <row r="74" spans="1:19" x14ac:dyDescent="0.25">
      <c r="A74" s="1" t="s">
        <v>105</v>
      </c>
      <c r="B74" s="62"/>
      <c r="C74" s="62"/>
      <c r="D74" s="62"/>
      <c r="E74" s="62"/>
      <c r="G74" s="62"/>
      <c r="H74" s="62"/>
      <c r="I74" s="85">
        <f>(SUM(B65:G65)/I65)</f>
        <v>0.79041185725530427</v>
      </c>
    </row>
    <row r="75" spans="1:19" x14ac:dyDescent="0.25">
      <c r="A75" s="1" t="s">
        <v>106</v>
      </c>
      <c r="B75" s="62"/>
      <c r="C75" s="62"/>
      <c r="D75" s="62"/>
      <c r="E75" s="62"/>
      <c r="G75" s="62"/>
      <c r="H75" s="62"/>
      <c r="I75" s="85">
        <f>(H65/I65)</f>
        <v>0.20958814274469575</v>
      </c>
    </row>
    <row r="76" spans="1:19" x14ac:dyDescent="0.25">
      <c r="A76" s="3" t="s">
        <v>107</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5F6-73E5-4728-ACAC-970906A88720}">
  <dimension ref="A1:AU76"/>
  <sheetViews>
    <sheetView topLeftCell="A52" zoomScaleNormal="100" workbookViewId="0">
      <selection activeCell="A77" sqref="A77"/>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49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1992</v>
      </c>
      <c r="B4" s="17">
        <f>'Non-Rebalanced Portfolio'!B4</f>
        <v>7.42</v>
      </c>
      <c r="C4" s="17">
        <f>'Non-Rebalanced Portfolio'!C4</f>
        <v>12.465999999999999</v>
      </c>
      <c r="D4" s="17"/>
      <c r="E4" s="17"/>
      <c r="F4" s="17">
        <f>'Non-Rebalanced Portfolio'!F4</f>
        <v>-8.7210000000000001</v>
      </c>
      <c r="G4" s="17"/>
      <c r="H4" s="17">
        <f>'Non-Rebalanced Portfolio'!H4</f>
        <v>7.14</v>
      </c>
    </row>
    <row r="5" spans="1:8" x14ac:dyDescent="0.25">
      <c r="A5" s="17">
        <f>'Non-Rebalanced Portfolio'!A5</f>
        <v>1993</v>
      </c>
      <c r="B5" s="17">
        <f>'Non-Rebalanced Portfolio'!B5</f>
        <v>9.89</v>
      </c>
      <c r="C5" s="17">
        <f>'Non-Rebalanced Portfolio'!C5</f>
        <v>14.49</v>
      </c>
      <c r="D5" s="17"/>
      <c r="E5" s="17"/>
      <c r="F5" s="17">
        <f>'Non-Rebalanced Portfolio'!F5</f>
        <v>30.494</v>
      </c>
      <c r="G5" s="17"/>
      <c r="H5" s="17">
        <f>'Non-Rebalanced Portfolio'!H5</f>
        <v>9.68</v>
      </c>
    </row>
    <row r="6" spans="1:8" x14ac:dyDescent="0.25">
      <c r="A6" s="17">
        <f>'Non-Rebalanced Portfolio'!A6</f>
        <v>1994</v>
      </c>
      <c r="B6" s="17">
        <f>'Non-Rebalanced Portfolio'!B6</f>
        <v>1.18</v>
      </c>
      <c r="C6" s="17">
        <f>'Non-Rebalanced Portfolio'!C6</f>
        <v>-1.764</v>
      </c>
      <c r="D6" s="17"/>
      <c r="E6" s="17"/>
      <c r="F6" s="17">
        <f>'Non-Rebalanced Portfolio'!F6</f>
        <v>5.2549999999999999</v>
      </c>
      <c r="G6" s="17"/>
      <c r="H6" s="17">
        <f>'Non-Rebalanced Portfolio'!H6</f>
        <v>-2.66</v>
      </c>
    </row>
    <row r="7" spans="1:8" x14ac:dyDescent="0.25">
      <c r="A7" s="17">
        <f>'Non-Rebalanced Portfolio'!A7</f>
        <v>1995</v>
      </c>
      <c r="B7" s="17">
        <f>'Non-Rebalanced Portfolio'!B7</f>
        <v>37.450000000000003</v>
      </c>
      <c r="C7" s="17">
        <f>'Non-Rebalanced Portfolio'!C7</f>
        <v>33.796999999999997</v>
      </c>
      <c r="D7" s="17"/>
      <c r="E7" s="17"/>
      <c r="F7" s="17">
        <f>'Non-Rebalanced Portfolio'!F7</f>
        <v>9.6460000000000008</v>
      </c>
      <c r="G7" s="17"/>
      <c r="H7" s="17">
        <f>'Non-Rebalanced Portfolio'!H7</f>
        <v>18.18</v>
      </c>
    </row>
    <row r="8" spans="1:8" x14ac:dyDescent="0.25">
      <c r="A8" s="17">
        <f>'Non-Rebalanced Portfolio'!A8</f>
        <v>1996</v>
      </c>
      <c r="B8" s="17">
        <f>'Non-Rebalanced Portfolio'!B8</f>
        <v>22.88</v>
      </c>
      <c r="C8" s="17">
        <f>'Non-Rebalanced Portfolio'!C8</f>
        <v>17.646999999999998</v>
      </c>
      <c r="D8" s="17"/>
      <c r="E8" s="17"/>
      <c r="F8" s="17">
        <f>'Non-Rebalanced Portfolio'!F8</f>
        <v>10.218999999999999</v>
      </c>
      <c r="G8" s="17"/>
      <c r="H8" s="17">
        <f>'Non-Rebalanced Portfolio'!H8</f>
        <v>3.58</v>
      </c>
    </row>
    <row r="9" spans="1:8" x14ac:dyDescent="0.25">
      <c r="A9" s="17">
        <f>'Non-Rebalanced Portfolio'!A9</f>
        <v>1997</v>
      </c>
      <c r="B9" s="17">
        <f>'Non-Rebalanced Portfolio'!B9</f>
        <v>33.19</v>
      </c>
      <c r="C9" s="17">
        <f>'Non-Rebalanced Portfolio'!C9</f>
        <v>26.687000000000001</v>
      </c>
      <c r="D9" s="17"/>
      <c r="E9" s="17"/>
      <c r="F9" s="17">
        <f>'Non-Rebalanced Portfolio'!F9</f>
        <v>0</v>
      </c>
      <c r="G9" s="17">
        <f>'Non-Rebalanced Portfolio'!G9</f>
        <v>-0.77500000000000002</v>
      </c>
      <c r="H9" s="17">
        <f>'Non-Rebalanced Portfolio'!H9</f>
        <v>9.44</v>
      </c>
    </row>
    <row r="10" spans="1:8" x14ac:dyDescent="0.25">
      <c r="A10" s="17">
        <f>'Non-Rebalanced Portfolio'!A10</f>
        <v>1998</v>
      </c>
      <c r="B10" s="17">
        <f>'Non-Rebalanced Portfolio'!B10</f>
        <v>28.66</v>
      </c>
      <c r="C10" s="17">
        <f>'Non-Rebalanced Portfolio'!C10</f>
        <v>8.3529999999999998</v>
      </c>
      <c r="D10" s="17"/>
      <c r="E10" s="17"/>
      <c r="F10" s="17">
        <f>'Non-Rebalanced Portfolio'!F10</f>
        <v>0</v>
      </c>
      <c r="G10" s="17">
        <f>'Non-Rebalanced Portfolio'!G10</f>
        <v>15.603</v>
      </c>
      <c r="H10" s="17">
        <f>'Non-Rebalanced Portfolio'!H10</f>
        <v>8.58</v>
      </c>
    </row>
    <row r="11" spans="1:8" x14ac:dyDescent="0.25">
      <c r="A11" s="17">
        <f>'Non-Rebalanced Portfolio'!A11</f>
        <v>1999</v>
      </c>
      <c r="B11" s="17">
        <f>'Non-Rebalanced Portfolio'!B11</f>
        <v>21.07</v>
      </c>
      <c r="C11" s="17">
        <f>'Non-Rebalanced Portfolio'!C11</f>
        <v>0</v>
      </c>
      <c r="D11" s="17">
        <f>'Non-Rebalanced Portfolio'!D11</f>
        <v>15.319000000000001</v>
      </c>
      <c r="E11" s="17">
        <f>'Non-Rebalanced Portfolio'!E11</f>
        <v>23.132999999999999</v>
      </c>
      <c r="F11" s="17">
        <f>'Non-Rebalanced Portfolio'!F11</f>
        <v>0</v>
      </c>
      <c r="G11" s="18">
        <f>'Non-Rebalanced Portfolio'!G11</f>
        <v>29.919</v>
      </c>
      <c r="H11" s="17">
        <f>'Non-Rebalanced Portfolio'!H11</f>
        <v>-0.76</v>
      </c>
    </row>
    <row r="12" spans="1:8" x14ac:dyDescent="0.25">
      <c r="A12" s="17">
        <f>'Non-Rebalanced Portfolio'!A12</f>
        <v>2000</v>
      </c>
      <c r="B12" s="17">
        <f>'Non-Rebalanced Portfolio'!B12</f>
        <v>-9.06</v>
      </c>
      <c r="C12" s="17">
        <f>'Non-Rebalanced Portfolio'!C12</f>
        <v>0</v>
      </c>
      <c r="D12" s="17">
        <f>'Non-Rebalanced Portfolio'!D12</f>
        <v>18.097999999999999</v>
      </c>
      <c r="E12" s="17">
        <f>'Non-Rebalanced Portfolio'!E12</f>
        <v>-2.665</v>
      </c>
      <c r="F12" s="17">
        <f>'Non-Rebalanced Portfolio'!F12</f>
        <v>0</v>
      </c>
      <c r="G12" s="17">
        <f>'Non-Rebalanced Portfolio'!G12</f>
        <v>-15.614000000000001</v>
      </c>
      <c r="H12" s="17">
        <f>'Non-Rebalanced Portfolio'!H12</f>
        <v>11.39</v>
      </c>
    </row>
    <row r="13" spans="1:8" x14ac:dyDescent="0.25">
      <c r="A13" s="17">
        <f>'Non-Rebalanced Portfolio'!A13</f>
        <v>2001</v>
      </c>
      <c r="B13" s="17">
        <f>'Non-Rebalanced Portfolio'!B13</f>
        <v>-12.02</v>
      </c>
      <c r="C13" s="17">
        <f>'Non-Rebalanced Portfolio'!C13</f>
        <v>0</v>
      </c>
      <c r="D13" s="18">
        <f>'Non-Rebalanced Portfolio'!D13</f>
        <v>-0.499</v>
      </c>
      <c r="E13" s="18">
        <f>'Non-Rebalanced Portfolio'!E13</f>
        <v>3.1</v>
      </c>
      <c r="F13" s="17"/>
      <c r="G13" s="17">
        <f>'Non-Rebalanced Portfolio'!G13</f>
        <v>-20.152999999999999</v>
      </c>
      <c r="H13" s="17">
        <f>'Non-Rebalanced Portfolio'!H13</f>
        <v>8.43</v>
      </c>
    </row>
    <row r="14" spans="1:8" x14ac:dyDescent="0.25">
      <c r="A14" s="17">
        <f>'Non-Rebalanced Portfolio'!A14</f>
        <v>2002</v>
      </c>
      <c r="B14" s="17">
        <f>'Non-Rebalanced Portfolio'!B14</f>
        <v>-22.15</v>
      </c>
      <c r="C14" s="17">
        <f>'Non-Rebalanced Portfolio'!C14</f>
        <v>0</v>
      </c>
      <c r="D14" s="17">
        <f>'Non-Rebalanced Portfolio'!D14</f>
        <v>-14.608000000000001</v>
      </c>
      <c r="E14" s="17">
        <f>'Non-Rebalanced Portfolio'!E14</f>
        <v>-20.021999999999998</v>
      </c>
      <c r="F14" s="17"/>
      <c r="G14" s="17">
        <f>'Non-Rebalanced Portfolio'!G14</f>
        <v>-15.083</v>
      </c>
      <c r="H14" s="17">
        <f>'Non-Rebalanced Portfolio'!H14</f>
        <v>8.26</v>
      </c>
    </row>
    <row r="15" spans="1:8" x14ac:dyDescent="0.25">
      <c r="A15" s="17">
        <f>'Non-Rebalanced Portfolio'!A15</f>
        <v>2003</v>
      </c>
      <c r="B15" s="17">
        <f>'Non-Rebalanced Portfolio'!B15</f>
        <v>28.5</v>
      </c>
      <c r="C15" s="17"/>
      <c r="D15" s="17">
        <f>'Non-Rebalanced Portfolio'!D15</f>
        <v>34.142000000000003</v>
      </c>
      <c r="E15" s="17">
        <f>'Non-Rebalanced Portfolio'!E15</f>
        <v>45.628</v>
      </c>
      <c r="F15" s="17"/>
      <c r="G15" s="17">
        <f>'Non-Rebalanced Portfolio'!G15</f>
        <v>40.340000000000003</v>
      </c>
      <c r="H15" s="17">
        <f>'Non-Rebalanced Portfolio'!H15</f>
        <v>3.97</v>
      </c>
    </row>
    <row r="16" spans="1:8"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row>
    <row r="17" spans="1:8"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row>
    <row r="18" spans="1:8"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row>
    <row r="19" spans="1:8"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row>
    <row r="20" spans="1:8"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row>
    <row r="21" spans="1:8"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row>
    <row r="22" spans="1:8"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row>
    <row r="23" spans="1:8"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row>
    <row r="24" spans="1:8"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row>
    <row r="25" spans="1:8"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row>
    <row r="26" spans="1:8"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row>
    <row r="27" spans="1:8"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row>
    <row r="28" spans="1:8" x14ac:dyDescent="0.25">
      <c r="A28" s="17">
        <f>'Non-Rebalanced Portfolio'!A28</f>
        <v>2016</v>
      </c>
      <c r="B28" s="17">
        <f>'Non-Rebalanced Portfolio'!B28</f>
        <v>11.82</v>
      </c>
      <c r="C28" s="19"/>
      <c r="D28" s="17">
        <f>'Non-Rebalanced Portfolio'!D28</f>
        <v>11.07</v>
      </c>
      <c r="E28" s="17">
        <f>'Non-Rebalanced Portfolio'!E28</f>
        <v>18.170000000000002</v>
      </c>
      <c r="F28" s="19"/>
      <c r="G28" s="17">
        <f>'Non-Rebalanced Portfolio'!G28</f>
        <v>4.6500000000000004</v>
      </c>
      <c r="H28" s="17">
        <f>'Non-Rebalanced Portfolio'!H28</f>
        <v>2.5</v>
      </c>
    </row>
    <row r="29" spans="1:8"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5">
      <c r="A36" s="20" t="s">
        <v>116</v>
      </c>
      <c r="O36" s="20" t="s">
        <v>126</v>
      </c>
      <c r="AB36" s="20" t="s">
        <v>18</v>
      </c>
      <c r="AL36" s="20" t="s">
        <v>21</v>
      </c>
    </row>
    <row r="37" spans="1:47"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c r="Z37" s="61"/>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88</v>
      </c>
    </row>
    <row r="38" spans="1:47"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c r="Z38" s="61"/>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72</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87</v>
      </c>
    </row>
    <row r="39" spans="1:47" x14ac:dyDescent="0.25">
      <c r="A39" t="s">
        <v>71</v>
      </c>
      <c r="B39" s="2">
        <v>60000</v>
      </c>
      <c r="C39" s="2">
        <v>0</v>
      </c>
      <c r="F39" s="2">
        <v>0</v>
      </c>
      <c r="H39" s="2">
        <v>40000</v>
      </c>
      <c r="I39" s="2">
        <f>SUM(B39:H39)</f>
        <v>100000</v>
      </c>
      <c r="O39" s="21" t="s">
        <v>86</v>
      </c>
      <c r="P39" s="22">
        <f>B39/$I39</f>
        <v>0.6</v>
      </c>
      <c r="Q39" s="22">
        <f>C39/$I39</f>
        <v>0</v>
      </c>
      <c r="R39" s="56">
        <v>0</v>
      </c>
      <c r="S39" s="56">
        <v>0</v>
      </c>
      <c r="T39" s="22">
        <f>F39/$I39</f>
        <v>0</v>
      </c>
      <c r="U39" s="56">
        <v>0</v>
      </c>
      <c r="V39" s="22">
        <f>H39/$I39</f>
        <v>0.4</v>
      </c>
      <c r="W39" s="22">
        <f>I39/$I39</f>
        <v>1</v>
      </c>
      <c r="X39" s="24"/>
      <c r="Z39" s="22"/>
      <c r="AB39" s="21" t="str">
        <f>O39</f>
        <v>Target Allocation</v>
      </c>
      <c r="AC39" s="24">
        <f t="shared" si="2"/>
        <v>0.6</v>
      </c>
      <c r="AD39" s="24">
        <f t="shared" si="2"/>
        <v>0</v>
      </c>
      <c r="AE39" s="25">
        <f t="shared" si="2"/>
        <v>0</v>
      </c>
      <c r="AF39" s="25">
        <f t="shared" si="2"/>
        <v>0</v>
      </c>
      <c r="AG39" s="24">
        <f t="shared" si="2"/>
        <v>0</v>
      </c>
      <c r="AH39" s="25">
        <f t="shared" si="2"/>
        <v>0</v>
      </c>
      <c r="AI39" s="24">
        <f t="shared" si="2"/>
        <v>0.4</v>
      </c>
      <c r="AJ39" s="24">
        <f>W39</f>
        <v>1</v>
      </c>
      <c r="AL39" s="21" t="str">
        <f>AB39</f>
        <v>Target Allocation</v>
      </c>
      <c r="AM39" s="24">
        <f>AC39</f>
        <v>0.6</v>
      </c>
      <c r="AN39" s="24">
        <f t="shared" si="3"/>
        <v>0</v>
      </c>
      <c r="AO39" s="25">
        <f t="shared" si="3"/>
        <v>0</v>
      </c>
      <c r="AP39" s="25">
        <f t="shared" si="3"/>
        <v>0</v>
      </c>
      <c r="AQ39" s="24">
        <f t="shared" si="3"/>
        <v>0</v>
      </c>
      <c r="AR39" s="25">
        <f t="shared" si="3"/>
        <v>0</v>
      </c>
      <c r="AS39" s="24">
        <f t="shared" si="3"/>
        <v>0.4</v>
      </c>
      <c r="AT39" s="24">
        <f t="shared" si="3"/>
        <v>1</v>
      </c>
      <c r="AU39" s="2"/>
    </row>
    <row r="40" spans="1:47" x14ac:dyDescent="0.25">
      <c r="A40">
        <f t="shared" ref="A40:A64" si="4">A4</f>
        <v>1992</v>
      </c>
      <c r="B40" s="2">
        <f>B39*(1+(B4/100))</f>
        <v>64452</v>
      </c>
      <c r="C40" s="2">
        <f>C39*(1+(C4/100))</f>
        <v>0</v>
      </c>
      <c r="D40" s="2"/>
      <c r="E40" s="2"/>
      <c r="F40" s="2">
        <f>F39*(1+(F4/100))</f>
        <v>0</v>
      </c>
      <c r="G40" s="2"/>
      <c r="H40" s="2">
        <f>H39*(1+(H4/100))</f>
        <v>42855.999999999993</v>
      </c>
      <c r="I40" s="2">
        <f>SUM(B40:H40)</f>
        <v>107308</v>
      </c>
      <c r="J40" s="2">
        <f>I40-I39</f>
        <v>7308</v>
      </c>
      <c r="K40" s="6">
        <f>(J40/I39)</f>
        <v>7.3080000000000006E-2</v>
      </c>
      <c r="L40" s="7">
        <f>K40+1</f>
        <v>1.07308</v>
      </c>
      <c r="O40">
        <f>A40</f>
        <v>1992</v>
      </c>
      <c r="P40" s="6">
        <f t="shared" ref="P40:U64" si="5">B40/$I40</f>
        <v>0.60062623476348453</v>
      </c>
      <c r="Q40" s="6">
        <f t="shared" si="5"/>
        <v>0</v>
      </c>
      <c r="R40" s="7"/>
      <c r="S40" s="7"/>
      <c r="T40" s="6">
        <f t="shared" ref="T40:T48" si="6">F40/$I40</f>
        <v>0</v>
      </c>
      <c r="U40" s="7"/>
      <c r="V40" s="6">
        <f t="shared" ref="V40:V64" si="7">H40/$I40</f>
        <v>0.39937376523651541</v>
      </c>
      <c r="W40" s="6">
        <f>SUM(P40:V40)</f>
        <v>1</v>
      </c>
      <c r="X40" s="7">
        <f>SUM(P40:U40)</f>
        <v>0.60062623476348453</v>
      </c>
      <c r="Y40" s="7">
        <f>W40-(X40+V40)</f>
        <v>0</v>
      </c>
      <c r="Z40" s="6"/>
      <c r="AB40">
        <f>O40</f>
        <v>1992</v>
      </c>
      <c r="AC40" s="1" t="b">
        <f>AND((B40/$I40)&gt;0.15,(B40/$I40)&lt;0.25)</f>
        <v>0</v>
      </c>
      <c r="AD40" s="1" t="b">
        <f>AND((C40/$I40)&gt;0.25,(C40/$I40)&lt;0.35)</f>
        <v>0</v>
      </c>
      <c r="AG40" s="1" t="b">
        <f t="shared" ref="AG40:AG48" si="8">AND((F40/$I40)&gt;0.15,(F40/$I40)&lt;0.25)</f>
        <v>0</v>
      </c>
      <c r="AI40" s="1" t="b">
        <f>AND((H40/$I40)&gt;0.25,(H40/$I40)&lt;0.35)</f>
        <v>0</v>
      </c>
      <c r="AJ40" s="1" t="b">
        <f>AND((I40/$I40)&gt;0.999,(I40/$I40)&lt;1.01)</f>
        <v>1</v>
      </c>
      <c r="AL40">
        <f>A40</f>
        <v>1992</v>
      </c>
      <c r="AM40" s="2">
        <f t="shared" ref="AM40:AN50" si="9">$I40*AM$39</f>
        <v>64384.799999999996</v>
      </c>
      <c r="AN40" s="2">
        <f t="shared" si="9"/>
        <v>0</v>
      </c>
      <c r="AO40" s="2"/>
      <c r="AP40" s="2"/>
      <c r="AQ40" s="2">
        <f t="shared" ref="AQ40:AQ49" si="10">$I40*AQ$39</f>
        <v>0</v>
      </c>
      <c r="AR40" s="2"/>
      <c r="AS40" s="2">
        <f t="shared" ref="AS40:AS51" si="11">$I40*AS$39</f>
        <v>42923.200000000004</v>
      </c>
      <c r="AT40" s="2">
        <f>SUM(AM40:AS40)</f>
        <v>107308</v>
      </c>
      <c r="AU40" s="2">
        <f>AT40-I40</f>
        <v>0</v>
      </c>
    </row>
    <row r="41" spans="1:47" x14ac:dyDescent="0.25">
      <c r="A41">
        <f t="shared" si="4"/>
        <v>1993</v>
      </c>
      <c r="B41" s="2">
        <f t="shared" ref="B41:C56" si="12">AM40*(1+(B5/100))</f>
        <v>70752.456719999987</v>
      </c>
      <c r="C41" s="2">
        <f t="shared" si="12"/>
        <v>0</v>
      </c>
      <c r="D41" s="2"/>
      <c r="E41" s="2"/>
      <c r="F41" s="2">
        <f t="shared" ref="F41:F48" si="13">AQ40*(1+(F5/100))</f>
        <v>0</v>
      </c>
      <c r="G41" s="2"/>
      <c r="H41" s="2">
        <f t="shared" ref="H41:H64" si="14">AS40*(1+(H5/100))</f>
        <v>47078.165760000004</v>
      </c>
      <c r="I41" s="2">
        <f t="shared" ref="I41:I64" si="15">SUM(B41:H41)</f>
        <v>117830.62247999999</v>
      </c>
      <c r="J41" s="2">
        <f t="shared" ref="J41:J64" si="16">I41-I40</f>
        <v>10522.622479999991</v>
      </c>
      <c r="K41" s="6">
        <f t="shared" ref="K41:K64" si="17">(J41/I40)</f>
        <v>9.8059999999999911E-2</v>
      </c>
      <c r="L41" s="7">
        <f t="shared" ref="L41:L64" si="18">K41+1</f>
        <v>1.0980599999999998</v>
      </c>
      <c r="O41">
        <f t="shared" ref="O41:O64" si="19">A41</f>
        <v>1993</v>
      </c>
      <c r="P41" s="6">
        <f t="shared" si="5"/>
        <v>0.60045899131195013</v>
      </c>
      <c r="Q41" s="6">
        <f t="shared" si="5"/>
        <v>0</v>
      </c>
      <c r="R41" s="7"/>
      <c r="S41" s="7"/>
      <c r="T41" s="6">
        <f t="shared" si="6"/>
        <v>0</v>
      </c>
      <c r="U41" s="7"/>
      <c r="V41" s="6">
        <f t="shared" si="7"/>
        <v>0.39954100868804987</v>
      </c>
      <c r="W41" s="6">
        <f t="shared" ref="W41:W64" si="20">SUM(P41:V41)</f>
        <v>1</v>
      </c>
      <c r="X41" s="7">
        <f t="shared" ref="X41:X64" si="21">SUM(P41:U41)</f>
        <v>0.60045899131195013</v>
      </c>
      <c r="Y41" s="7">
        <f t="shared" ref="Y41:Y64" si="22">W41-(X41+V41)</f>
        <v>0</v>
      </c>
      <c r="Z41" s="6"/>
      <c r="AB41">
        <f t="shared" ref="AB41:AB64" si="23">O41</f>
        <v>1993</v>
      </c>
      <c r="AC41" s="1" t="b">
        <f t="shared" ref="AC41:AC64" si="24">AND((B41/$I41)&gt;0.15,(B41/$I41)&lt;0.25)</f>
        <v>0</v>
      </c>
      <c r="AD41" s="1" t="b">
        <f t="shared" ref="AD41:AD50" si="25">AND((C41/$I41)&gt;0.25,(C41/$I41)&lt;0.35)</f>
        <v>0</v>
      </c>
      <c r="AG41" s="1" t="b">
        <f t="shared" si="8"/>
        <v>0</v>
      </c>
      <c r="AI41" s="1" t="b">
        <f t="shared" ref="AI41:AI64" si="26">AND((H41/$I41)&gt;0.25,(H41/$I41)&lt;0.35)</f>
        <v>0</v>
      </c>
      <c r="AJ41" s="1" t="b">
        <f t="shared" ref="AJ41:AJ64" si="27">AND((I41/$I41)&gt;0.999,(I41/$I41)&lt;1.01)</f>
        <v>1</v>
      </c>
      <c r="AL41">
        <f t="shared" ref="AL41:AL64" si="28">A41</f>
        <v>1993</v>
      </c>
      <c r="AM41" s="2">
        <f t="shared" si="9"/>
        <v>70698.373487999997</v>
      </c>
      <c r="AN41" s="2">
        <f t="shared" si="9"/>
        <v>0</v>
      </c>
      <c r="AO41" s="2"/>
      <c r="AP41" s="2"/>
      <c r="AQ41" s="2">
        <f t="shared" si="10"/>
        <v>0</v>
      </c>
      <c r="AR41" s="2"/>
      <c r="AS41" s="2">
        <f t="shared" si="11"/>
        <v>47132.248992000001</v>
      </c>
      <c r="AT41" s="2">
        <f t="shared" ref="AT41:AT64" si="29">I41</f>
        <v>117830.62247999999</v>
      </c>
      <c r="AU41" s="2">
        <f t="shared" ref="AU41:AU64" si="30">AT41-I41</f>
        <v>0</v>
      </c>
    </row>
    <row r="42" spans="1:47" x14ac:dyDescent="0.25">
      <c r="A42">
        <f t="shared" si="4"/>
        <v>1994</v>
      </c>
      <c r="B42" s="2">
        <f t="shared" si="12"/>
        <v>71532.614295158404</v>
      </c>
      <c r="C42" s="2">
        <f t="shared" si="12"/>
        <v>0</v>
      </c>
      <c r="D42" s="2"/>
      <c r="E42" s="2"/>
      <c r="F42" s="2">
        <f t="shared" si="13"/>
        <v>0</v>
      </c>
      <c r="G42" s="2"/>
      <c r="H42" s="2">
        <f t="shared" si="14"/>
        <v>45878.531168812806</v>
      </c>
      <c r="I42" s="2">
        <f t="shared" si="15"/>
        <v>117411.14546397122</v>
      </c>
      <c r="J42" s="2">
        <f t="shared" si="16"/>
        <v>-419.47701602877351</v>
      </c>
      <c r="K42" s="6">
        <f t="shared" si="17"/>
        <v>-3.5599999999997756E-3</v>
      </c>
      <c r="L42" s="7">
        <f t="shared" si="18"/>
        <v>0.99644000000000021</v>
      </c>
      <c r="O42">
        <f t="shared" si="19"/>
        <v>1994</v>
      </c>
      <c r="P42" s="6">
        <f t="shared" si="5"/>
        <v>0.60924892617719073</v>
      </c>
      <c r="Q42" s="6">
        <f t="shared" si="5"/>
        <v>0</v>
      </c>
      <c r="R42" s="7"/>
      <c r="S42" s="7"/>
      <c r="T42" s="6">
        <f t="shared" si="6"/>
        <v>0</v>
      </c>
      <c r="U42" s="7"/>
      <c r="V42" s="6">
        <f t="shared" si="7"/>
        <v>0.39075107382280921</v>
      </c>
      <c r="W42" s="6">
        <f t="shared" si="20"/>
        <v>1</v>
      </c>
      <c r="X42" s="7">
        <f t="shared" si="21"/>
        <v>0.60924892617719073</v>
      </c>
      <c r="Y42" s="7">
        <f t="shared" si="22"/>
        <v>0</v>
      </c>
      <c r="Z42" s="6"/>
      <c r="AB42">
        <f t="shared" si="23"/>
        <v>1994</v>
      </c>
      <c r="AC42" s="1" t="b">
        <f t="shared" si="24"/>
        <v>0</v>
      </c>
      <c r="AD42" s="1" t="b">
        <f t="shared" si="25"/>
        <v>0</v>
      </c>
      <c r="AG42" s="1" t="b">
        <f t="shared" si="8"/>
        <v>0</v>
      </c>
      <c r="AI42" s="1" t="b">
        <f t="shared" si="26"/>
        <v>0</v>
      </c>
      <c r="AJ42" s="1" t="b">
        <f t="shared" si="27"/>
        <v>1</v>
      </c>
      <c r="AL42">
        <f t="shared" si="28"/>
        <v>1994</v>
      </c>
      <c r="AM42" s="2">
        <f t="shared" si="9"/>
        <v>70446.687278382728</v>
      </c>
      <c r="AN42" s="2">
        <f t="shared" si="9"/>
        <v>0</v>
      </c>
      <c r="AO42" s="2"/>
      <c r="AP42" s="2"/>
      <c r="AQ42" s="2">
        <f t="shared" si="10"/>
        <v>0</v>
      </c>
      <c r="AR42" s="2"/>
      <c r="AS42" s="2">
        <f t="shared" si="11"/>
        <v>46964.45818558849</v>
      </c>
      <c r="AT42" s="2">
        <f t="shared" si="29"/>
        <v>117411.14546397122</v>
      </c>
      <c r="AU42" s="2">
        <f t="shared" si="30"/>
        <v>0</v>
      </c>
    </row>
    <row r="43" spans="1:47" x14ac:dyDescent="0.25">
      <c r="A43">
        <f t="shared" si="4"/>
        <v>1995</v>
      </c>
      <c r="B43" s="2">
        <f t="shared" si="12"/>
        <v>96828.971664137061</v>
      </c>
      <c r="C43" s="2">
        <f t="shared" si="12"/>
        <v>0</v>
      </c>
      <c r="D43" s="2"/>
      <c r="E43" s="2"/>
      <c r="F43" s="2">
        <f t="shared" si="13"/>
        <v>0</v>
      </c>
      <c r="G43" s="2"/>
      <c r="H43" s="2">
        <f t="shared" si="14"/>
        <v>55502.596683728472</v>
      </c>
      <c r="I43" s="2">
        <f t="shared" si="15"/>
        <v>152331.56834786554</v>
      </c>
      <c r="J43" s="2">
        <f t="shared" si="16"/>
        <v>34920.422883894324</v>
      </c>
      <c r="K43" s="6">
        <f t="shared" si="17"/>
        <v>0.29742000000000002</v>
      </c>
      <c r="L43" s="7">
        <f t="shared" si="18"/>
        <v>1.29742</v>
      </c>
      <c r="O43">
        <f t="shared" si="19"/>
        <v>1995</v>
      </c>
      <c r="P43" s="6">
        <f t="shared" si="5"/>
        <v>0.63564612847034885</v>
      </c>
      <c r="Q43" s="6">
        <f t="shared" si="5"/>
        <v>0</v>
      </c>
      <c r="R43" s="7"/>
      <c r="S43" s="7"/>
      <c r="T43" s="6">
        <f t="shared" si="6"/>
        <v>0</v>
      </c>
      <c r="U43" s="7"/>
      <c r="V43" s="6">
        <f t="shared" si="7"/>
        <v>0.36435387152965115</v>
      </c>
      <c r="W43" s="6">
        <f t="shared" si="20"/>
        <v>1</v>
      </c>
      <c r="X43" s="7">
        <f t="shared" si="21"/>
        <v>0.63564612847034885</v>
      </c>
      <c r="Y43" s="7">
        <f t="shared" si="22"/>
        <v>0</v>
      </c>
      <c r="Z43" s="6"/>
      <c r="AB43">
        <f t="shared" si="23"/>
        <v>1995</v>
      </c>
      <c r="AC43" s="1" t="b">
        <f t="shared" si="24"/>
        <v>0</v>
      </c>
      <c r="AD43" s="1" t="b">
        <f t="shared" si="25"/>
        <v>0</v>
      </c>
      <c r="AG43" s="1" t="b">
        <f t="shared" si="8"/>
        <v>0</v>
      </c>
      <c r="AI43" s="1" t="b">
        <f t="shared" si="26"/>
        <v>0</v>
      </c>
      <c r="AJ43" s="1" t="b">
        <f t="shared" si="27"/>
        <v>1</v>
      </c>
      <c r="AL43">
        <f t="shared" si="28"/>
        <v>1995</v>
      </c>
      <c r="AM43" s="2">
        <f t="shared" si="9"/>
        <v>91398.941008719325</v>
      </c>
      <c r="AN43" s="2">
        <f t="shared" si="9"/>
        <v>0</v>
      </c>
      <c r="AO43" s="2"/>
      <c r="AP43" s="2"/>
      <c r="AQ43" s="2">
        <f t="shared" si="10"/>
        <v>0</v>
      </c>
      <c r="AR43" s="2"/>
      <c r="AS43" s="2">
        <f t="shared" si="11"/>
        <v>60932.627339146216</v>
      </c>
      <c r="AT43" s="2">
        <f t="shared" si="29"/>
        <v>152331.56834786554</v>
      </c>
      <c r="AU43" s="2">
        <f t="shared" si="30"/>
        <v>0</v>
      </c>
    </row>
    <row r="44" spans="1:47" x14ac:dyDescent="0.25">
      <c r="A44">
        <f t="shared" si="4"/>
        <v>1996</v>
      </c>
      <c r="B44" s="2">
        <f t="shared" si="12"/>
        <v>112311.01871151432</v>
      </c>
      <c r="C44" s="2">
        <f t="shared" si="12"/>
        <v>0</v>
      </c>
      <c r="D44" s="2"/>
      <c r="E44" s="2"/>
      <c r="F44" s="2">
        <f t="shared" si="13"/>
        <v>0</v>
      </c>
      <c r="G44" s="2"/>
      <c r="H44" s="2">
        <f t="shared" si="14"/>
        <v>63114.015397887655</v>
      </c>
      <c r="I44" s="2">
        <f t="shared" si="15"/>
        <v>175425.03410940198</v>
      </c>
      <c r="J44" s="2">
        <f t="shared" si="16"/>
        <v>23093.465761536441</v>
      </c>
      <c r="K44" s="6">
        <f t="shared" si="17"/>
        <v>0.15160000000000018</v>
      </c>
      <c r="L44" s="7">
        <f t="shared" si="18"/>
        <v>1.1516000000000002</v>
      </c>
      <c r="O44">
        <f t="shared" si="19"/>
        <v>1996</v>
      </c>
      <c r="P44" s="6">
        <f t="shared" si="5"/>
        <v>0.64022229940951714</v>
      </c>
      <c r="Q44" s="6">
        <f t="shared" si="5"/>
        <v>0</v>
      </c>
      <c r="R44" s="7"/>
      <c r="S44" s="7"/>
      <c r="T44" s="38">
        <f t="shared" si="6"/>
        <v>0</v>
      </c>
      <c r="U44" s="7"/>
      <c r="V44" s="6">
        <f t="shared" si="7"/>
        <v>0.35977770059048275</v>
      </c>
      <c r="W44" s="6">
        <f t="shared" si="20"/>
        <v>0.99999999999999989</v>
      </c>
      <c r="X44" s="7">
        <f t="shared" si="21"/>
        <v>0.64022229940951714</v>
      </c>
      <c r="Y44" s="7">
        <f t="shared" si="22"/>
        <v>0</v>
      </c>
      <c r="Z44" s="6"/>
      <c r="AB44">
        <f t="shared" si="23"/>
        <v>1996</v>
      </c>
      <c r="AC44" s="1" t="b">
        <f t="shared" si="24"/>
        <v>0</v>
      </c>
      <c r="AD44" s="1" t="b">
        <f t="shared" si="25"/>
        <v>0</v>
      </c>
      <c r="AG44" s="39" t="b">
        <f t="shared" si="8"/>
        <v>0</v>
      </c>
      <c r="AI44" s="1" t="b">
        <f t="shared" si="26"/>
        <v>0</v>
      </c>
      <c r="AJ44" s="1" t="b">
        <f t="shared" si="27"/>
        <v>1</v>
      </c>
      <c r="AL44">
        <f t="shared" si="28"/>
        <v>1996</v>
      </c>
      <c r="AM44" s="2">
        <f t="shared" si="9"/>
        <v>105255.02046564118</v>
      </c>
      <c r="AN44" s="2">
        <f t="shared" si="9"/>
        <v>0</v>
      </c>
      <c r="AO44" s="2"/>
      <c r="AP44" s="2"/>
      <c r="AQ44" s="2">
        <f t="shared" si="10"/>
        <v>0</v>
      </c>
      <c r="AR44" s="2"/>
      <c r="AS44" s="2">
        <f t="shared" si="11"/>
        <v>70170.013643760802</v>
      </c>
      <c r="AT44" s="2">
        <f t="shared" si="29"/>
        <v>175425.03410940198</v>
      </c>
      <c r="AU44" s="2">
        <f t="shared" si="30"/>
        <v>0</v>
      </c>
    </row>
    <row r="45" spans="1:47" x14ac:dyDescent="0.25">
      <c r="A45">
        <f t="shared" si="4"/>
        <v>1997</v>
      </c>
      <c r="B45" s="2">
        <f t="shared" si="12"/>
        <v>140189.16175818749</v>
      </c>
      <c r="C45" s="2">
        <f t="shared" si="12"/>
        <v>0</v>
      </c>
      <c r="D45" s="2"/>
      <c r="E45" s="2"/>
      <c r="F45" s="2">
        <f t="shared" si="13"/>
        <v>0</v>
      </c>
      <c r="G45" s="2"/>
      <c r="H45" s="2">
        <f t="shared" si="14"/>
        <v>76794.062931731823</v>
      </c>
      <c r="I45" s="2">
        <f t="shared" si="15"/>
        <v>216983.22468991933</v>
      </c>
      <c r="J45" s="2">
        <f t="shared" si="16"/>
        <v>41558.190580517345</v>
      </c>
      <c r="K45" s="6">
        <f t="shared" si="17"/>
        <v>0.23690000000000008</v>
      </c>
      <c r="L45" s="7">
        <f t="shared" si="18"/>
        <v>1.2369000000000001</v>
      </c>
      <c r="O45">
        <f t="shared" si="19"/>
        <v>1997</v>
      </c>
      <c r="P45" s="6">
        <f t="shared" si="5"/>
        <v>0.64608294930875565</v>
      </c>
      <c r="Q45" s="6">
        <f t="shared" si="5"/>
        <v>0</v>
      </c>
      <c r="R45" s="7"/>
      <c r="S45" s="7"/>
      <c r="T45" s="6">
        <f t="shared" si="6"/>
        <v>0</v>
      </c>
      <c r="U45" s="7"/>
      <c r="V45" s="6">
        <f t="shared" si="7"/>
        <v>0.35391705069124429</v>
      </c>
      <c r="W45" s="6">
        <f t="shared" si="20"/>
        <v>1</v>
      </c>
      <c r="X45" s="7">
        <f t="shared" si="21"/>
        <v>0.64608294930875565</v>
      </c>
      <c r="Y45" s="7">
        <f t="shared" si="22"/>
        <v>0</v>
      </c>
      <c r="Z45" s="6"/>
      <c r="AB45">
        <f t="shared" si="23"/>
        <v>1997</v>
      </c>
      <c r="AC45" s="1" t="b">
        <f t="shared" si="24"/>
        <v>0</v>
      </c>
      <c r="AD45" s="1" t="b">
        <f t="shared" si="25"/>
        <v>0</v>
      </c>
      <c r="AG45" s="1" t="b">
        <f t="shared" si="8"/>
        <v>0</v>
      </c>
      <c r="AI45" s="1" t="b">
        <f t="shared" si="26"/>
        <v>0</v>
      </c>
      <c r="AJ45" s="1" t="b">
        <f t="shared" si="27"/>
        <v>1</v>
      </c>
      <c r="AL45">
        <f t="shared" si="28"/>
        <v>1997</v>
      </c>
      <c r="AM45" s="2">
        <f t="shared" si="9"/>
        <v>130189.93481395159</v>
      </c>
      <c r="AN45" s="2">
        <f t="shared" si="9"/>
        <v>0</v>
      </c>
      <c r="AO45" s="2"/>
      <c r="AP45" s="2"/>
      <c r="AQ45" s="2">
        <f t="shared" si="10"/>
        <v>0</v>
      </c>
      <c r="AR45" s="2"/>
      <c r="AS45" s="2">
        <f t="shared" si="11"/>
        <v>86793.289875967734</v>
      </c>
      <c r="AT45" s="2">
        <f t="shared" si="29"/>
        <v>216983.22468991933</v>
      </c>
      <c r="AU45" s="2">
        <f t="shared" si="30"/>
        <v>0</v>
      </c>
    </row>
    <row r="46" spans="1:47" x14ac:dyDescent="0.25">
      <c r="A46">
        <f t="shared" si="4"/>
        <v>1998</v>
      </c>
      <c r="B46" s="2">
        <f t="shared" si="12"/>
        <v>167502.3701316301</v>
      </c>
      <c r="C46" s="2">
        <f t="shared" si="12"/>
        <v>0</v>
      </c>
      <c r="D46" s="2"/>
      <c r="E46" s="2"/>
      <c r="F46" s="2">
        <f t="shared" si="13"/>
        <v>0</v>
      </c>
      <c r="G46" s="2"/>
      <c r="H46" s="2">
        <f t="shared" si="14"/>
        <v>94240.154147325768</v>
      </c>
      <c r="I46" s="2">
        <f t="shared" si="15"/>
        <v>261742.52427895588</v>
      </c>
      <c r="J46" s="2">
        <f t="shared" si="16"/>
        <v>44759.299589036556</v>
      </c>
      <c r="K46" s="6">
        <f t="shared" si="17"/>
        <v>0.20627999999999999</v>
      </c>
      <c r="L46" s="7">
        <f t="shared" si="18"/>
        <v>1.20628</v>
      </c>
      <c r="O46">
        <f t="shared" si="19"/>
        <v>1998</v>
      </c>
      <c r="P46" s="6">
        <f t="shared" si="5"/>
        <v>0.6399509235003481</v>
      </c>
      <c r="Q46" s="6">
        <f t="shared" si="5"/>
        <v>0</v>
      </c>
      <c r="R46" s="7"/>
      <c r="S46" s="7"/>
      <c r="T46" s="6">
        <f t="shared" si="6"/>
        <v>0</v>
      </c>
      <c r="U46" s="7"/>
      <c r="V46" s="6">
        <f t="shared" si="7"/>
        <v>0.36004907649965184</v>
      </c>
      <c r="W46" s="6">
        <f t="shared" si="20"/>
        <v>1</v>
      </c>
      <c r="X46" s="7">
        <f t="shared" si="21"/>
        <v>0.6399509235003481</v>
      </c>
      <c r="Y46" s="7">
        <f t="shared" si="22"/>
        <v>0</v>
      </c>
      <c r="Z46" s="6"/>
      <c r="AB46">
        <f t="shared" si="23"/>
        <v>1998</v>
      </c>
      <c r="AC46" s="1" t="b">
        <f t="shared" si="24"/>
        <v>0</v>
      </c>
      <c r="AD46" s="1" t="b">
        <f t="shared" si="25"/>
        <v>0</v>
      </c>
      <c r="AG46" s="1" t="b">
        <f t="shared" si="8"/>
        <v>0</v>
      </c>
      <c r="AI46" s="1" t="b">
        <f t="shared" si="26"/>
        <v>0</v>
      </c>
      <c r="AJ46" s="1" t="b">
        <f t="shared" si="27"/>
        <v>1</v>
      </c>
      <c r="AL46">
        <f t="shared" si="28"/>
        <v>1998</v>
      </c>
      <c r="AM46" s="2">
        <f t="shared" si="9"/>
        <v>157045.51456737352</v>
      </c>
      <c r="AN46" s="2">
        <f t="shared" si="9"/>
        <v>0</v>
      </c>
      <c r="AO46" s="2"/>
      <c r="AP46" s="2"/>
      <c r="AQ46" s="2">
        <f t="shared" si="10"/>
        <v>0</v>
      </c>
      <c r="AR46" s="2"/>
      <c r="AS46" s="2">
        <f t="shared" si="11"/>
        <v>104697.00971158236</v>
      </c>
      <c r="AT46" s="2">
        <f t="shared" si="29"/>
        <v>261742.52427895588</v>
      </c>
      <c r="AU46" s="2">
        <f t="shared" si="30"/>
        <v>0</v>
      </c>
    </row>
    <row r="47" spans="1:47" x14ac:dyDescent="0.25">
      <c r="A47">
        <f t="shared" si="4"/>
        <v>1999</v>
      </c>
      <c r="B47" s="2">
        <f t="shared" si="12"/>
        <v>190135.00448671915</v>
      </c>
      <c r="C47" s="2">
        <f t="shared" si="12"/>
        <v>0</v>
      </c>
      <c r="D47" s="2"/>
      <c r="E47" s="2"/>
      <c r="F47" s="2">
        <f t="shared" si="13"/>
        <v>0</v>
      </c>
      <c r="G47" s="2"/>
      <c r="H47" s="2">
        <f t="shared" si="14"/>
        <v>103901.31243777432</v>
      </c>
      <c r="I47" s="2">
        <f t="shared" si="15"/>
        <v>294036.31692449347</v>
      </c>
      <c r="J47" s="2">
        <f t="shared" si="16"/>
        <v>32293.792645537585</v>
      </c>
      <c r="K47" s="6">
        <f t="shared" si="17"/>
        <v>0.12338000000000003</v>
      </c>
      <c r="L47" s="7">
        <f t="shared" si="18"/>
        <v>1.12338</v>
      </c>
      <c r="O47">
        <f t="shared" si="19"/>
        <v>1999</v>
      </c>
      <c r="P47" s="6">
        <f t="shared" si="5"/>
        <v>0.6466378251348609</v>
      </c>
      <c r="Q47" s="6">
        <f t="shared" si="5"/>
        <v>0</v>
      </c>
      <c r="R47" s="7"/>
      <c r="S47" s="7"/>
      <c r="T47" s="6">
        <f t="shared" si="6"/>
        <v>0</v>
      </c>
      <c r="U47" s="7"/>
      <c r="V47" s="6">
        <f t="shared" si="7"/>
        <v>0.3533621748651391</v>
      </c>
      <c r="W47" s="6">
        <f t="shared" si="20"/>
        <v>1</v>
      </c>
      <c r="X47" s="7">
        <f t="shared" si="21"/>
        <v>0.6466378251348609</v>
      </c>
      <c r="Y47" s="7">
        <f t="shared" si="22"/>
        <v>0</v>
      </c>
      <c r="Z47" s="6"/>
      <c r="AB47">
        <f t="shared" si="23"/>
        <v>1999</v>
      </c>
      <c r="AC47" s="1" t="b">
        <f t="shared" si="24"/>
        <v>0</v>
      </c>
      <c r="AD47" s="1" t="b">
        <f t="shared" si="25"/>
        <v>0</v>
      </c>
      <c r="AG47" s="1" t="b">
        <f t="shared" si="8"/>
        <v>0</v>
      </c>
      <c r="AI47" s="1" t="b">
        <f t="shared" si="26"/>
        <v>0</v>
      </c>
      <c r="AJ47" s="1" t="b">
        <f t="shared" si="27"/>
        <v>1</v>
      </c>
      <c r="AL47">
        <f t="shared" si="28"/>
        <v>1999</v>
      </c>
      <c r="AM47" s="2">
        <f t="shared" si="9"/>
        <v>176421.79015469606</v>
      </c>
      <c r="AN47" s="2">
        <f t="shared" si="9"/>
        <v>0</v>
      </c>
      <c r="AO47" s="2"/>
      <c r="AP47" s="2"/>
      <c r="AQ47" s="2">
        <f t="shared" si="10"/>
        <v>0</v>
      </c>
      <c r="AR47" s="2"/>
      <c r="AS47" s="2">
        <f t="shared" si="11"/>
        <v>117614.52676979739</v>
      </c>
      <c r="AT47" s="2">
        <f t="shared" si="29"/>
        <v>294036.31692449347</v>
      </c>
      <c r="AU47" s="2">
        <f t="shared" si="30"/>
        <v>0</v>
      </c>
    </row>
    <row r="48" spans="1:47" x14ac:dyDescent="0.25">
      <c r="A48">
        <f t="shared" si="4"/>
        <v>2000</v>
      </c>
      <c r="B48" s="2">
        <f t="shared" si="12"/>
        <v>160437.97596668059</v>
      </c>
      <c r="C48" s="2">
        <f t="shared" si="12"/>
        <v>0</v>
      </c>
      <c r="D48" s="2"/>
      <c r="E48" s="2"/>
      <c r="F48" s="2">
        <f t="shared" si="13"/>
        <v>0</v>
      </c>
      <c r="G48" s="2"/>
      <c r="H48" s="2">
        <f t="shared" si="14"/>
        <v>131010.82136887732</v>
      </c>
      <c r="I48" s="2">
        <f t="shared" si="15"/>
        <v>291448.79733555793</v>
      </c>
      <c r="J48" s="2">
        <f t="shared" si="16"/>
        <v>-2587.5195889355382</v>
      </c>
      <c r="K48" s="6">
        <f t="shared" si="17"/>
        <v>-8.7999999999999849E-3</v>
      </c>
      <c r="L48" s="7">
        <f t="shared" si="18"/>
        <v>0.99119999999999997</v>
      </c>
      <c r="O48">
        <f t="shared" si="19"/>
        <v>2000</v>
      </c>
      <c r="P48" s="6">
        <f t="shared" si="5"/>
        <v>0.55048426150121055</v>
      </c>
      <c r="Q48" s="6">
        <f t="shared" si="5"/>
        <v>0</v>
      </c>
      <c r="R48" s="7"/>
      <c r="S48" s="7"/>
      <c r="T48" s="6">
        <f t="shared" si="6"/>
        <v>0</v>
      </c>
      <c r="U48" s="6"/>
      <c r="V48" s="38">
        <f t="shared" si="7"/>
        <v>0.4495157384987894</v>
      </c>
      <c r="W48" s="6">
        <f t="shared" si="20"/>
        <v>1</v>
      </c>
      <c r="X48" s="7">
        <f t="shared" si="21"/>
        <v>0.55048426150121055</v>
      </c>
      <c r="Y48" s="7">
        <f t="shared" si="22"/>
        <v>0</v>
      </c>
      <c r="Z48" s="6"/>
      <c r="AB48">
        <f t="shared" si="23"/>
        <v>2000</v>
      </c>
      <c r="AC48" s="1" t="b">
        <f t="shared" si="24"/>
        <v>0</v>
      </c>
      <c r="AD48" s="1" t="b">
        <f t="shared" si="25"/>
        <v>0</v>
      </c>
      <c r="AG48" s="1" t="b">
        <f t="shared" si="8"/>
        <v>0</v>
      </c>
      <c r="AI48" s="39" t="b">
        <f t="shared" si="26"/>
        <v>0</v>
      </c>
      <c r="AJ48" s="1" t="b">
        <f t="shared" si="27"/>
        <v>1</v>
      </c>
      <c r="AL48">
        <f t="shared" si="28"/>
        <v>2000</v>
      </c>
      <c r="AM48" s="2">
        <f t="shared" si="9"/>
        <v>174869.27840133474</v>
      </c>
      <c r="AN48" s="2">
        <f t="shared" si="9"/>
        <v>0</v>
      </c>
      <c r="AO48" s="2"/>
      <c r="AP48" s="2"/>
      <c r="AQ48" s="2">
        <f t="shared" si="10"/>
        <v>0</v>
      </c>
      <c r="AR48" s="2"/>
      <c r="AS48" s="2">
        <f t="shared" si="11"/>
        <v>116579.51893422318</v>
      </c>
      <c r="AT48" s="2">
        <f t="shared" si="29"/>
        <v>291448.79733555793</v>
      </c>
      <c r="AU48" s="2">
        <f t="shared" si="30"/>
        <v>0</v>
      </c>
    </row>
    <row r="49" spans="1:47" x14ac:dyDescent="0.25">
      <c r="A49">
        <f t="shared" si="4"/>
        <v>2001</v>
      </c>
      <c r="B49" s="2">
        <f t="shared" si="12"/>
        <v>153849.9911374943</v>
      </c>
      <c r="C49" s="2">
        <f t="shared" si="12"/>
        <v>0</v>
      </c>
      <c r="D49" s="2"/>
      <c r="E49" s="2"/>
      <c r="F49" s="2"/>
      <c r="G49" s="2">
        <f>AQ48*(1+(G13/100))</f>
        <v>0</v>
      </c>
      <c r="H49" s="2">
        <f t="shared" si="14"/>
        <v>126407.17238037819</v>
      </c>
      <c r="I49" s="2">
        <f t="shared" si="15"/>
        <v>280257.16351787251</v>
      </c>
      <c r="J49" s="2">
        <f t="shared" si="16"/>
        <v>-11191.633817685419</v>
      </c>
      <c r="K49" s="6">
        <f t="shared" si="17"/>
        <v>-3.8399999999999983E-2</v>
      </c>
      <c r="L49" s="7">
        <f t="shared" si="18"/>
        <v>0.96160000000000001</v>
      </c>
      <c r="O49">
        <f t="shared" si="19"/>
        <v>2001</v>
      </c>
      <c r="P49" s="6">
        <f t="shared" si="5"/>
        <v>0.54896006655574037</v>
      </c>
      <c r="Q49" s="6">
        <f t="shared" si="5"/>
        <v>0</v>
      </c>
      <c r="R49" s="7"/>
      <c r="S49" s="7"/>
      <c r="T49" s="6"/>
      <c r="U49" s="6">
        <f t="shared" si="5"/>
        <v>0</v>
      </c>
      <c r="V49" s="6">
        <f t="shared" si="7"/>
        <v>0.45103993344425958</v>
      </c>
      <c r="W49" s="6">
        <f t="shared" si="20"/>
        <v>1</v>
      </c>
      <c r="X49" s="7">
        <f t="shared" si="21"/>
        <v>0.54896006655574037</v>
      </c>
      <c r="Y49" s="7">
        <f t="shared" si="22"/>
        <v>0</v>
      </c>
      <c r="Z49" s="6"/>
      <c r="AB49">
        <f t="shared" si="23"/>
        <v>2001</v>
      </c>
      <c r="AC49" s="1" t="b">
        <f t="shared" si="24"/>
        <v>0</v>
      </c>
      <c r="AD49" s="1" t="b">
        <f t="shared" si="25"/>
        <v>0</v>
      </c>
      <c r="AG49" s="1"/>
      <c r="AH49" s="1" t="b">
        <f t="shared" ref="AH49:AH64" si="31">AND((G49/$I49)&gt;0.15,(G49/$I49)&lt;0.25)</f>
        <v>0</v>
      </c>
      <c r="AI49" s="1" t="b">
        <f t="shared" si="26"/>
        <v>0</v>
      </c>
      <c r="AJ49" s="1" t="b">
        <f t="shared" si="27"/>
        <v>1</v>
      </c>
      <c r="AL49">
        <f t="shared" si="28"/>
        <v>2001</v>
      </c>
      <c r="AM49" s="2">
        <f t="shared" si="9"/>
        <v>168154.2981107235</v>
      </c>
      <c r="AN49" s="2">
        <f t="shared" si="9"/>
        <v>0</v>
      </c>
      <c r="AO49" s="2"/>
      <c r="AP49" s="2"/>
      <c r="AQ49" s="2">
        <f t="shared" si="10"/>
        <v>0</v>
      </c>
      <c r="AR49" s="2"/>
      <c r="AS49" s="2">
        <f t="shared" si="11"/>
        <v>112102.86540714902</v>
      </c>
      <c r="AT49" s="2">
        <f t="shared" si="29"/>
        <v>280257.16351787251</v>
      </c>
      <c r="AU49" s="2">
        <f t="shared" si="30"/>
        <v>0</v>
      </c>
    </row>
    <row r="50" spans="1:47" x14ac:dyDescent="0.25">
      <c r="A50">
        <f t="shared" si="4"/>
        <v>2002</v>
      </c>
      <c r="B50" s="2">
        <f t="shared" si="12"/>
        <v>130908.12107919823</v>
      </c>
      <c r="C50" s="2">
        <f t="shared" si="12"/>
        <v>0</v>
      </c>
      <c r="D50" s="2"/>
      <c r="E50" s="2"/>
      <c r="F50" s="2"/>
      <c r="G50" s="2">
        <f t="shared" ref="G50:G64" si="32">AR49*(1+(G14/100))</f>
        <v>0</v>
      </c>
      <c r="H50" s="2">
        <f t="shared" si="14"/>
        <v>121362.56208977953</v>
      </c>
      <c r="I50" s="2">
        <f t="shared" si="15"/>
        <v>252270.68316897776</v>
      </c>
      <c r="J50" s="2">
        <f t="shared" si="16"/>
        <v>-27986.480348894751</v>
      </c>
      <c r="K50" s="6">
        <f t="shared" si="17"/>
        <v>-9.9860000000000004E-2</v>
      </c>
      <c r="L50" s="7">
        <f t="shared" si="18"/>
        <v>0.90013999999999994</v>
      </c>
      <c r="O50">
        <f t="shared" si="19"/>
        <v>2002</v>
      </c>
      <c r="P50" s="38">
        <f t="shared" si="5"/>
        <v>0.51891927922323189</v>
      </c>
      <c r="Q50" s="6">
        <f t="shared" si="5"/>
        <v>0</v>
      </c>
      <c r="R50" s="7"/>
      <c r="S50" s="7"/>
      <c r="T50" s="7"/>
      <c r="U50" s="6">
        <f t="shared" si="5"/>
        <v>0</v>
      </c>
      <c r="V50" s="6">
        <f t="shared" si="7"/>
        <v>0.48108072077676811</v>
      </c>
      <c r="W50" s="6">
        <f t="shared" si="20"/>
        <v>1</v>
      </c>
      <c r="X50" s="7">
        <f t="shared" si="21"/>
        <v>0.51891927922323189</v>
      </c>
      <c r="Y50" s="7">
        <f t="shared" si="22"/>
        <v>0</v>
      </c>
      <c r="Z50" s="6"/>
      <c r="AB50">
        <f t="shared" si="23"/>
        <v>2002</v>
      </c>
      <c r="AC50" s="39" t="b">
        <f t="shared" si="24"/>
        <v>0</v>
      </c>
      <c r="AD50" s="1" t="b">
        <f t="shared" si="25"/>
        <v>0</v>
      </c>
      <c r="AH50" s="1" t="b">
        <f t="shared" si="31"/>
        <v>0</v>
      </c>
      <c r="AI50" s="1" t="b">
        <f t="shared" si="26"/>
        <v>0</v>
      </c>
      <c r="AJ50" s="1" t="b">
        <f t="shared" si="27"/>
        <v>1</v>
      </c>
      <c r="AL50">
        <f t="shared" si="28"/>
        <v>2002</v>
      </c>
      <c r="AM50" s="2">
        <f t="shared" si="9"/>
        <v>151362.40990138665</v>
      </c>
      <c r="AN50" s="2">
        <f t="shared" si="9"/>
        <v>0</v>
      </c>
      <c r="AO50" s="2"/>
      <c r="AP50" s="2"/>
      <c r="AQ50" s="2"/>
      <c r="AR50" s="2">
        <f>$I50*AR$39</f>
        <v>0</v>
      </c>
      <c r="AS50" s="2">
        <f t="shared" si="11"/>
        <v>100908.27326759111</v>
      </c>
      <c r="AT50" s="2">
        <f t="shared" si="29"/>
        <v>252270.68316897776</v>
      </c>
      <c r="AU50" s="2">
        <f t="shared" si="30"/>
        <v>0</v>
      </c>
    </row>
    <row r="51" spans="1:47" x14ac:dyDescent="0.25">
      <c r="A51">
        <f t="shared" si="4"/>
        <v>2003</v>
      </c>
      <c r="B51" s="2">
        <f t="shared" si="12"/>
        <v>194500.69672328184</v>
      </c>
      <c r="C51" s="2"/>
      <c r="D51" s="2">
        <f>(AN50*0.67)*(1+(D15/100))</f>
        <v>0</v>
      </c>
      <c r="E51" s="2">
        <f>(AN50*0.33)*(1+(E15/100))</f>
        <v>0</v>
      </c>
      <c r="F51" s="2"/>
      <c r="G51" s="2">
        <f t="shared" si="32"/>
        <v>0</v>
      </c>
      <c r="H51" s="2">
        <f t="shared" si="14"/>
        <v>104914.33171631448</v>
      </c>
      <c r="I51" s="2">
        <f t="shared" si="15"/>
        <v>299415.0284395963</v>
      </c>
      <c r="J51" s="2">
        <f t="shared" si="16"/>
        <v>47144.345270618534</v>
      </c>
      <c r="K51" s="6">
        <f t="shared" si="17"/>
        <v>0.18687999999999988</v>
      </c>
      <c r="L51" s="7">
        <f t="shared" si="18"/>
        <v>1.1868799999999999</v>
      </c>
      <c r="O51">
        <f t="shared" si="19"/>
        <v>2003</v>
      </c>
      <c r="P51" s="6">
        <f t="shared" si="5"/>
        <v>0.64960231868428153</v>
      </c>
      <c r="Q51" s="7"/>
      <c r="R51" s="6">
        <f t="shared" si="5"/>
        <v>0</v>
      </c>
      <c r="S51" s="6">
        <f t="shared" si="5"/>
        <v>0</v>
      </c>
      <c r="T51" s="7"/>
      <c r="U51" s="6">
        <f t="shared" si="5"/>
        <v>0</v>
      </c>
      <c r="V51" s="6">
        <f t="shared" si="7"/>
        <v>0.35039768131571858</v>
      </c>
      <c r="W51" s="6">
        <f t="shared" si="20"/>
        <v>1</v>
      </c>
      <c r="X51" s="7">
        <f t="shared" si="21"/>
        <v>0.64960231868428153</v>
      </c>
      <c r="Y51" s="7">
        <f t="shared" si="22"/>
        <v>0</v>
      </c>
      <c r="Z51" s="6"/>
      <c r="AB51">
        <f t="shared" si="23"/>
        <v>2003</v>
      </c>
      <c r="AC51" s="1" t="b">
        <f t="shared" si="24"/>
        <v>0</v>
      </c>
      <c r="AE51" s="1" t="b">
        <f>AND((D51/$I51)&gt;0.15,(D51/$I51)&lt;0.25)</f>
        <v>0</v>
      </c>
      <c r="AF51" s="1" t="b">
        <f>AND((E51/$I51)&gt;0.05,(E51/$I51)&lt;0.15)</f>
        <v>0</v>
      </c>
      <c r="AH51" s="1" t="b">
        <f t="shared" si="31"/>
        <v>0</v>
      </c>
      <c r="AI51" s="1" t="b">
        <f t="shared" si="26"/>
        <v>0</v>
      </c>
      <c r="AJ51" s="1" t="b">
        <f t="shared" si="27"/>
        <v>1</v>
      </c>
      <c r="AL51">
        <f t="shared" si="28"/>
        <v>2003</v>
      </c>
      <c r="AM51" s="2">
        <f>$I51*AM$39</f>
        <v>179649.01706375778</v>
      </c>
      <c r="AN51" s="2"/>
      <c r="AO51" s="2">
        <f t="shared" ref="AO51:AP64" si="33">$I51*AO$39</f>
        <v>0</v>
      </c>
      <c r="AP51" s="2">
        <f t="shared" si="33"/>
        <v>0</v>
      </c>
      <c r="AQ51" s="2"/>
      <c r="AR51" s="2">
        <f>$I51*AR$39</f>
        <v>0</v>
      </c>
      <c r="AS51" s="2">
        <f t="shared" si="11"/>
        <v>119766.01137583853</v>
      </c>
      <c r="AT51" s="2">
        <f t="shared" si="29"/>
        <v>299415.0284395963</v>
      </c>
      <c r="AU51" s="2">
        <f t="shared" si="30"/>
        <v>0</v>
      </c>
    </row>
    <row r="52" spans="1:47" x14ac:dyDescent="0.25">
      <c r="A52">
        <f t="shared" si="4"/>
        <v>2004</v>
      </c>
      <c r="B52" s="2">
        <f t="shared" si="12"/>
        <v>198943.32149640535</v>
      </c>
      <c r="C52" s="2"/>
      <c r="D52" s="2">
        <f t="shared" ref="D52:E64" si="34">AO51*(1+(D16/100))</f>
        <v>0</v>
      </c>
      <c r="E52" s="2">
        <f t="shared" si="34"/>
        <v>0</v>
      </c>
      <c r="F52" s="2"/>
      <c r="G52" s="2">
        <f t="shared" si="32"/>
        <v>0</v>
      </c>
      <c r="H52" s="2">
        <f t="shared" si="14"/>
        <v>124844.09025817408</v>
      </c>
      <c r="I52" s="2">
        <f t="shared" si="15"/>
        <v>323787.4117545794</v>
      </c>
      <c r="J52" s="2">
        <f t="shared" si="16"/>
        <v>24372.383314983104</v>
      </c>
      <c r="K52" s="6">
        <f t="shared" si="17"/>
        <v>8.1399999999999889E-2</v>
      </c>
      <c r="L52" s="7">
        <f t="shared" si="18"/>
        <v>1.0813999999999999</v>
      </c>
      <c r="O52">
        <f t="shared" si="19"/>
        <v>2004</v>
      </c>
      <c r="P52" s="6">
        <f t="shared" si="5"/>
        <v>0.61442574440540043</v>
      </c>
      <c r="Q52" s="7"/>
      <c r="R52" s="6">
        <f t="shared" si="5"/>
        <v>0</v>
      </c>
      <c r="S52" s="6">
        <f t="shared" si="5"/>
        <v>0</v>
      </c>
      <c r="T52" s="7"/>
      <c r="U52" s="6">
        <f t="shared" si="5"/>
        <v>0</v>
      </c>
      <c r="V52" s="6">
        <f t="shared" si="7"/>
        <v>0.38557425559459968</v>
      </c>
      <c r="W52" s="6">
        <f t="shared" si="20"/>
        <v>1</v>
      </c>
      <c r="X52" s="7">
        <f t="shared" si="21"/>
        <v>0.61442574440540043</v>
      </c>
      <c r="Y52" s="7">
        <f t="shared" si="22"/>
        <v>0</v>
      </c>
      <c r="Z52" s="6"/>
      <c r="AB52">
        <f t="shared" si="23"/>
        <v>2004</v>
      </c>
      <c r="AC52" s="1" t="b">
        <f t="shared" si="24"/>
        <v>0</v>
      </c>
      <c r="AE52" s="1" t="b">
        <f t="shared" ref="AE52:AE64" si="35">AND((D52/$I52)&gt;0.15,(D52/$I52)&lt;0.25)</f>
        <v>0</v>
      </c>
      <c r="AF52" s="1" t="b">
        <f t="shared" ref="AF52:AF64" si="36">AND((E52/$I52)&gt;0.05,(E52/$I52)&lt;0.15)</f>
        <v>0</v>
      </c>
      <c r="AH52" s="1" t="b">
        <f t="shared" si="31"/>
        <v>0</v>
      </c>
      <c r="AI52" s="1" t="b">
        <f t="shared" si="26"/>
        <v>0</v>
      </c>
      <c r="AJ52" s="1" t="b">
        <f t="shared" si="27"/>
        <v>1</v>
      </c>
      <c r="AL52">
        <f t="shared" si="28"/>
        <v>2004</v>
      </c>
      <c r="AM52" s="2">
        <f t="shared" ref="AM52:AM64" si="37">$I52*AM$39</f>
        <v>194272.44705274762</v>
      </c>
      <c r="AN52" s="2"/>
      <c r="AO52" s="2">
        <f t="shared" si="33"/>
        <v>0</v>
      </c>
      <c r="AP52" s="2">
        <f t="shared" si="33"/>
        <v>0</v>
      </c>
      <c r="AQ52" s="2"/>
      <c r="AR52" s="2">
        <f t="shared" ref="AR52:AS64" si="38">$I52*AR$39</f>
        <v>0</v>
      </c>
      <c r="AS52" s="2">
        <f t="shared" si="38"/>
        <v>129514.96470183176</v>
      </c>
      <c r="AT52" s="2">
        <f t="shared" si="29"/>
        <v>323787.4117545794</v>
      </c>
      <c r="AU52" s="2">
        <f t="shared" si="30"/>
        <v>0</v>
      </c>
    </row>
    <row r="53" spans="1:47" x14ac:dyDescent="0.25">
      <c r="A53">
        <f t="shared" si="4"/>
        <v>2005</v>
      </c>
      <c r="B53" s="2">
        <f t="shared" si="12"/>
        <v>203539.24277716369</v>
      </c>
      <c r="C53" s="2"/>
      <c r="D53" s="2">
        <f t="shared" si="34"/>
        <v>0</v>
      </c>
      <c r="E53" s="2">
        <f t="shared" si="34"/>
        <v>0</v>
      </c>
      <c r="F53" s="2"/>
      <c r="G53" s="2">
        <f t="shared" si="32"/>
        <v>0</v>
      </c>
      <c r="H53" s="2">
        <f t="shared" si="14"/>
        <v>132623.32385467572</v>
      </c>
      <c r="I53" s="2">
        <f t="shared" si="15"/>
        <v>336162.56663183938</v>
      </c>
      <c r="J53" s="2">
        <f t="shared" si="16"/>
        <v>12375.154877259978</v>
      </c>
      <c r="K53" s="6">
        <f t="shared" si="17"/>
        <v>3.8219999999999858E-2</v>
      </c>
      <c r="L53" s="7">
        <f t="shared" si="18"/>
        <v>1.0382199999999999</v>
      </c>
      <c r="O53">
        <f t="shared" si="19"/>
        <v>2005</v>
      </c>
      <c r="P53" s="6">
        <f t="shared" si="5"/>
        <v>0.60547860761688277</v>
      </c>
      <c r="Q53" s="7"/>
      <c r="R53" s="6">
        <f t="shared" si="5"/>
        <v>0</v>
      </c>
      <c r="S53" s="6">
        <f t="shared" si="5"/>
        <v>0</v>
      </c>
      <c r="T53" s="7"/>
      <c r="U53" s="6">
        <f t="shared" si="5"/>
        <v>0</v>
      </c>
      <c r="V53" s="6">
        <f t="shared" si="7"/>
        <v>0.39452139238311729</v>
      </c>
      <c r="W53" s="6">
        <f t="shared" si="20"/>
        <v>1</v>
      </c>
      <c r="X53" s="7">
        <f t="shared" si="21"/>
        <v>0.60547860761688277</v>
      </c>
      <c r="Y53" s="7">
        <f t="shared" si="22"/>
        <v>0</v>
      </c>
      <c r="Z53" s="6"/>
      <c r="AB53">
        <f t="shared" si="23"/>
        <v>2005</v>
      </c>
      <c r="AC53" s="1" t="b">
        <f t="shared" si="24"/>
        <v>0</v>
      </c>
      <c r="AE53" s="1" t="b">
        <f t="shared" si="35"/>
        <v>0</v>
      </c>
      <c r="AF53" s="1" t="b">
        <f t="shared" si="36"/>
        <v>0</v>
      </c>
      <c r="AH53" s="1" t="b">
        <f t="shared" si="31"/>
        <v>0</v>
      </c>
      <c r="AI53" s="1" t="b">
        <f t="shared" si="26"/>
        <v>0</v>
      </c>
      <c r="AJ53" s="1" t="b">
        <f t="shared" si="27"/>
        <v>1</v>
      </c>
      <c r="AL53">
        <f t="shared" si="28"/>
        <v>2005</v>
      </c>
      <c r="AM53" s="2">
        <f t="shared" si="37"/>
        <v>201697.53997910363</v>
      </c>
      <c r="AN53" s="2"/>
      <c r="AO53" s="2">
        <f t="shared" si="33"/>
        <v>0</v>
      </c>
      <c r="AP53" s="2">
        <f t="shared" si="33"/>
        <v>0</v>
      </c>
      <c r="AQ53" s="2"/>
      <c r="AR53" s="2">
        <f t="shared" si="38"/>
        <v>0</v>
      </c>
      <c r="AS53" s="2">
        <f t="shared" si="38"/>
        <v>134465.02665273575</v>
      </c>
      <c r="AT53" s="2">
        <f t="shared" si="29"/>
        <v>336162.56663183938</v>
      </c>
      <c r="AU53" s="2">
        <f t="shared" si="30"/>
        <v>0</v>
      </c>
    </row>
    <row r="54" spans="1:47" x14ac:dyDescent="0.25">
      <c r="A54">
        <f t="shared" si="4"/>
        <v>2006</v>
      </c>
      <c r="B54" s="2">
        <f t="shared" si="12"/>
        <v>233243.03523183547</v>
      </c>
      <c r="C54" s="2"/>
      <c r="D54" s="2">
        <f t="shared" si="34"/>
        <v>0</v>
      </c>
      <c r="E54" s="2">
        <f t="shared" si="34"/>
        <v>0</v>
      </c>
      <c r="F54" s="2"/>
      <c r="G54" s="2">
        <f t="shared" si="32"/>
        <v>0</v>
      </c>
      <c r="H54" s="2">
        <f t="shared" si="14"/>
        <v>140206.68329080756</v>
      </c>
      <c r="I54" s="2">
        <f t="shared" si="15"/>
        <v>373449.71852264303</v>
      </c>
      <c r="J54" s="2">
        <f t="shared" si="16"/>
        <v>37287.151890803652</v>
      </c>
      <c r="K54" s="6">
        <f t="shared" si="17"/>
        <v>0.11092000000000009</v>
      </c>
      <c r="L54" s="7">
        <f t="shared" si="18"/>
        <v>1.1109200000000001</v>
      </c>
      <c r="O54">
        <f t="shared" si="19"/>
        <v>2006</v>
      </c>
      <c r="P54" s="38">
        <f t="shared" si="5"/>
        <v>0.62456342490908445</v>
      </c>
      <c r="Q54" s="7"/>
      <c r="R54" s="6">
        <f t="shared" si="5"/>
        <v>0</v>
      </c>
      <c r="S54" s="6">
        <f t="shared" si="5"/>
        <v>0</v>
      </c>
      <c r="T54" s="7"/>
      <c r="U54" s="38">
        <f t="shared" si="5"/>
        <v>0</v>
      </c>
      <c r="V54" s="38">
        <f t="shared" si="7"/>
        <v>0.3754365750909156</v>
      </c>
      <c r="W54" s="6">
        <f t="shared" si="20"/>
        <v>1</v>
      </c>
      <c r="X54" s="7">
        <f t="shared" si="21"/>
        <v>0.62456342490908445</v>
      </c>
      <c r="Y54" s="7">
        <f t="shared" si="22"/>
        <v>0</v>
      </c>
      <c r="Z54" s="6"/>
      <c r="AB54">
        <f t="shared" si="23"/>
        <v>2006</v>
      </c>
      <c r="AC54" s="39" t="b">
        <f t="shared" si="24"/>
        <v>0</v>
      </c>
      <c r="AE54" s="1" t="b">
        <f t="shared" si="35"/>
        <v>0</v>
      </c>
      <c r="AF54" s="1" t="b">
        <f t="shared" si="36"/>
        <v>0</v>
      </c>
      <c r="AH54" s="39" t="b">
        <f t="shared" si="31"/>
        <v>0</v>
      </c>
      <c r="AI54" s="39" t="b">
        <f t="shared" si="26"/>
        <v>0</v>
      </c>
      <c r="AJ54" s="1" t="b">
        <f t="shared" si="27"/>
        <v>1</v>
      </c>
      <c r="AL54">
        <f t="shared" si="28"/>
        <v>2006</v>
      </c>
      <c r="AM54" s="2">
        <f t="shared" si="37"/>
        <v>224069.83111358582</v>
      </c>
      <c r="AN54" s="2"/>
      <c r="AO54" s="2">
        <f t="shared" si="33"/>
        <v>0</v>
      </c>
      <c r="AP54" s="2">
        <f t="shared" si="33"/>
        <v>0</v>
      </c>
      <c r="AQ54" s="2"/>
      <c r="AR54" s="2">
        <f t="shared" si="38"/>
        <v>0</v>
      </c>
      <c r="AS54" s="2">
        <f t="shared" si="38"/>
        <v>149379.88740905721</v>
      </c>
      <c r="AT54" s="2">
        <f t="shared" si="29"/>
        <v>373449.71852264303</v>
      </c>
      <c r="AU54" s="2">
        <f t="shared" si="30"/>
        <v>0</v>
      </c>
    </row>
    <row r="55" spans="1:47" x14ac:dyDescent="0.25">
      <c r="A55">
        <f t="shared" si="4"/>
        <v>2007</v>
      </c>
      <c r="B55" s="2">
        <f t="shared" si="12"/>
        <v>236147.19501060812</v>
      </c>
      <c r="C55" s="2"/>
      <c r="D55" s="2">
        <f t="shared" si="34"/>
        <v>0</v>
      </c>
      <c r="E55" s="2">
        <f t="shared" si="34"/>
        <v>0</v>
      </c>
      <c r="F55" s="2"/>
      <c r="G55" s="2">
        <f t="shared" si="32"/>
        <v>0</v>
      </c>
      <c r="H55" s="2">
        <f t="shared" si="14"/>
        <v>159716.97561776396</v>
      </c>
      <c r="I55" s="2">
        <f t="shared" si="15"/>
        <v>395864.17062837211</v>
      </c>
      <c r="J55" s="2">
        <f t="shared" si="16"/>
        <v>22414.452105729084</v>
      </c>
      <c r="K55" s="6">
        <f t="shared" si="17"/>
        <v>6.0020000000000129E-2</v>
      </c>
      <c r="L55" s="7">
        <f t="shared" si="18"/>
        <v>1.0600200000000002</v>
      </c>
      <c r="O55">
        <f t="shared" si="19"/>
        <v>2007</v>
      </c>
      <c r="P55" s="6">
        <f t="shared" si="5"/>
        <v>0.59653591441670906</v>
      </c>
      <c r="Q55" s="7"/>
      <c r="R55" s="6">
        <f t="shared" si="5"/>
        <v>0</v>
      </c>
      <c r="S55" s="6">
        <f t="shared" si="5"/>
        <v>0</v>
      </c>
      <c r="T55" s="7"/>
      <c r="U55" s="6">
        <f t="shared" si="5"/>
        <v>0</v>
      </c>
      <c r="V55" s="38">
        <f t="shared" si="7"/>
        <v>0.40346408558329083</v>
      </c>
      <c r="W55" s="6">
        <f t="shared" si="20"/>
        <v>0.99999999999999989</v>
      </c>
      <c r="X55" s="7">
        <f t="shared" si="21"/>
        <v>0.59653591441670906</v>
      </c>
      <c r="Y55" s="7">
        <f t="shared" si="22"/>
        <v>0</v>
      </c>
      <c r="Z55" s="6"/>
      <c r="AB55">
        <f t="shared" si="23"/>
        <v>2007</v>
      </c>
      <c r="AC55" s="1" t="b">
        <f t="shared" si="24"/>
        <v>0</v>
      </c>
      <c r="AE55" s="1" t="b">
        <f t="shared" si="35"/>
        <v>0</v>
      </c>
      <c r="AF55" s="1" t="b">
        <f t="shared" si="36"/>
        <v>0</v>
      </c>
      <c r="AH55" s="1" t="b">
        <f t="shared" si="31"/>
        <v>0</v>
      </c>
      <c r="AI55" s="39" t="b">
        <f t="shared" si="26"/>
        <v>0</v>
      </c>
      <c r="AJ55" s="1" t="b">
        <f t="shared" si="27"/>
        <v>1</v>
      </c>
      <c r="AL55">
        <f t="shared" si="28"/>
        <v>2007</v>
      </c>
      <c r="AM55" s="2">
        <f t="shared" si="37"/>
        <v>237518.50237702325</v>
      </c>
      <c r="AN55" s="2"/>
      <c r="AO55" s="2">
        <f t="shared" si="33"/>
        <v>0</v>
      </c>
      <c r="AP55" s="2">
        <f t="shared" si="33"/>
        <v>0</v>
      </c>
      <c r="AQ55" s="2"/>
      <c r="AR55" s="2">
        <f t="shared" si="38"/>
        <v>0</v>
      </c>
      <c r="AS55" s="2">
        <f t="shared" si="38"/>
        <v>158345.66825134886</v>
      </c>
      <c r="AT55" s="2">
        <f t="shared" si="29"/>
        <v>395864.17062837211</v>
      </c>
      <c r="AU55" s="2">
        <f t="shared" si="30"/>
        <v>0</v>
      </c>
    </row>
    <row r="56" spans="1:47" x14ac:dyDescent="0.25">
      <c r="A56">
        <f t="shared" si="4"/>
        <v>2008</v>
      </c>
      <c r="B56" s="2">
        <f t="shared" si="12"/>
        <v>149589.15279704923</v>
      </c>
      <c r="C56" s="2"/>
      <c r="D56" s="2">
        <f t="shared" si="34"/>
        <v>0</v>
      </c>
      <c r="E56" s="2">
        <f t="shared" si="34"/>
        <v>0</v>
      </c>
      <c r="F56" s="2"/>
      <c r="G56" s="2">
        <f t="shared" si="32"/>
        <v>0</v>
      </c>
      <c r="H56" s="2">
        <f t="shared" si="14"/>
        <v>166342.12449804199</v>
      </c>
      <c r="I56" s="2">
        <f t="shared" si="15"/>
        <v>315931.27729509119</v>
      </c>
      <c r="J56" s="2">
        <f>I56-I55</f>
        <v>-79932.893333280925</v>
      </c>
      <c r="K56" s="6">
        <f>(J56/I55)</f>
        <v>-0.20192000000000007</v>
      </c>
      <c r="L56" s="7">
        <f t="shared" si="18"/>
        <v>0.7980799999999999</v>
      </c>
      <c r="O56">
        <f t="shared" si="19"/>
        <v>2008</v>
      </c>
      <c r="P56" s="6">
        <f t="shared" si="5"/>
        <v>0.47348636728147553</v>
      </c>
      <c r="Q56" s="7"/>
      <c r="R56" s="6">
        <f t="shared" si="5"/>
        <v>0</v>
      </c>
      <c r="S56" s="6">
        <f t="shared" si="5"/>
        <v>0</v>
      </c>
      <c r="T56" s="7"/>
      <c r="U56" s="6">
        <f t="shared" si="5"/>
        <v>0</v>
      </c>
      <c r="V56" s="6">
        <f t="shared" si="7"/>
        <v>0.52651363271852458</v>
      </c>
      <c r="W56" s="6">
        <f t="shared" si="20"/>
        <v>1</v>
      </c>
      <c r="X56" s="7">
        <f t="shared" si="21"/>
        <v>0.47348636728147553</v>
      </c>
      <c r="Y56" s="7">
        <f t="shared" si="22"/>
        <v>0</v>
      </c>
      <c r="Z56" s="6"/>
      <c r="AB56">
        <f t="shared" si="23"/>
        <v>2008</v>
      </c>
      <c r="AC56" s="1" t="b">
        <f t="shared" si="24"/>
        <v>0</v>
      </c>
      <c r="AE56" s="1" t="b">
        <f t="shared" si="35"/>
        <v>0</v>
      </c>
      <c r="AF56" s="1" t="b">
        <f t="shared" si="36"/>
        <v>0</v>
      </c>
      <c r="AH56" s="1" t="b">
        <f t="shared" si="31"/>
        <v>0</v>
      </c>
      <c r="AI56" s="1" t="b">
        <f t="shared" si="26"/>
        <v>0</v>
      </c>
      <c r="AJ56" s="1" t="b">
        <f t="shared" si="27"/>
        <v>1</v>
      </c>
      <c r="AL56">
        <f t="shared" si="28"/>
        <v>2008</v>
      </c>
      <c r="AM56" s="2">
        <f t="shared" si="37"/>
        <v>189558.76637705471</v>
      </c>
      <c r="AN56" s="2"/>
      <c r="AO56" s="2">
        <f t="shared" si="33"/>
        <v>0</v>
      </c>
      <c r="AP56" s="2">
        <f t="shared" si="33"/>
        <v>0</v>
      </c>
      <c r="AQ56" s="2"/>
      <c r="AR56" s="2">
        <f t="shared" si="38"/>
        <v>0</v>
      </c>
      <c r="AS56" s="2">
        <f t="shared" si="38"/>
        <v>126372.51091803648</v>
      </c>
      <c r="AT56" s="2">
        <f t="shared" si="29"/>
        <v>315931.27729509119</v>
      </c>
      <c r="AU56" s="2">
        <f t="shared" si="30"/>
        <v>0</v>
      </c>
    </row>
    <row r="57" spans="1:47" x14ac:dyDescent="0.25">
      <c r="A57">
        <f t="shared" si="4"/>
        <v>2009</v>
      </c>
      <c r="B57" s="2">
        <f t="shared" ref="B57:B64" si="39">AM56*(1+(B21/100))</f>
        <v>239772.88359033648</v>
      </c>
      <c r="C57" s="2"/>
      <c r="D57" s="2">
        <f t="shared" si="34"/>
        <v>0</v>
      </c>
      <c r="E57" s="2">
        <f t="shared" si="34"/>
        <v>0</v>
      </c>
      <c r="F57" s="2"/>
      <c r="G57" s="2">
        <f t="shared" si="32"/>
        <v>0</v>
      </c>
      <c r="H57" s="2">
        <f t="shared" si="14"/>
        <v>133866.40081547602</v>
      </c>
      <c r="I57" s="2">
        <f t="shared" si="15"/>
        <v>373639.2844058125</v>
      </c>
      <c r="J57" s="2">
        <f t="shared" si="16"/>
        <v>57708.007110721315</v>
      </c>
      <c r="K57" s="6">
        <f t="shared" si="17"/>
        <v>0.18265999999999988</v>
      </c>
      <c r="L57" s="7">
        <f t="shared" si="18"/>
        <v>1.1826599999999998</v>
      </c>
      <c r="O57">
        <f t="shared" si="19"/>
        <v>2009</v>
      </c>
      <c r="P57" s="6">
        <f t="shared" si="5"/>
        <v>0.64172289584495967</v>
      </c>
      <c r="Q57" s="7"/>
      <c r="R57" s="6">
        <f t="shared" si="5"/>
        <v>0</v>
      </c>
      <c r="S57" s="6">
        <f t="shared" si="5"/>
        <v>0</v>
      </c>
      <c r="T57" s="7"/>
      <c r="U57" s="6">
        <f t="shared" si="5"/>
        <v>0</v>
      </c>
      <c r="V57" s="6">
        <f t="shared" si="7"/>
        <v>0.35827710415504033</v>
      </c>
      <c r="W57" s="6">
        <f t="shared" si="20"/>
        <v>1</v>
      </c>
      <c r="X57" s="7">
        <f t="shared" si="21"/>
        <v>0.64172289584495967</v>
      </c>
      <c r="Y57" s="7">
        <f t="shared" si="22"/>
        <v>0</v>
      </c>
      <c r="Z57" s="6"/>
      <c r="AB57">
        <f t="shared" si="23"/>
        <v>2009</v>
      </c>
      <c r="AC57" s="1" t="b">
        <f t="shared" si="24"/>
        <v>0</v>
      </c>
      <c r="AE57" s="1" t="b">
        <f t="shared" si="35"/>
        <v>0</v>
      </c>
      <c r="AF57" s="1" t="b">
        <f t="shared" si="36"/>
        <v>0</v>
      </c>
      <c r="AH57" s="1" t="b">
        <f t="shared" si="31"/>
        <v>0</v>
      </c>
      <c r="AI57" s="1" t="b">
        <f t="shared" si="26"/>
        <v>0</v>
      </c>
      <c r="AJ57" s="1" t="b">
        <f t="shared" si="27"/>
        <v>1</v>
      </c>
      <c r="AL57">
        <f t="shared" si="28"/>
        <v>2009</v>
      </c>
      <c r="AM57" s="2">
        <f t="shared" si="37"/>
        <v>224183.5706434875</v>
      </c>
      <c r="AN57" s="2"/>
      <c r="AO57" s="2">
        <f t="shared" si="33"/>
        <v>0</v>
      </c>
      <c r="AP57" s="2">
        <f t="shared" si="33"/>
        <v>0</v>
      </c>
      <c r="AQ57" s="2"/>
      <c r="AR57" s="2">
        <f t="shared" si="38"/>
        <v>0</v>
      </c>
      <c r="AS57" s="2">
        <f t="shared" si="38"/>
        <v>149455.713762325</v>
      </c>
      <c r="AT57" s="2">
        <f t="shared" si="29"/>
        <v>373639.2844058125</v>
      </c>
      <c r="AU57" s="2">
        <f t="shared" si="30"/>
        <v>0</v>
      </c>
    </row>
    <row r="58" spans="1:47" x14ac:dyDescent="0.25">
      <c r="A58">
        <f t="shared" si="4"/>
        <v>2010</v>
      </c>
      <c r="B58" s="2">
        <f t="shared" si="39"/>
        <v>257609.3410264315</v>
      </c>
      <c r="C58" s="2"/>
      <c r="D58" s="2">
        <f t="shared" si="34"/>
        <v>0</v>
      </c>
      <c r="E58" s="2">
        <f t="shared" si="34"/>
        <v>0</v>
      </c>
      <c r="F58" s="2"/>
      <c r="G58" s="2">
        <f t="shared" si="32"/>
        <v>0</v>
      </c>
      <c r="H58" s="2">
        <f t="shared" si="14"/>
        <v>159050.77058586627</v>
      </c>
      <c r="I58" s="2">
        <f t="shared" si="15"/>
        <v>416660.11161229777</v>
      </c>
      <c r="J58" s="2">
        <f t="shared" si="16"/>
        <v>43020.827206485264</v>
      </c>
      <c r="K58" s="6">
        <f t="shared" si="17"/>
        <v>0.11514000000000003</v>
      </c>
      <c r="L58" s="7">
        <f t="shared" si="18"/>
        <v>1.11514</v>
      </c>
      <c r="O58">
        <f t="shared" si="19"/>
        <v>2010</v>
      </c>
      <c r="P58" s="6">
        <f t="shared" si="5"/>
        <v>0.61827214520149942</v>
      </c>
      <c r="Q58" s="7"/>
      <c r="R58" s="6">
        <f t="shared" si="5"/>
        <v>0</v>
      </c>
      <c r="S58" s="6">
        <f t="shared" si="5"/>
        <v>0</v>
      </c>
      <c r="T58" s="7"/>
      <c r="U58" s="6">
        <f t="shared" si="5"/>
        <v>0</v>
      </c>
      <c r="V58" s="38">
        <f t="shared" si="7"/>
        <v>0.38172785479850063</v>
      </c>
      <c r="W58" s="6">
        <f t="shared" si="20"/>
        <v>1</v>
      </c>
      <c r="X58" s="7">
        <f t="shared" si="21"/>
        <v>0.61827214520149942</v>
      </c>
      <c r="Y58" s="7">
        <f t="shared" si="22"/>
        <v>0</v>
      </c>
      <c r="Z58" s="6"/>
      <c r="AB58">
        <f t="shared" si="23"/>
        <v>2010</v>
      </c>
      <c r="AC58" s="1" t="b">
        <f t="shared" si="24"/>
        <v>0</v>
      </c>
      <c r="AE58" s="1" t="b">
        <f t="shared" si="35"/>
        <v>0</v>
      </c>
      <c r="AF58" s="1" t="b">
        <f t="shared" si="36"/>
        <v>0</v>
      </c>
      <c r="AH58" s="1" t="b">
        <f t="shared" si="31"/>
        <v>0</v>
      </c>
      <c r="AI58" s="39" t="b">
        <f t="shared" si="26"/>
        <v>0</v>
      </c>
      <c r="AJ58" s="1" t="b">
        <f t="shared" si="27"/>
        <v>1</v>
      </c>
      <c r="AL58">
        <f t="shared" si="28"/>
        <v>2010</v>
      </c>
      <c r="AM58" s="2">
        <f t="shared" si="37"/>
        <v>249996.06696737866</v>
      </c>
      <c r="AN58" s="2"/>
      <c r="AO58" s="2">
        <f t="shared" si="33"/>
        <v>0</v>
      </c>
      <c r="AP58" s="2">
        <f t="shared" si="33"/>
        <v>0</v>
      </c>
      <c r="AQ58" s="2"/>
      <c r="AR58" s="2">
        <f t="shared" si="38"/>
        <v>0</v>
      </c>
      <c r="AS58" s="2">
        <f t="shared" si="38"/>
        <v>166664.04464491911</v>
      </c>
      <c r="AT58" s="2">
        <f t="shared" si="29"/>
        <v>416660.11161229777</v>
      </c>
      <c r="AU58" s="2">
        <f t="shared" si="30"/>
        <v>0</v>
      </c>
    </row>
    <row r="59" spans="1:47" x14ac:dyDescent="0.25">
      <c r="A59">
        <f t="shared" si="4"/>
        <v>2011</v>
      </c>
      <c r="B59" s="2">
        <f t="shared" si="39"/>
        <v>254920.98948663604</v>
      </c>
      <c r="C59" s="2"/>
      <c r="D59" s="2">
        <f t="shared" si="34"/>
        <v>0</v>
      </c>
      <c r="E59" s="2">
        <f t="shared" si="34"/>
        <v>0</v>
      </c>
      <c r="F59" s="2"/>
      <c r="G59" s="2">
        <f t="shared" si="32"/>
        <v>0</v>
      </c>
      <c r="H59" s="2">
        <f t="shared" si="14"/>
        <v>179263.84642007502</v>
      </c>
      <c r="I59" s="2">
        <f t="shared" si="15"/>
        <v>434184.83590671106</v>
      </c>
      <c r="J59" s="2">
        <f t="shared" si="16"/>
        <v>17524.724294413289</v>
      </c>
      <c r="K59" s="6">
        <f t="shared" si="17"/>
        <v>4.2060000000000104E-2</v>
      </c>
      <c r="L59" s="7">
        <f t="shared" si="18"/>
        <v>1.0420600000000002</v>
      </c>
      <c r="O59">
        <f t="shared" si="19"/>
        <v>2011</v>
      </c>
      <c r="P59" s="6">
        <f t="shared" si="5"/>
        <v>0.58712550141066733</v>
      </c>
      <c r="Q59" s="7"/>
      <c r="R59" s="6">
        <f t="shared" si="5"/>
        <v>0</v>
      </c>
      <c r="S59" s="6">
        <f t="shared" si="5"/>
        <v>0</v>
      </c>
      <c r="T59" s="7"/>
      <c r="U59" s="6">
        <f t="shared" si="5"/>
        <v>0</v>
      </c>
      <c r="V59" s="6">
        <f t="shared" si="7"/>
        <v>0.41287449858933267</v>
      </c>
      <c r="W59" s="6">
        <f t="shared" si="20"/>
        <v>1</v>
      </c>
      <c r="X59" s="7">
        <f t="shared" si="21"/>
        <v>0.58712550141066733</v>
      </c>
      <c r="Y59" s="7">
        <f t="shared" si="22"/>
        <v>0</v>
      </c>
      <c r="Z59" s="6"/>
      <c r="AA59" s="7">
        <f>SUM(P59:U59)</f>
        <v>0.58712550141066733</v>
      </c>
      <c r="AB59">
        <f t="shared" si="23"/>
        <v>2011</v>
      </c>
      <c r="AC59" s="1" t="b">
        <f t="shared" si="24"/>
        <v>0</v>
      </c>
      <c r="AE59" s="1" t="b">
        <f t="shared" si="35"/>
        <v>0</v>
      </c>
      <c r="AF59" s="1" t="b">
        <f t="shared" si="36"/>
        <v>0</v>
      </c>
      <c r="AH59" s="1" t="b">
        <f t="shared" si="31"/>
        <v>0</v>
      </c>
      <c r="AI59" s="1" t="b">
        <f t="shared" si="26"/>
        <v>0</v>
      </c>
      <c r="AJ59" s="1" t="b">
        <f t="shared" si="27"/>
        <v>1</v>
      </c>
      <c r="AL59">
        <f t="shared" si="28"/>
        <v>2011</v>
      </c>
      <c r="AM59" s="2">
        <f t="shared" si="37"/>
        <v>260510.90154402662</v>
      </c>
      <c r="AN59" s="2"/>
      <c r="AO59" s="2">
        <f t="shared" si="33"/>
        <v>0</v>
      </c>
      <c r="AP59" s="2">
        <f t="shared" si="33"/>
        <v>0</v>
      </c>
      <c r="AQ59" s="2"/>
      <c r="AR59" s="2">
        <f t="shared" si="38"/>
        <v>0</v>
      </c>
      <c r="AS59" s="2">
        <f t="shared" si="38"/>
        <v>173673.93436268443</v>
      </c>
      <c r="AT59" s="2">
        <f t="shared" si="29"/>
        <v>434184.83590671106</v>
      </c>
      <c r="AU59" s="2">
        <f t="shared" si="30"/>
        <v>0</v>
      </c>
    </row>
    <row r="60" spans="1:47" x14ac:dyDescent="0.25">
      <c r="A60">
        <f t="shared" si="4"/>
        <v>2012</v>
      </c>
      <c r="B60" s="2">
        <f t="shared" si="39"/>
        <v>301723.72616829159</v>
      </c>
      <c r="C60" s="2"/>
      <c r="D60" s="2">
        <f t="shared" si="34"/>
        <v>0</v>
      </c>
      <c r="E60" s="2">
        <f t="shared" si="34"/>
        <v>0</v>
      </c>
      <c r="F60" s="2"/>
      <c r="G60" s="2">
        <f t="shared" si="32"/>
        <v>0</v>
      </c>
      <c r="H60" s="2">
        <f t="shared" si="14"/>
        <v>180707.72870437315</v>
      </c>
      <c r="I60" s="2">
        <f t="shared" si="15"/>
        <v>482431.45487266476</v>
      </c>
      <c r="J60" s="2">
        <f t="shared" si="16"/>
        <v>48246.618965953705</v>
      </c>
      <c r="K60" s="6">
        <f t="shared" si="17"/>
        <v>0.11111999999999994</v>
      </c>
      <c r="L60" s="7">
        <f t="shared" si="18"/>
        <v>1.1111199999999999</v>
      </c>
      <c r="O60">
        <f t="shared" si="19"/>
        <v>2012</v>
      </c>
      <c r="P60" s="6">
        <f t="shared" si="5"/>
        <v>0.62542299661602696</v>
      </c>
      <c r="Q60" s="7"/>
      <c r="R60" s="6">
        <f t="shared" si="5"/>
        <v>0</v>
      </c>
      <c r="S60" s="6">
        <f t="shared" si="5"/>
        <v>0</v>
      </c>
      <c r="T60" s="7"/>
      <c r="U60" s="6">
        <f t="shared" si="5"/>
        <v>0</v>
      </c>
      <c r="V60" s="38">
        <f t="shared" si="7"/>
        <v>0.37457700338397298</v>
      </c>
      <c r="W60" s="6">
        <f t="shared" si="20"/>
        <v>1</v>
      </c>
      <c r="X60" s="7">
        <f t="shared" si="21"/>
        <v>0.62542299661602696</v>
      </c>
      <c r="Y60" s="7">
        <f t="shared" si="22"/>
        <v>0</v>
      </c>
      <c r="Z60" s="6"/>
      <c r="AB60">
        <f t="shared" si="23"/>
        <v>2012</v>
      </c>
      <c r="AC60" s="1" t="b">
        <f t="shared" si="24"/>
        <v>0</v>
      </c>
      <c r="AE60" s="1" t="b">
        <f t="shared" si="35"/>
        <v>0</v>
      </c>
      <c r="AF60" s="1" t="b">
        <f t="shared" si="36"/>
        <v>0</v>
      </c>
      <c r="AH60" s="1" t="b">
        <f t="shared" si="31"/>
        <v>0</v>
      </c>
      <c r="AI60" s="39" t="b">
        <f t="shared" si="26"/>
        <v>0</v>
      </c>
      <c r="AJ60" s="1" t="b">
        <f t="shared" si="27"/>
        <v>1</v>
      </c>
      <c r="AL60">
        <f t="shared" si="28"/>
        <v>2012</v>
      </c>
      <c r="AM60" s="2">
        <f t="shared" si="37"/>
        <v>289458.87292359886</v>
      </c>
      <c r="AN60" s="2"/>
      <c r="AO60" s="2">
        <f t="shared" si="33"/>
        <v>0</v>
      </c>
      <c r="AP60" s="2">
        <f t="shared" si="33"/>
        <v>0</v>
      </c>
      <c r="AQ60" s="2"/>
      <c r="AR60" s="2">
        <f t="shared" si="38"/>
        <v>0</v>
      </c>
      <c r="AS60" s="2">
        <f t="shared" si="38"/>
        <v>192972.58194906591</v>
      </c>
      <c r="AT60" s="2">
        <f t="shared" si="29"/>
        <v>482431.45487266476</v>
      </c>
      <c r="AU60" s="2">
        <f t="shared" si="30"/>
        <v>0</v>
      </c>
    </row>
    <row r="61" spans="1:47" x14ac:dyDescent="0.25">
      <c r="A61">
        <f t="shared" si="4"/>
        <v>2013</v>
      </c>
      <c r="B61" s="2">
        <f t="shared" si="39"/>
        <v>382606.738230413</v>
      </c>
      <c r="C61" s="2"/>
      <c r="D61" s="2">
        <f t="shared" si="34"/>
        <v>0</v>
      </c>
      <c r="E61" s="2">
        <f t="shared" si="34"/>
        <v>0</v>
      </c>
      <c r="F61" s="2"/>
      <c r="G61" s="2">
        <f t="shared" si="32"/>
        <v>0</v>
      </c>
      <c r="H61" s="2">
        <f t="shared" si="14"/>
        <v>188611.40159701701</v>
      </c>
      <c r="I61" s="2">
        <f t="shared" si="15"/>
        <v>571218.13982743002</v>
      </c>
      <c r="J61" s="2">
        <f t="shared" si="16"/>
        <v>88786.684954765253</v>
      </c>
      <c r="K61" s="6">
        <f t="shared" si="17"/>
        <v>0.18404000000000006</v>
      </c>
      <c r="L61" s="7">
        <f t="shared" si="18"/>
        <v>1.18404</v>
      </c>
      <c r="O61">
        <f t="shared" si="19"/>
        <v>2013</v>
      </c>
      <c r="P61" s="6">
        <f t="shared" si="5"/>
        <v>0.66980845241714804</v>
      </c>
      <c r="Q61" s="7"/>
      <c r="R61" s="6">
        <f t="shared" si="5"/>
        <v>0</v>
      </c>
      <c r="S61" s="6">
        <f t="shared" si="5"/>
        <v>0</v>
      </c>
      <c r="T61" s="7"/>
      <c r="U61" s="6">
        <f t="shared" si="5"/>
        <v>0</v>
      </c>
      <c r="V61" s="6">
        <f t="shared" si="7"/>
        <v>0.33019154758285191</v>
      </c>
      <c r="W61" s="6">
        <f t="shared" si="20"/>
        <v>1</v>
      </c>
      <c r="X61" s="7">
        <f t="shared" si="21"/>
        <v>0.66980845241714804</v>
      </c>
      <c r="Y61" s="7">
        <f t="shared" si="22"/>
        <v>0</v>
      </c>
      <c r="Z61" s="6"/>
      <c r="AB61">
        <f t="shared" si="23"/>
        <v>2013</v>
      </c>
      <c r="AC61" s="1" t="b">
        <f t="shared" si="24"/>
        <v>0</v>
      </c>
      <c r="AE61" s="1" t="b">
        <f t="shared" si="35"/>
        <v>0</v>
      </c>
      <c r="AF61" s="1" t="b">
        <f t="shared" si="36"/>
        <v>0</v>
      </c>
      <c r="AH61" s="1" t="b">
        <f t="shared" si="31"/>
        <v>0</v>
      </c>
      <c r="AI61" s="1" t="b">
        <f t="shared" si="26"/>
        <v>1</v>
      </c>
      <c r="AJ61" s="1" t="b">
        <f t="shared" si="27"/>
        <v>1</v>
      </c>
      <c r="AL61">
        <f t="shared" si="28"/>
        <v>2013</v>
      </c>
      <c r="AM61" s="2">
        <f t="shared" si="37"/>
        <v>342730.88389645802</v>
      </c>
      <c r="AN61" s="2"/>
      <c r="AO61" s="2">
        <f t="shared" si="33"/>
        <v>0</v>
      </c>
      <c r="AP61" s="2">
        <f t="shared" si="33"/>
        <v>0</v>
      </c>
      <c r="AQ61" s="2"/>
      <c r="AR61" s="2">
        <f t="shared" si="38"/>
        <v>0</v>
      </c>
      <c r="AS61" s="2">
        <f t="shared" si="38"/>
        <v>228487.25593097202</v>
      </c>
      <c r="AT61" s="2">
        <f t="shared" si="29"/>
        <v>571218.13982743002</v>
      </c>
      <c r="AU61" s="2">
        <f t="shared" si="30"/>
        <v>0</v>
      </c>
    </row>
    <row r="62" spans="1:47" x14ac:dyDescent="0.25">
      <c r="A62">
        <f t="shared" si="4"/>
        <v>2014</v>
      </c>
      <c r="B62" s="2">
        <f t="shared" si="39"/>
        <v>389033.82631086948</v>
      </c>
      <c r="C62" s="2"/>
      <c r="D62" s="2">
        <f t="shared" si="34"/>
        <v>0</v>
      </c>
      <c r="E62" s="2">
        <f t="shared" si="34"/>
        <v>0</v>
      </c>
      <c r="F62" s="2"/>
      <c r="G62" s="2">
        <f t="shared" si="32"/>
        <v>0</v>
      </c>
      <c r="H62" s="2">
        <f t="shared" si="14"/>
        <v>241648.12187259604</v>
      </c>
      <c r="I62" s="2">
        <f t="shared" si="15"/>
        <v>630681.94818346552</v>
      </c>
      <c r="J62" s="2">
        <f t="shared" si="16"/>
        <v>59463.808356035501</v>
      </c>
      <c r="K62" s="6">
        <f t="shared" si="17"/>
        <v>0.10410000000000007</v>
      </c>
      <c r="L62" s="7">
        <f t="shared" si="18"/>
        <v>1.1041000000000001</v>
      </c>
      <c r="O62">
        <f t="shared" si="19"/>
        <v>2014</v>
      </c>
      <c r="P62" s="6">
        <f t="shared" si="5"/>
        <v>0.61684630015397157</v>
      </c>
      <c r="Q62" s="7"/>
      <c r="R62" s="6">
        <f t="shared" si="5"/>
        <v>0</v>
      </c>
      <c r="S62" s="6">
        <f t="shared" si="5"/>
        <v>0</v>
      </c>
      <c r="T62" s="7"/>
      <c r="U62" s="6">
        <f t="shared" si="5"/>
        <v>0</v>
      </c>
      <c r="V62" s="38">
        <f t="shared" si="7"/>
        <v>0.38315369984602848</v>
      </c>
      <c r="W62" s="6">
        <f t="shared" si="20"/>
        <v>1</v>
      </c>
      <c r="X62" s="7">
        <f t="shared" si="21"/>
        <v>0.61684630015397157</v>
      </c>
      <c r="Y62" s="7">
        <f t="shared" si="22"/>
        <v>0</v>
      </c>
      <c r="Z62" s="6"/>
      <c r="AB62">
        <f t="shared" si="23"/>
        <v>2014</v>
      </c>
      <c r="AC62" s="1" t="b">
        <f t="shared" si="24"/>
        <v>0</v>
      </c>
      <c r="AE62" s="1" t="b">
        <f t="shared" si="35"/>
        <v>0</v>
      </c>
      <c r="AF62" s="1" t="b">
        <f t="shared" si="36"/>
        <v>0</v>
      </c>
      <c r="AH62" s="1" t="b">
        <f t="shared" si="31"/>
        <v>0</v>
      </c>
      <c r="AI62" s="39" t="b">
        <f t="shared" si="26"/>
        <v>0</v>
      </c>
      <c r="AJ62" s="1" t="b">
        <f t="shared" si="27"/>
        <v>1</v>
      </c>
      <c r="AL62">
        <f t="shared" si="28"/>
        <v>2014</v>
      </c>
      <c r="AM62" s="2">
        <f t="shared" si="37"/>
        <v>378409.16891007929</v>
      </c>
      <c r="AN62" s="2"/>
      <c r="AO62" s="2">
        <f t="shared" si="33"/>
        <v>0</v>
      </c>
      <c r="AP62" s="2">
        <f t="shared" si="33"/>
        <v>0</v>
      </c>
      <c r="AQ62" s="2"/>
      <c r="AR62" s="2">
        <f t="shared" si="38"/>
        <v>0</v>
      </c>
      <c r="AS62" s="2">
        <f t="shared" si="38"/>
        <v>252272.77927338623</v>
      </c>
      <c r="AT62" s="2">
        <f t="shared" si="29"/>
        <v>630681.94818346552</v>
      </c>
      <c r="AU62" s="2">
        <f t="shared" si="30"/>
        <v>0</v>
      </c>
    </row>
    <row r="63" spans="1:47" x14ac:dyDescent="0.25">
      <c r="A63">
        <f t="shared" si="4"/>
        <v>2015</v>
      </c>
      <c r="B63" s="2">
        <f t="shared" si="39"/>
        <v>383139.28352145525</v>
      </c>
      <c r="C63" s="2"/>
      <c r="D63" s="2">
        <f t="shared" si="34"/>
        <v>0</v>
      </c>
      <c r="E63" s="2">
        <f t="shared" si="34"/>
        <v>0</v>
      </c>
      <c r="F63" s="2"/>
      <c r="G63" s="2">
        <f t="shared" si="32"/>
        <v>0</v>
      </c>
      <c r="H63" s="2">
        <f t="shared" si="14"/>
        <v>253029.59761120635</v>
      </c>
      <c r="I63" s="2">
        <f t="shared" si="15"/>
        <v>636168.8811326616</v>
      </c>
      <c r="J63" s="2">
        <f t="shared" si="16"/>
        <v>5486.9329491960816</v>
      </c>
      <c r="K63" s="6">
        <f t="shared" si="17"/>
        <v>8.6999999999998918E-3</v>
      </c>
      <c r="L63" s="7">
        <f t="shared" si="18"/>
        <v>1.0086999999999999</v>
      </c>
      <c r="O63">
        <f t="shared" si="19"/>
        <v>2015</v>
      </c>
      <c r="P63" s="6">
        <f t="shared" si="5"/>
        <v>0.60226033508476251</v>
      </c>
      <c r="Q63" s="7"/>
      <c r="R63" s="6">
        <f t="shared" si="5"/>
        <v>0</v>
      </c>
      <c r="S63" s="6">
        <f t="shared" si="5"/>
        <v>0</v>
      </c>
      <c r="T63" s="7"/>
      <c r="U63" s="6">
        <f t="shared" si="5"/>
        <v>0</v>
      </c>
      <c r="V63" s="6">
        <f t="shared" si="7"/>
        <v>0.39773966491523743</v>
      </c>
      <c r="W63" s="6">
        <f t="shared" si="20"/>
        <v>1</v>
      </c>
      <c r="X63" s="7">
        <f t="shared" si="21"/>
        <v>0.60226033508476251</v>
      </c>
      <c r="Y63" s="7">
        <f t="shared" si="22"/>
        <v>0</v>
      </c>
      <c r="Z63" s="6"/>
      <c r="AB63">
        <f t="shared" si="23"/>
        <v>2015</v>
      </c>
      <c r="AC63" s="1" t="b">
        <f t="shared" si="24"/>
        <v>0</v>
      </c>
      <c r="AE63" s="1" t="b">
        <f t="shared" si="35"/>
        <v>0</v>
      </c>
      <c r="AF63" s="1" t="b">
        <f t="shared" si="36"/>
        <v>0</v>
      </c>
      <c r="AH63" s="1" t="b">
        <f t="shared" si="31"/>
        <v>0</v>
      </c>
      <c r="AI63" s="1" t="b">
        <f t="shared" si="26"/>
        <v>0</v>
      </c>
      <c r="AJ63" s="1" t="b">
        <f t="shared" si="27"/>
        <v>1</v>
      </c>
      <c r="AL63">
        <f t="shared" si="28"/>
        <v>2015</v>
      </c>
      <c r="AM63" s="2">
        <f t="shared" si="37"/>
        <v>381701.32867959695</v>
      </c>
      <c r="AN63" s="2"/>
      <c r="AO63" s="2">
        <f t="shared" si="33"/>
        <v>0</v>
      </c>
      <c r="AP63" s="2">
        <f t="shared" si="33"/>
        <v>0</v>
      </c>
      <c r="AQ63" s="2"/>
      <c r="AR63" s="2">
        <f t="shared" si="38"/>
        <v>0</v>
      </c>
      <c r="AS63" s="2">
        <f t="shared" si="38"/>
        <v>254467.55245306465</v>
      </c>
      <c r="AT63" s="2">
        <f t="shared" si="29"/>
        <v>636168.8811326616</v>
      </c>
      <c r="AU63" s="2">
        <f t="shared" si="30"/>
        <v>0</v>
      </c>
    </row>
    <row r="64" spans="1:47" x14ac:dyDescent="0.25">
      <c r="A64">
        <f t="shared" si="4"/>
        <v>2016</v>
      </c>
      <c r="B64" s="2">
        <f t="shared" si="39"/>
        <v>426818.42572952533</v>
      </c>
      <c r="C64" s="2"/>
      <c r="D64" s="2">
        <f t="shared" si="34"/>
        <v>0</v>
      </c>
      <c r="E64" s="2">
        <f t="shared" si="34"/>
        <v>0</v>
      </c>
      <c r="F64" s="2"/>
      <c r="G64" s="2">
        <f t="shared" si="32"/>
        <v>0</v>
      </c>
      <c r="H64" s="2">
        <f t="shared" si="14"/>
        <v>260829.24126439125</v>
      </c>
      <c r="I64" s="2">
        <f t="shared" si="15"/>
        <v>687647.66699391662</v>
      </c>
      <c r="J64" s="2">
        <f t="shared" si="16"/>
        <v>51478.785861255019</v>
      </c>
      <c r="K64" s="6">
        <f t="shared" si="17"/>
        <v>8.0920000000000061E-2</v>
      </c>
      <c r="L64" s="7">
        <f t="shared" si="18"/>
        <v>1.0809200000000001</v>
      </c>
      <c r="O64">
        <f t="shared" si="19"/>
        <v>2016</v>
      </c>
      <c r="P64" s="6">
        <f t="shared" si="5"/>
        <v>0.62069348332901597</v>
      </c>
      <c r="Q64" s="7"/>
      <c r="R64" s="6">
        <f t="shared" si="5"/>
        <v>0</v>
      </c>
      <c r="S64" s="6">
        <f t="shared" si="5"/>
        <v>0</v>
      </c>
      <c r="T64" s="7"/>
      <c r="U64" s="6">
        <f t="shared" si="5"/>
        <v>0</v>
      </c>
      <c r="V64" s="6">
        <f t="shared" si="7"/>
        <v>0.37930651667098397</v>
      </c>
      <c r="W64" s="6">
        <f t="shared" si="20"/>
        <v>1</v>
      </c>
      <c r="X64" s="7">
        <f t="shared" si="21"/>
        <v>0.62069348332901597</v>
      </c>
      <c r="Y64" s="7">
        <f t="shared" si="22"/>
        <v>0</v>
      </c>
      <c r="Z64" s="6"/>
      <c r="AB64">
        <f t="shared" si="23"/>
        <v>2016</v>
      </c>
      <c r="AC64" s="1" t="b">
        <f t="shared" si="24"/>
        <v>0</v>
      </c>
      <c r="AE64" s="1" t="b">
        <f t="shared" si="35"/>
        <v>0</v>
      </c>
      <c r="AF64" s="1" t="b">
        <f t="shared" si="36"/>
        <v>0</v>
      </c>
      <c r="AH64" s="1" t="b">
        <f t="shared" si="31"/>
        <v>0</v>
      </c>
      <c r="AI64" s="1" t="b">
        <f t="shared" si="26"/>
        <v>0</v>
      </c>
      <c r="AJ64" s="1" t="b">
        <f t="shared" si="27"/>
        <v>1</v>
      </c>
      <c r="AL64">
        <f t="shared" si="28"/>
        <v>2016</v>
      </c>
      <c r="AM64" s="2">
        <f t="shared" si="37"/>
        <v>412588.60019634996</v>
      </c>
      <c r="AN64" s="2"/>
      <c r="AO64" s="2">
        <f t="shared" si="33"/>
        <v>0</v>
      </c>
      <c r="AP64" s="2">
        <f t="shared" si="33"/>
        <v>0</v>
      </c>
      <c r="AQ64" s="2"/>
      <c r="AR64" s="2">
        <f t="shared" si="38"/>
        <v>0</v>
      </c>
      <c r="AS64" s="2">
        <f t="shared" si="38"/>
        <v>275059.06679756666</v>
      </c>
      <c r="AT64" s="2">
        <f t="shared" si="29"/>
        <v>687647.66699391662</v>
      </c>
      <c r="AU64" s="2">
        <f t="shared" si="30"/>
        <v>0</v>
      </c>
    </row>
    <row r="65" spans="1:45" x14ac:dyDescent="0.25">
      <c r="A65" s="9" t="s">
        <v>78</v>
      </c>
      <c r="B65" s="10">
        <f>B64</f>
        <v>426818.42572952533</v>
      </c>
      <c r="C65" s="10"/>
      <c r="D65" s="10">
        <f>D64</f>
        <v>0</v>
      </c>
      <c r="E65" s="10">
        <f>E64</f>
        <v>0</v>
      </c>
      <c r="F65" s="10"/>
      <c r="G65" s="10">
        <f>G64</f>
        <v>0</v>
      </c>
      <c r="H65" s="10">
        <f>H64</f>
        <v>260829.24126439125</v>
      </c>
      <c r="I65" s="10">
        <f>SUM(B65:H65)</f>
        <v>687647.66699391662</v>
      </c>
      <c r="J65" s="10"/>
      <c r="K65" s="10"/>
      <c r="AM65" s="22" t="e">
        <f>#REF!/#REF!</f>
        <v>#REF!</v>
      </c>
      <c r="AO65" s="22"/>
      <c r="AP65" s="22"/>
      <c r="AR65" s="22"/>
      <c r="AS65" s="22" t="e">
        <f>#REF!/#REF!</f>
        <v>#REF!</v>
      </c>
    </row>
    <row r="66" spans="1:45" x14ac:dyDescent="0.25">
      <c r="A66" s="11" t="s">
        <v>79</v>
      </c>
      <c r="I66" s="6">
        <f>(I65-I39)/I39</f>
        <v>5.8764766699391657</v>
      </c>
      <c r="K66" s="6"/>
      <c r="R66" s="7"/>
      <c r="AO66" s="2"/>
    </row>
    <row r="67" spans="1:45" x14ac:dyDescent="0.25">
      <c r="A67" s="1" t="s">
        <v>80</v>
      </c>
      <c r="I67" s="29">
        <f>STDEV(L40:L64)</f>
        <v>0.10807837673343051</v>
      </c>
      <c r="K67" s="30"/>
    </row>
    <row r="68" spans="1:45" x14ac:dyDescent="0.25">
      <c r="A68" s="1" t="s">
        <v>81</v>
      </c>
      <c r="I68" s="13">
        <f>((1+I66)^(1/I73))-1</f>
        <v>8.01762868209841E-2</v>
      </c>
      <c r="K68" s="30"/>
    </row>
    <row r="69" spans="1:45" x14ac:dyDescent="0.25">
      <c r="A69" s="1" t="s">
        <v>82</v>
      </c>
      <c r="I69" s="31">
        <f>J60</f>
        <v>48246.618965953705</v>
      </c>
    </row>
    <row r="70" spans="1:45" x14ac:dyDescent="0.25">
      <c r="A70" s="1" t="s">
        <v>83</v>
      </c>
      <c r="I70" s="32">
        <f>K60</f>
        <v>0.11111999999999994</v>
      </c>
    </row>
    <row r="71" spans="1:45" x14ac:dyDescent="0.25">
      <c r="A71" s="3" t="s">
        <v>84</v>
      </c>
      <c r="I71" s="33">
        <f>I64-I65</f>
        <v>0</v>
      </c>
    </row>
    <row r="72" spans="1:45" x14ac:dyDescent="0.25">
      <c r="A72" s="3" t="s">
        <v>148</v>
      </c>
      <c r="I72" s="33">
        <f>((SUM(J40:J64))-(I65-I39))</f>
        <v>0</v>
      </c>
    </row>
    <row r="73" spans="1:45" x14ac:dyDescent="0.25">
      <c r="A73" s="3" t="s">
        <v>159</v>
      </c>
      <c r="I73" s="3">
        <f>COUNTA(I40:I64)</f>
        <v>25</v>
      </c>
    </row>
    <row r="74" spans="1:45" x14ac:dyDescent="0.25">
      <c r="A74" s="1" t="s">
        <v>105</v>
      </c>
      <c r="B74" s="62"/>
      <c r="C74" s="62"/>
      <c r="D74" s="62"/>
      <c r="E74" s="62"/>
      <c r="G74" s="62"/>
      <c r="H74" s="62"/>
      <c r="I74" s="85">
        <f>(SUM(B65:G65)/I65)</f>
        <v>0.62069348332901597</v>
      </c>
    </row>
    <row r="75" spans="1:45" x14ac:dyDescent="0.25">
      <c r="A75" s="1" t="s">
        <v>106</v>
      </c>
      <c r="B75" s="62"/>
      <c r="C75" s="62"/>
      <c r="D75" s="62"/>
      <c r="E75" s="62"/>
      <c r="G75" s="62"/>
      <c r="H75" s="62"/>
      <c r="I75" s="85">
        <f>(H65/I65)</f>
        <v>0.37930651667098397</v>
      </c>
    </row>
    <row r="76" spans="1:45" x14ac:dyDescent="0.25">
      <c r="A76" s="3" t="s">
        <v>107</v>
      </c>
      <c r="I76" s="3">
        <f>100%-(I74+I75)</f>
        <v>0</v>
      </c>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3D03-2ACB-46FA-A8F7-9F7E3A635FAB}">
  <dimension ref="A1:Y76"/>
  <sheetViews>
    <sheetView topLeftCell="A57" workbookViewId="0">
      <selection activeCell="A74" sqref="A74:I76"/>
    </sheetView>
  </sheetViews>
  <sheetFormatPr defaultColWidth="8.85546875" defaultRowHeight="15" x14ac:dyDescent="0.25"/>
  <cols>
    <col min="1" max="1" width="25.42578125" customWidth="1"/>
    <col min="2" max="2" width="11" customWidth="1"/>
    <col min="3"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8" x14ac:dyDescent="0.25">
      <c r="A1" s="20" t="s">
        <v>49</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1992</v>
      </c>
      <c r="B4" s="17">
        <f>'Non-Rebalanced Portfolio'!B4</f>
        <v>7.42</v>
      </c>
      <c r="C4" s="17">
        <f>'Non-Rebalanced Portfolio'!C4</f>
        <v>12.465999999999999</v>
      </c>
      <c r="D4" s="17"/>
      <c r="E4" s="17"/>
      <c r="F4" s="17">
        <f>'Non-Rebalanced Portfolio'!F4</f>
        <v>-8.7210000000000001</v>
      </c>
      <c r="G4" s="17"/>
      <c r="H4" s="17">
        <f>'Non-Rebalanced Portfolio'!H4</f>
        <v>7.14</v>
      </c>
    </row>
    <row r="5" spans="1:8" x14ac:dyDescent="0.25">
      <c r="A5" s="17">
        <f>'Non-Rebalanced Portfolio'!A5</f>
        <v>1993</v>
      </c>
      <c r="B5" s="17">
        <f>'Non-Rebalanced Portfolio'!B5</f>
        <v>9.89</v>
      </c>
      <c r="C5" s="17">
        <f>'Non-Rebalanced Portfolio'!C5</f>
        <v>14.49</v>
      </c>
      <c r="D5" s="17"/>
      <c r="E5" s="17"/>
      <c r="F5" s="17">
        <f>'Non-Rebalanced Portfolio'!F5</f>
        <v>30.494</v>
      </c>
      <c r="G5" s="17"/>
      <c r="H5" s="17">
        <f>'Non-Rebalanced Portfolio'!H5</f>
        <v>9.68</v>
      </c>
    </row>
    <row r="6" spans="1:8" x14ac:dyDescent="0.25">
      <c r="A6" s="17">
        <f>'Non-Rebalanced Portfolio'!A6</f>
        <v>1994</v>
      </c>
      <c r="B6" s="17">
        <f>'Non-Rebalanced Portfolio'!B6</f>
        <v>1.18</v>
      </c>
      <c r="C6" s="17">
        <f>'Non-Rebalanced Portfolio'!C6</f>
        <v>-1.764</v>
      </c>
      <c r="D6" s="17"/>
      <c r="E6" s="17"/>
      <c r="F6" s="17">
        <f>'Non-Rebalanced Portfolio'!F6</f>
        <v>5.2549999999999999</v>
      </c>
      <c r="G6" s="17"/>
      <c r="H6" s="17">
        <f>'Non-Rebalanced Portfolio'!H6</f>
        <v>-2.66</v>
      </c>
    </row>
    <row r="7" spans="1:8" x14ac:dyDescent="0.25">
      <c r="A7" s="17">
        <f>'Non-Rebalanced Portfolio'!A7</f>
        <v>1995</v>
      </c>
      <c r="B7" s="17">
        <f>'Non-Rebalanced Portfolio'!B7</f>
        <v>37.450000000000003</v>
      </c>
      <c r="C7" s="17">
        <f>'Non-Rebalanced Portfolio'!C7</f>
        <v>33.796999999999997</v>
      </c>
      <c r="D7" s="17"/>
      <c r="E7" s="17"/>
      <c r="F7" s="17">
        <f>'Non-Rebalanced Portfolio'!F7</f>
        <v>9.6460000000000008</v>
      </c>
      <c r="G7" s="17"/>
      <c r="H7" s="17">
        <f>'Non-Rebalanced Portfolio'!H7</f>
        <v>18.18</v>
      </c>
    </row>
    <row r="8" spans="1:8" x14ac:dyDescent="0.25">
      <c r="A8" s="17">
        <f>'Non-Rebalanced Portfolio'!A8</f>
        <v>1996</v>
      </c>
      <c r="B8" s="17">
        <f>'Non-Rebalanced Portfolio'!B8</f>
        <v>22.88</v>
      </c>
      <c r="C8" s="17">
        <f>'Non-Rebalanced Portfolio'!C8</f>
        <v>17.646999999999998</v>
      </c>
      <c r="D8" s="17"/>
      <c r="E8" s="17"/>
      <c r="F8" s="17">
        <f>'Non-Rebalanced Portfolio'!F8</f>
        <v>10.218999999999999</v>
      </c>
      <c r="G8" s="17"/>
      <c r="H8" s="17">
        <f>'Non-Rebalanced Portfolio'!H8</f>
        <v>3.58</v>
      </c>
    </row>
    <row r="9" spans="1:8" x14ac:dyDescent="0.25">
      <c r="A9" s="17">
        <f>'Non-Rebalanced Portfolio'!A9</f>
        <v>1997</v>
      </c>
      <c r="B9" s="17">
        <f>'Non-Rebalanced Portfolio'!B9</f>
        <v>33.19</v>
      </c>
      <c r="C9" s="17">
        <f>'Non-Rebalanced Portfolio'!C9</f>
        <v>26.687000000000001</v>
      </c>
      <c r="D9" s="17"/>
      <c r="E9" s="17"/>
      <c r="F9" s="17">
        <f>'Non-Rebalanced Portfolio'!F9</f>
        <v>0</v>
      </c>
      <c r="G9" s="17"/>
      <c r="H9" s="17">
        <f>'Non-Rebalanced Portfolio'!H9</f>
        <v>9.44</v>
      </c>
    </row>
    <row r="10" spans="1:8" x14ac:dyDescent="0.25">
      <c r="A10" s="17">
        <f>'Non-Rebalanced Portfolio'!A10</f>
        <v>1998</v>
      </c>
      <c r="B10" s="17">
        <f>'Non-Rebalanced Portfolio'!B10</f>
        <v>28.66</v>
      </c>
      <c r="C10" s="17">
        <f>'Non-Rebalanced Portfolio'!C10</f>
        <v>8.3529999999999998</v>
      </c>
      <c r="D10" s="17">
        <f>'Non-Rebalanced Portfolio'!D10</f>
        <v>0</v>
      </c>
      <c r="E10" s="17">
        <f>'Non-Rebalanced Portfolio'!E10</f>
        <v>0</v>
      </c>
      <c r="F10" s="17">
        <f>'Non-Rebalanced Portfolio'!F10</f>
        <v>0</v>
      </c>
      <c r="G10" s="17"/>
      <c r="H10" s="17">
        <f>'Non-Rebalanced Portfolio'!H10</f>
        <v>8.58</v>
      </c>
    </row>
    <row r="11" spans="1:8" x14ac:dyDescent="0.25">
      <c r="A11" s="17">
        <f>'Non-Rebalanced Portfolio'!A11</f>
        <v>1999</v>
      </c>
      <c r="B11" s="17">
        <f>'Non-Rebalanced Portfolio'!B11</f>
        <v>21.07</v>
      </c>
      <c r="C11" s="17">
        <f>'Non-Rebalanced Portfolio'!C11</f>
        <v>0</v>
      </c>
      <c r="D11" s="17">
        <f>'Non-Rebalanced Portfolio'!D11</f>
        <v>15.319000000000001</v>
      </c>
      <c r="E11" s="17">
        <f>'Non-Rebalanced Portfolio'!E11</f>
        <v>23.132999999999999</v>
      </c>
      <c r="F11" s="17">
        <f>'Non-Rebalanced Portfolio'!F11</f>
        <v>0</v>
      </c>
      <c r="G11" s="17"/>
      <c r="H11" s="17">
        <f>'Non-Rebalanced Portfolio'!H11</f>
        <v>-0.76</v>
      </c>
    </row>
    <row r="12" spans="1:8" x14ac:dyDescent="0.25">
      <c r="A12" s="17">
        <f>'Non-Rebalanced Portfolio'!A12</f>
        <v>2000</v>
      </c>
      <c r="B12" s="17">
        <f>'Non-Rebalanced Portfolio'!B12</f>
        <v>-9.06</v>
      </c>
      <c r="C12" s="17">
        <f>'Non-Rebalanced Portfolio'!C12</f>
        <v>0</v>
      </c>
      <c r="D12" s="17">
        <f>'Non-Rebalanced Portfolio'!D12</f>
        <v>18.097999999999999</v>
      </c>
      <c r="E12" s="17">
        <f>'Non-Rebalanced Portfolio'!E12</f>
        <v>-2.665</v>
      </c>
      <c r="F12" s="17">
        <f>'Non-Rebalanced Portfolio'!F12</f>
        <v>0</v>
      </c>
      <c r="G12" s="18">
        <f>'Non-Rebalanced Portfolio'!G12</f>
        <v>-15.614000000000001</v>
      </c>
      <c r="H12" s="17">
        <f>'Non-Rebalanced Portfolio'!H12</f>
        <v>11.39</v>
      </c>
    </row>
    <row r="13" spans="1:8" x14ac:dyDescent="0.25">
      <c r="A13" s="17">
        <f>'Non-Rebalanced Portfolio'!A13</f>
        <v>2001</v>
      </c>
      <c r="B13" s="17">
        <f>'Non-Rebalanced Portfolio'!B13</f>
        <v>-12.02</v>
      </c>
      <c r="C13" s="17">
        <f>'Non-Rebalanced Portfolio'!C13</f>
        <v>0</v>
      </c>
      <c r="D13" s="18">
        <f>'Non-Rebalanced Portfolio'!D13</f>
        <v>-0.499</v>
      </c>
      <c r="E13" s="18">
        <f>'Non-Rebalanced Portfolio'!E13</f>
        <v>3.1</v>
      </c>
      <c r="F13" s="17"/>
      <c r="G13" s="18">
        <f>'Non-Rebalanced Portfolio'!G13</f>
        <v>-20.152999999999999</v>
      </c>
      <c r="H13" s="17">
        <f>'Non-Rebalanced Portfolio'!H13</f>
        <v>8.43</v>
      </c>
    </row>
    <row r="14" spans="1:8" x14ac:dyDescent="0.25">
      <c r="A14" s="17">
        <f>'Non-Rebalanced Portfolio'!A14</f>
        <v>2002</v>
      </c>
      <c r="B14" s="17">
        <f>'Non-Rebalanced Portfolio'!B14</f>
        <v>-22.15</v>
      </c>
      <c r="C14" s="17">
        <f>'Non-Rebalanced Portfolio'!C14</f>
        <v>0</v>
      </c>
      <c r="D14" s="17">
        <f>'Non-Rebalanced Portfolio'!D14</f>
        <v>-14.608000000000001</v>
      </c>
      <c r="E14" s="17">
        <f>'Non-Rebalanced Portfolio'!E14</f>
        <v>-20.021999999999998</v>
      </c>
      <c r="F14" s="17"/>
      <c r="G14" s="17">
        <f>'Non-Rebalanced Portfolio'!G14</f>
        <v>-15.083</v>
      </c>
      <c r="H14" s="17">
        <f>'Non-Rebalanced Portfolio'!H14</f>
        <v>8.26</v>
      </c>
    </row>
    <row r="15" spans="1:8" x14ac:dyDescent="0.25">
      <c r="A15" s="17">
        <f>'Non-Rebalanced Portfolio'!A15</f>
        <v>2003</v>
      </c>
      <c r="B15" s="17">
        <f>'Non-Rebalanced Portfolio'!B15</f>
        <v>28.5</v>
      </c>
      <c r="C15" s="17"/>
      <c r="D15" s="17">
        <f>'Non-Rebalanced Portfolio'!D15</f>
        <v>34.142000000000003</v>
      </c>
      <c r="E15" s="17">
        <f>'Non-Rebalanced Portfolio'!E15</f>
        <v>45.628</v>
      </c>
      <c r="F15" s="17"/>
      <c r="G15" s="17">
        <f>'Non-Rebalanced Portfolio'!G15</f>
        <v>40.340000000000003</v>
      </c>
      <c r="H15" s="17">
        <f>'Non-Rebalanced Portfolio'!H15</f>
        <v>3.97</v>
      </c>
    </row>
    <row r="16" spans="1:8" x14ac:dyDescent="0.25">
      <c r="A16" s="17">
        <f>'Non-Rebalanced Portfolio'!A16</f>
        <v>2004</v>
      </c>
      <c r="B16" s="17">
        <f>'Non-Rebalanced Portfolio'!B16</f>
        <v>10.74</v>
      </c>
      <c r="C16" s="17"/>
      <c r="D16" s="17">
        <f>'Non-Rebalanced Portfolio'!D16</f>
        <v>20.353000000000002</v>
      </c>
      <c r="E16" s="17">
        <f>'Non-Rebalanced Portfolio'!E16</f>
        <v>19.896999999999998</v>
      </c>
      <c r="F16" s="17"/>
      <c r="G16" s="17">
        <f>'Non-Rebalanced Portfolio'!G16</f>
        <v>20.837</v>
      </c>
      <c r="H16" s="17">
        <f>'Non-Rebalanced Portfolio'!H16</f>
        <v>4.24</v>
      </c>
    </row>
    <row r="17" spans="1:8" x14ac:dyDescent="0.25">
      <c r="A17" s="17">
        <f>'Non-Rebalanced Portfolio'!A17</f>
        <v>2005</v>
      </c>
      <c r="B17" s="17">
        <f>'Non-Rebalanced Portfolio'!B17</f>
        <v>4.7699999999999996</v>
      </c>
      <c r="C17" s="17"/>
      <c r="D17" s="17">
        <f>'Non-Rebalanced Portfolio'!D17</f>
        <v>13.930999999999999</v>
      </c>
      <c r="E17" s="17">
        <f>'Non-Rebalanced Portfolio'!E17</f>
        <v>7.3630000000000004</v>
      </c>
      <c r="F17" s="17"/>
      <c r="G17" s="17">
        <f>'Non-Rebalanced Portfolio'!G17</f>
        <v>15.571</v>
      </c>
      <c r="H17" s="17">
        <f>'Non-Rebalanced Portfolio'!H17</f>
        <v>2.4</v>
      </c>
    </row>
    <row r="18" spans="1:8" x14ac:dyDescent="0.25">
      <c r="A18" s="17">
        <f>'Non-Rebalanced Portfolio'!A18</f>
        <v>2006</v>
      </c>
      <c r="B18" s="17">
        <f>'Non-Rebalanced Portfolio'!B18</f>
        <v>15.64</v>
      </c>
      <c r="C18" s="17"/>
      <c r="D18" s="17">
        <f>'Non-Rebalanced Portfolio'!D18</f>
        <v>13.597</v>
      </c>
      <c r="E18" s="17">
        <f>'Non-Rebalanced Portfolio'!E18</f>
        <v>15.656000000000001</v>
      </c>
      <c r="F18" s="17"/>
      <c r="G18" s="17">
        <f>'Non-Rebalanced Portfolio'!G18</f>
        <v>26.637</v>
      </c>
      <c r="H18" s="17">
        <f>'Non-Rebalanced Portfolio'!H18</f>
        <v>4.2699999999999996</v>
      </c>
    </row>
    <row r="19" spans="1:8" x14ac:dyDescent="0.25">
      <c r="A19" s="17">
        <f>'Non-Rebalanced Portfolio'!A19</f>
        <v>2007</v>
      </c>
      <c r="B19" s="17">
        <f>'Non-Rebalanced Portfolio'!B19</f>
        <v>5.39</v>
      </c>
      <c r="C19" s="17"/>
      <c r="D19" s="17">
        <f>'Non-Rebalanced Portfolio'!D19</f>
        <v>6.0209999999999999</v>
      </c>
      <c r="E19" s="17">
        <f>'Non-Rebalanced Portfolio'!E19</f>
        <v>1.1559999999999999</v>
      </c>
      <c r="F19" s="17"/>
      <c r="G19" s="17">
        <f>'Non-Rebalanced Portfolio'!G19</f>
        <v>15.522</v>
      </c>
      <c r="H19" s="17">
        <f>'Non-Rebalanced Portfolio'!H19</f>
        <v>6.92</v>
      </c>
    </row>
    <row r="20" spans="1:8" x14ac:dyDescent="0.25">
      <c r="A20" s="17">
        <f>'Non-Rebalanced Portfolio'!A20</f>
        <v>2008</v>
      </c>
      <c r="B20" s="17">
        <f>'Non-Rebalanced Portfolio'!B20</f>
        <v>-37.020000000000003</v>
      </c>
      <c r="C20" s="17"/>
      <c r="D20" s="17">
        <f>'Non-Rebalanced Portfolio'!D20</f>
        <v>-41.823999999999998</v>
      </c>
      <c r="E20" s="17">
        <f>'Non-Rebalanced Portfolio'!E20</f>
        <v>-36.07</v>
      </c>
      <c r="F20" s="17"/>
      <c r="G20" s="17">
        <f>'Non-Rebalanced Portfolio'!G20</f>
        <v>-44.100999999999999</v>
      </c>
      <c r="H20" s="17">
        <f>'Non-Rebalanced Portfolio'!H20</f>
        <v>5.05</v>
      </c>
    </row>
    <row r="21" spans="1:8" x14ac:dyDescent="0.25">
      <c r="A21" s="17">
        <f>'Non-Rebalanced Portfolio'!A21</f>
        <v>2009</v>
      </c>
      <c r="B21" s="17">
        <f>'Non-Rebalanced Portfolio'!B21</f>
        <v>26.49</v>
      </c>
      <c r="C21" s="17"/>
      <c r="D21" s="17">
        <f>'Non-Rebalanced Portfolio'!D21</f>
        <v>40.218000000000004</v>
      </c>
      <c r="E21" s="17">
        <f>'Non-Rebalanced Portfolio'!E21</f>
        <v>36.118000000000002</v>
      </c>
      <c r="F21" s="17"/>
      <c r="G21" s="17">
        <f>'Non-Rebalanced Portfolio'!G21</f>
        <v>36.726999999999997</v>
      </c>
      <c r="H21" s="17">
        <f>'Non-Rebalanced Portfolio'!H21</f>
        <v>5.93</v>
      </c>
    </row>
    <row r="22" spans="1:8" x14ac:dyDescent="0.25">
      <c r="A22" s="17">
        <f>'Non-Rebalanced Portfolio'!A22</f>
        <v>2010</v>
      </c>
      <c r="B22" s="17">
        <f>'Non-Rebalanced Portfolio'!B22</f>
        <v>14.91</v>
      </c>
      <c r="C22" s="17"/>
      <c r="D22" s="17">
        <f>'Non-Rebalanced Portfolio'!D22</f>
        <v>25.46</v>
      </c>
      <c r="E22" s="17">
        <f>'Non-Rebalanced Portfolio'!E22</f>
        <v>27.72</v>
      </c>
      <c r="F22" s="17"/>
      <c r="G22" s="17">
        <f>'Non-Rebalanced Portfolio'!G22</f>
        <v>11.12</v>
      </c>
      <c r="H22" s="17">
        <f>'Non-Rebalanced Portfolio'!H22</f>
        <v>6.42</v>
      </c>
    </row>
    <row r="23" spans="1:8" x14ac:dyDescent="0.25">
      <c r="A23" s="17">
        <f>'Non-Rebalanced Portfolio'!A23</f>
        <v>2011</v>
      </c>
      <c r="B23" s="17">
        <f>'Non-Rebalanced Portfolio'!B23</f>
        <v>1.97</v>
      </c>
      <c r="C23" s="17"/>
      <c r="D23" s="17">
        <f>'Non-Rebalanced Portfolio'!D23</f>
        <v>-2.11</v>
      </c>
      <c r="E23" s="17">
        <f>'Non-Rebalanced Portfolio'!E23</f>
        <v>-2.8</v>
      </c>
      <c r="F23" s="17"/>
      <c r="G23" s="17">
        <f>'Non-Rebalanced Portfolio'!G23</f>
        <v>-14.56</v>
      </c>
      <c r="H23" s="17">
        <f>'Non-Rebalanced Portfolio'!H23</f>
        <v>7.56</v>
      </c>
    </row>
    <row r="24" spans="1:8" x14ac:dyDescent="0.25">
      <c r="A24" s="17">
        <f>'Non-Rebalanced Portfolio'!A24</f>
        <v>2012</v>
      </c>
      <c r="B24" s="17">
        <f>'Non-Rebalanced Portfolio'!B24</f>
        <v>15.82</v>
      </c>
      <c r="C24" s="17"/>
      <c r="D24" s="17">
        <f>'Non-Rebalanced Portfolio'!D24</f>
        <v>15.8</v>
      </c>
      <c r="E24" s="17">
        <f>'Non-Rebalanced Portfolio'!E24</f>
        <v>18.04</v>
      </c>
      <c r="F24" s="17"/>
      <c r="G24" s="17">
        <f>'Non-Rebalanced Portfolio'!G24</f>
        <v>18.14</v>
      </c>
      <c r="H24" s="17">
        <f>'Non-Rebalanced Portfolio'!H24</f>
        <v>4.05</v>
      </c>
    </row>
    <row r="25" spans="1:8" x14ac:dyDescent="0.25">
      <c r="A25" s="17">
        <f>'Non-Rebalanced Portfolio'!A25</f>
        <v>2013</v>
      </c>
      <c r="B25" s="17">
        <f>'Non-Rebalanced Portfolio'!B25</f>
        <v>32.18</v>
      </c>
      <c r="C25" s="17"/>
      <c r="D25" s="17">
        <f>'Non-Rebalanced Portfolio'!D25</f>
        <v>35</v>
      </c>
      <c r="E25" s="17">
        <f>'Non-Rebalanced Portfolio'!E25</f>
        <v>37.619999999999997</v>
      </c>
      <c r="F25" s="17"/>
      <c r="G25" s="17">
        <f>'Non-Rebalanced Portfolio'!G25</f>
        <v>15.04</v>
      </c>
      <c r="H25" s="17">
        <f>'Non-Rebalanced Portfolio'!H25</f>
        <v>-2.2599999999999998</v>
      </c>
    </row>
    <row r="26" spans="1:8" x14ac:dyDescent="0.25">
      <c r="A26" s="17">
        <f>'Non-Rebalanced Portfolio'!A26</f>
        <v>2014</v>
      </c>
      <c r="B26" s="17">
        <f>'Non-Rebalanced Portfolio'!B26</f>
        <v>13.51</v>
      </c>
      <c r="C26" s="17"/>
      <c r="D26" s="17">
        <f>'Non-Rebalanced Portfolio'!D26</f>
        <v>13.6</v>
      </c>
      <c r="E26" s="17">
        <f>'Non-Rebalanced Portfolio'!E26</f>
        <v>7.37</v>
      </c>
      <c r="F26" s="17"/>
      <c r="G26" s="17">
        <f>'Non-Rebalanced Portfolio'!G26</f>
        <v>-4.24</v>
      </c>
      <c r="H26" s="17">
        <f>'Non-Rebalanced Portfolio'!H26</f>
        <v>5.76</v>
      </c>
    </row>
    <row r="27" spans="1:8" x14ac:dyDescent="0.25">
      <c r="A27" s="17">
        <f>'Non-Rebalanced Portfolio'!A27</f>
        <v>2015</v>
      </c>
      <c r="B27" s="17">
        <f>'Non-Rebalanced Portfolio'!B27</f>
        <v>1.25</v>
      </c>
      <c r="C27" s="17"/>
      <c r="D27" s="17">
        <f>'Non-Rebalanced Portfolio'!D27</f>
        <v>-1.46</v>
      </c>
      <c r="E27" s="17">
        <f>'Non-Rebalanced Portfolio'!E27</f>
        <v>-3.78</v>
      </c>
      <c r="F27" s="17"/>
      <c r="G27" s="17">
        <f>'Non-Rebalanced Portfolio'!G27</f>
        <v>-4.37</v>
      </c>
      <c r="H27" s="17">
        <f>'Non-Rebalanced Portfolio'!H27</f>
        <v>0.3</v>
      </c>
    </row>
    <row r="28" spans="1:8" x14ac:dyDescent="0.25">
      <c r="A28" s="17">
        <f>'Non-Rebalanced Portfolio'!A28</f>
        <v>2016</v>
      </c>
      <c r="B28" s="17">
        <f>'Non-Rebalanced Portfolio'!B28</f>
        <v>11.82</v>
      </c>
      <c r="C28" s="19"/>
      <c r="D28" s="17">
        <f>'Non-Rebalanced Portfolio'!D28</f>
        <v>11.07</v>
      </c>
      <c r="E28" s="17">
        <f>'Non-Rebalanced Portfolio'!E28</f>
        <v>18.170000000000002</v>
      </c>
      <c r="F28" s="19"/>
      <c r="G28" s="17">
        <f>'Non-Rebalanced Portfolio'!G28</f>
        <v>4.6500000000000004</v>
      </c>
      <c r="H28" s="17">
        <f>'Non-Rebalanced Portfolio'!H28</f>
        <v>2.5</v>
      </c>
    </row>
    <row r="29" spans="1:8" x14ac:dyDescent="0.25">
      <c r="A29" s="17">
        <f>'Non-Rebalanced Portfolio'!A29</f>
        <v>2017</v>
      </c>
      <c r="B29" s="17">
        <f>'Non-Rebalanced Portfolio'!B29</f>
        <v>21.67</v>
      </c>
      <c r="C29" s="19"/>
      <c r="D29" s="17">
        <f>'Non-Rebalanced Portfolio'!D29</f>
        <v>19.600000000000001</v>
      </c>
      <c r="E29" s="17">
        <f>'Non-Rebalanced Portfolio'!E29</f>
        <v>16.100000000000001</v>
      </c>
      <c r="F29" s="19"/>
      <c r="G29" s="17">
        <f>'Non-Rebalanced Portfolio'!G29</f>
        <v>27.4</v>
      </c>
      <c r="H29" s="17">
        <f>'Non-Rebalanced Portfolio'!H29</f>
        <v>3.46</v>
      </c>
    </row>
    <row r="30" spans="1:8" x14ac:dyDescent="0.25">
      <c r="A30" s="17">
        <f>'Non-Rebalanced Portfolio'!A30</f>
        <v>2017</v>
      </c>
      <c r="B30" s="17">
        <f>'Non-Rebalanced Portfolio'!B30</f>
        <v>21.67</v>
      </c>
      <c r="C30" s="19"/>
      <c r="D30" s="17">
        <f>'Non-Rebalanced Portfolio'!D30</f>
        <v>19.600000000000001</v>
      </c>
      <c r="E30" s="17">
        <f>'Non-Rebalanced Portfolio'!E30</f>
        <v>16.100000000000001</v>
      </c>
      <c r="F30" s="19"/>
      <c r="G30" s="17">
        <f>'Non-Rebalanced Portfolio'!G30</f>
        <v>27.4</v>
      </c>
      <c r="H30" s="17">
        <f>'Non-Rebalanced Portfolio'!H30</f>
        <v>3.46</v>
      </c>
    </row>
    <row r="31" spans="1:8" x14ac:dyDescent="0.25">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5">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25"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25" x14ac:dyDescent="0.25">
      <c r="A36" s="20" t="s">
        <v>123</v>
      </c>
      <c r="O36" s="20" t="s">
        <v>130</v>
      </c>
    </row>
    <row r="37" spans="1:2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row>
    <row r="38" spans="1:25" x14ac:dyDescent="0.25">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row>
    <row r="39" spans="1:25" x14ac:dyDescent="0.25">
      <c r="A39" t="s">
        <v>71</v>
      </c>
      <c r="B39" s="31">
        <v>100000</v>
      </c>
      <c r="C39" s="31">
        <v>0</v>
      </c>
      <c r="F39" s="31">
        <v>0</v>
      </c>
      <c r="H39" s="31">
        <v>0</v>
      </c>
      <c r="I39" s="2">
        <f>SUM(B39:H39)</f>
        <v>100000</v>
      </c>
      <c r="O39" s="21" t="s">
        <v>86</v>
      </c>
      <c r="P39" s="22">
        <f>B39/$I39</f>
        <v>1</v>
      </c>
      <c r="Q39" s="22">
        <f>C39/$I39</f>
        <v>0</v>
      </c>
      <c r="R39" s="23">
        <v>0</v>
      </c>
      <c r="S39" s="23">
        <v>0</v>
      </c>
      <c r="T39" s="22">
        <f>F39/$I39</f>
        <v>0</v>
      </c>
      <c r="U39" s="23">
        <v>0</v>
      </c>
      <c r="V39" s="22">
        <f>H39/$I39</f>
        <v>0</v>
      </c>
      <c r="W39" s="6">
        <f>I39/$I39</f>
        <v>1</v>
      </c>
      <c r="X39" s="24"/>
    </row>
    <row r="40" spans="1:25" x14ac:dyDescent="0.25">
      <c r="A40">
        <f t="shared" ref="A40:A64" si="2">A4</f>
        <v>1992</v>
      </c>
      <c r="B40" s="2">
        <f t="shared" ref="B40:C55" si="3">B39*(1+(B4/100))</f>
        <v>107420</v>
      </c>
      <c r="C40" s="2">
        <f t="shared" si="3"/>
        <v>0</v>
      </c>
      <c r="D40" s="2"/>
      <c r="E40" s="2"/>
      <c r="F40" s="2">
        <f t="shared" ref="F40:F48" si="4">F39*(1+(F4/100))</f>
        <v>0</v>
      </c>
      <c r="G40" s="2"/>
      <c r="H40" s="2">
        <f t="shared" ref="H40:H64" si="5">H39*(1+(H4/100))</f>
        <v>0</v>
      </c>
      <c r="I40" s="2">
        <f>SUM(B40:H40)</f>
        <v>107420</v>
      </c>
      <c r="J40" s="2">
        <f>I40-I39</f>
        <v>7420</v>
      </c>
      <c r="K40" s="6">
        <f>(J40/I39)</f>
        <v>7.4200000000000002E-2</v>
      </c>
      <c r="L40" s="7">
        <f>K40+1</f>
        <v>1.0742</v>
      </c>
      <c r="O40">
        <f>A40</f>
        <v>1992</v>
      </c>
      <c r="P40" s="6">
        <f t="shared" ref="P40:U64" si="6">B40/$I40</f>
        <v>1</v>
      </c>
      <c r="Q40" s="6">
        <f t="shared" si="6"/>
        <v>0</v>
      </c>
      <c r="R40" s="7"/>
      <c r="S40" s="7"/>
      <c r="T40" s="6">
        <f t="shared" ref="T40:T48" si="7">F40/$I40</f>
        <v>0</v>
      </c>
      <c r="U40" s="7"/>
      <c r="V40" s="6">
        <f t="shared" ref="V40:V64" si="8">H40/$I40</f>
        <v>0</v>
      </c>
      <c r="W40" s="6">
        <f>SUM(P40:V40)</f>
        <v>1</v>
      </c>
      <c r="X40" s="7">
        <f>SUM(P40:U40)</f>
        <v>1</v>
      </c>
      <c r="Y40" s="7">
        <f>W40-(X40+V40)</f>
        <v>0</v>
      </c>
    </row>
    <row r="41" spans="1:25" x14ac:dyDescent="0.25">
      <c r="A41">
        <f t="shared" si="2"/>
        <v>1993</v>
      </c>
      <c r="B41" s="2">
        <f t="shared" si="3"/>
        <v>118043.838</v>
      </c>
      <c r="C41" s="2">
        <f t="shared" si="3"/>
        <v>0</v>
      </c>
      <c r="D41" s="2"/>
      <c r="E41" s="2"/>
      <c r="F41" s="2">
        <f t="shared" si="4"/>
        <v>0</v>
      </c>
      <c r="G41" s="2"/>
      <c r="H41" s="2">
        <f t="shared" si="5"/>
        <v>0</v>
      </c>
      <c r="I41" s="2">
        <f t="shared" ref="I41:I48" si="9">SUM(B41:H41)</f>
        <v>118043.838</v>
      </c>
      <c r="J41" s="2">
        <f t="shared" ref="J41:J64" si="10">I41-I40</f>
        <v>10623.838000000003</v>
      </c>
      <c r="K41" s="6">
        <f t="shared" ref="K41:K64" si="11">(J41/I40)</f>
        <v>9.890000000000003E-2</v>
      </c>
      <c r="L41" s="7">
        <f t="shared" ref="L41:L64" si="12">K41+1</f>
        <v>1.0989</v>
      </c>
      <c r="O41">
        <f t="shared" ref="O41:O64" si="13">A41</f>
        <v>1993</v>
      </c>
      <c r="P41" s="6">
        <f t="shared" si="6"/>
        <v>1</v>
      </c>
      <c r="Q41" s="6">
        <f t="shared" si="6"/>
        <v>0</v>
      </c>
      <c r="R41" s="7"/>
      <c r="S41" s="7"/>
      <c r="T41" s="6">
        <f t="shared" si="7"/>
        <v>0</v>
      </c>
      <c r="U41" s="7"/>
      <c r="V41" s="6">
        <f t="shared" si="8"/>
        <v>0</v>
      </c>
      <c r="W41" s="6">
        <f t="shared" ref="W41:W64" si="14">SUM(P41:V41)</f>
        <v>1</v>
      </c>
      <c r="X41" s="7">
        <f t="shared" ref="X41:X64" si="15">SUM(P41:U41)</f>
        <v>1</v>
      </c>
      <c r="Y41" s="7">
        <f t="shared" ref="Y41:Y64" si="16">W41-(X41+V41)</f>
        <v>0</v>
      </c>
    </row>
    <row r="42" spans="1:25" x14ac:dyDescent="0.25">
      <c r="A42">
        <f t="shared" si="2"/>
        <v>1994</v>
      </c>
      <c r="B42" s="2">
        <f t="shared" si="3"/>
        <v>119436.7552884</v>
      </c>
      <c r="C42" s="2">
        <f t="shared" si="3"/>
        <v>0</v>
      </c>
      <c r="D42" s="2"/>
      <c r="E42" s="2"/>
      <c r="F42" s="2">
        <f t="shared" si="4"/>
        <v>0</v>
      </c>
      <c r="G42" s="2"/>
      <c r="H42" s="2">
        <f t="shared" si="5"/>
        <v>0</v>
      </c>
      <c r="I42" s="2">
        <f t="shared" si="9"/>
        <v>119436.7552884</v>
      </c>
      <c r="J42" s="2">
        <f t="shared" si="10"/>
        <v>1392.9172884</v>
      </c>
      <c r="K42" s="6">
        <f t="shared" si="11"/>
        <v>1.18E-2</v>
      </c>
      <c r="L42" s="7">
        <f t="shared" si="12"/>
        <v>1.0118</v>
      </c>
      <c r="O42">
        <f t="shared" si="13"/>
        <v>1994</v>
      </c>
      <c r="P42" s="6">
        <f t="shared" si="6"/>
        <v>1</v>
      </c>
      <c r="Q42" s="6">
        <f t="shared" si="6"/>
        <v>0</v>
      </c>
      <c r="R42" s="7"/>
      <c r="S42" s="7"/>
      <c r="T42" s="6">
        <f t="shared" si="7"/>
        <v>0</v>
      </c>
      <c r="U42" s="7"/>
      <c r="V42" s="6">
        <f t="shared" si="8"/>
        <v>0</v>
      </c>
      <c r="W42" s="6">
        <f t="shared" si="14"/>
        <v>1</v>
      </c>
      <c r="X42" s="7">
        <f t="shared" si="15"/>
        <v>1</v>
      </c>
      <c r="Y42" s="7">
        <f t="shared" si="16"/>
        <v>0</v>
      </c>
    </row>
    <row r="43" spans="1:25" x14ac:dyDescent="0.25">
      <c r="A43">
        <f t="shared" si="2"/>
        <v>1995</v>
      </c>
      <c r="B43" s="2">
        <f t="shared" si="3"/>
        <v>164165.82014390582</v>
      </c>
      <c r="C43" s="2">
        <f t="shared" si="3"/>
        <v>0</v>
      </c>
      <c r="D43" s="2"/>
      <c r="E43" s="2"/>
      <c r="F43" s="2">
        <f t="shared" si="4"/>
        <v>0</v>
      </c>
      <c r="G43" s="2"/>
      <c r="H43" s="2">
        <f t="shared" si="5"/>
        <v>0</v>
      </c>
      <c r="I43" s="2">
        <f t="shared" si="9"/>
        <v>164165.82014390582</v>
      </c>
      <c r="J43" s="2">
        <f t="shared" si="10"/>
        <v>44729.064855505814</v>
      </c>
      <c r="K43" s="6">
        <f t="shared" si="11"/>
        <v>0.37450000000000011</v>
      </c>
      <c r="L43" s="7">
        <f t="shared" si="12"/>
        <v>1.3745000000000001</v>
      </c>
      <c r="O43">
        <f t="shared" si="13"/>
        <v>1995</v>
      </c>
      <c r="P43" s="6">
        <f t="shared" si="6"/>
        <v>1</v>
      </c>
      <c r="Q43" s="6">
        <f t="shared" si="6"/>
        <v>0</v>
      </c>
      <c r="R43" s="7"/>
      <c r="S43" s="7"/>
      <c r="T43" s="6">
        <f t="shared" si="7"/>
        <v>0</v>
      </c>
      <c r="U43" s="7"/>
      <c r="V43" s="6">
        <f t="shared" si="8"/>
        <v>0</v>
      </c>
      <c r="W43" s="6">
        <f t="shared" si="14"/>
        <v>1</v>
      </c>
      <c r="X43" s="7">
        <f t="shared" si="15"/>
        <v>1</v>
      </c>
      <c r="Y43" s="7">
        <f t="shared" si="16"/>
        <v>0</v>
      </c>
    </row>
    <row r="44" spans="1:25" x14ac:dyDescent="0.25">
      <c r="A44">
        <f t="shared" si="2"/>
        <v>1996</v>
      </c>
      <c r="B44" s="2">
        <f t="shared" si="3"/>
        <v>201726.95979283148</v>
      </c>
      <c r="C44" s="2">
        <f t="shared" si="3"/>
        <v>0</v>
      </c>
      <c r="D44" s="2"/>
      <c r="E44" s="2"/>
      <c r="F44" s="2">
        <f t="shared" si="4"/>
        <v>0</v>
      </c>
      <c r="G44" s="2"/>
      <c r="H44" s="2">
        <f t="shared" si="5"/>
        <v>0</v>
      </c>
      <c r="I44" s="2">
        <f t="shared" si="9"/>
        <v>201726.95979283148</v>
      </c>
      <c r="J44" s="2">
        <f t="shared" si="10"/>
        <v>37561.139648925659</v>
      </c>
      <c r="K44" s="6">
        <f t="shared" si="11"/>
        <v>0.22880000000000006</v>
      </c>
      <c r="L44" s="7">
        <f t="shared" si="12"/>
        <v>1.2288000000000001</v>
      </c>
      <c r="O44">
        <f t="shared" si="13"/>
        <v>1996</v>
      </c>
      <c r="P44" s="6">
        <f t="shared" si="6"/>
        <v>1</v>
      </c>
      <c r="Q44" s="6">
        <f t="shared" si="6"/>
        <v>0</v>
      </c>
      <c r="R44" s="7"/>
      <c r="S44" s="7"/>
      <c r="T44" s="6">
        <f t="shared" si="7"/>
        <v>0</v>
      </c>
      <c r="U44" s="7"/>
      <c r="V44" s="6">
        <f t="shared" si="8"/>
        <v>0</v>
      </c>
      <c r="W44" s="6">
        <f t="shared" si="14"/>
        <v>1</v>
      </c>
      <c r="X44" s="7">
        <f t="shared" si="15"/>
        <v>1</v>
      </c>
      <c r="Y44" s="7">
        <f t="shared" si="16"/>
        <v>0</v>
      </c>
    </row>
    <row r="45" spans="1:25" x14ac:dyDescent="0.25">
      <c r="A45">
        <f t="shared" si="2"/>
        <v>1997</v>
      </c>
      <c r="B45" s="2">
        <f t="shared" si="3"/>
        <v>268680.13774807227</v>
      </c>
      <c r="C45" s="2">
        <f t="shared" si="3"/>
        <v>0</v>
      </c>
      <c r="D45" s="2"/>
      <c r="E45" s="2"/>
      <c r="F45" s="2">
        <f t="shared" si="4"/>
        <v>0</v>
      </c>
      <c r="G45" s="2"/>
      <c r="H45" s="2">
        <f t="shared" si="5"/>
        <v>0</v>
      </c>
      <c r="I45" s="2">
        <f t="shared" si="9"/>
        <v>268680.13774807227</v>
      </c>
      <c r="J45" s="2">
        <f t="shared" si="10"/>
        <v>66953.177955240797</v>
      </c>
      <c r="K45" s="6">
        <f t="shared" si="11"/>
        <v>0.33190000000000014</v>
      </c>
      <c r="L45" s="7">
        <f t="shared" si="12"/>
        <v>1.3319000000000001</v>
      </c>
      <c r="O45">
        <f t="shared" si="13"/>
        <v>1997</v>
      </c>
      <c r="P45" s="6">
        <f t="shared" si="6"/>
        <v>1</v>
      </c>
      <c r="Q45" s="6">
        <f t="shared" si="6"/>
        <v>0</v>
      </c>
      <c r="R45" s="7"/>
      <c r="S45" s="7"/>
      <c r="T45" s="6">
        <f t="shared" si="7"/>
        <v>0</v>
      </c>
      <c r="U45" s="7"/>
      <c r="V45" s="6">
        <f t="shared" si="8"/>
        <v>0</v>
      </c>
      <c r="W45" s="6">
        <f t="shared" si="14"/>
        <v>1</v>
      </c>
      <c r="X45" s="7">
        <f t="shared" si="15"/>
        <v>1</v>
      </c>
      <c r="Y45" s="7">
        <f t="shared" si="16"/>
        <v>0</v>
      </c>
    </row>
    <row r="46" spans="1:25" x14ac:dyDescent="0.25">
      <c r="A46">
        <f t="shared" si="2"/>
        <v>1998</v>
      </c>
      <c r="B46" s="2">
        <f t="shared" si="3"/>
        <v>345683.86522666976</v>
      </c>
      <c r="C46" s="2">
        <f t="shared" si="3"/>
        <v>0</v>
      </c>
      <c r="D46" s="2"/>
      <c r="E46" s="2"/>
      <c r="F46" s="2">
        <f t="shared" si="4"/>
        <v>0</v>
      </c>
      <c r="G46" s="2"/>
      <c r="H46" s="2">
        <f t="shared" si="5"/>
        <v>0</v>
      </c>
      <c r="I46" s="2">
        <f t="shared" si="9"/>
        <v>345683.86522666976</v>
      </c>
      <c r="J46" s="2">
        <f t="shared" si="10"/>
        <v>77003.727478597488</v>
      </c>
      <c r="K46" s="6">
        <f t="shared" si="11"/>
        <v>0.28659999999999991</v>
      </c>
      <c r="L46" s="7">
        <f t="shared" si="12"/>
        <v>1.2866</v>
      </c>
      <c r="O46">
        <f t="shared" si="13"/>
        <v>1998</v>
      </c>
      <c r="P46" s="6">
        <f t="shared" si="6"/>
        <v>1</v>
      </c>
      <c r="Q46" s="6">
        <f t="shared" si="6"/>
        <v>0</v>
      </c>
      <c r="R46" s="7"/>
      <c r="S46" s="7"/>
      <c r="T46" s="6">
        <f t="shared" si="7"/>
        <v>0</v>
      </c>
      <c r="U46" s="7"/>
      <c r="V46" s="6">
        <f t="shared" si="8"/>
        <v>0</v>
      </c>
      <c r="W46" s="6">
        <f t="shared" si="14"/>
        <v>1</v>
      </c>
      <c r="X46" s="7">
        <f t="shared" si="15"/>
        <v>1</v>
      </c>
      <c r="Y46" s="7">
        <f t="shared" si="16"/>
        <v>0</v>
      </c>
    </row>
    <row r="47" spans="1:25" x14ac:dyDescent="0.25">
      <c r="A47">
        <f t="shared" si="2"/>
        <v>1999</v>
      </c>
      <c r="B47" s="2">
        <f t="shared" si="3"/>
        <v>418519.45562992914</v>
      </c>
      <c r="C47" s="2">
        <f t="shared" si="3"/>
        <v>0</v>
      </c>
      <c r="D47" s="2"/>
      <c r="E47" s="2"/>
      <c r="F47" s="2">
        <f t="shared" si="4"/>
        <v>0</v>
      </c>
      <c r="G47" s="2"/>
      <c r="H47" s="2">
        <f t="shared" si="5"/>
        <v>0</v>
      </c>
      <c r="I47" s="2">
        <f t="shared" si="9"/>
        <v>418519.45562992914</v>
      </c>
      <c r="J47" s="2">
        <f t="shared" si="10"/>
        <v>72835.590403259383</v>
      </c>
      <c r="K47" s="6">
        <f t="shared" si="11"/>
        <v>0.21070000000000019</v>
      </c>
      <c r="L47" s="7">
        <f t="shared" si="12"/>
        <v>1.2107000000000001</v>
      </c>
      <c r="O47">
        <f t="shared" si="13"/>
        <v>1999</v>
      </c>
      <c r="P47" s="6">
        <f t="shared" si="6"/>
        <v>1</v>
      </c>
      <c r="Q47" s="6">
        <f t="shared" si="6"/>
        <v>0</v>
      </c>
      <c r="R47" s="7"/>
      <c r="S47" s="7"/>
      <c r="T47" s="6">
        <f t="shared" si="7"/>
        <v>0</v>
      </c>
      <c r="U47" s="7"/>
      <c r="V47" s="6">
        <f t="shared" si="8"/>
        <v>0</v>
      </c>
      <c r="W47" s="6">
        <f t="shared" si="14"/>
        <v>1</v>
      </c>
      <c r="X47" s="7">
        <f t="shared" si="15"/>
        <v>1</v>
      </c>
      <c r="Y47" s="7">
        <f t="shared" si="16"/>
        <v>0</v>
      </c>
    </row>
    <row r="48" spans="1:25" x14ac:dyDescent="0.25">
      <c r="A48">
        <f t="shared" si="2"/>
        <v>2000</v>
      </c>
      <c r="B48" s="2">
        <f t="shared" si="3"/>
        <v>380601.59294985759</v>
      </c>
      <c r="C48" s="2">
        <f t="shared" si="3"/>
        <v>0</v>
      </c>
      <c r="D48" s="2"/>
      <c r="E48" s="2"/>
      <c r="F48" s="2">
        <f t="shared" si="4"/>
        <v>0</v>
      </c>
      <c r="G48" s="2"/>
      <c r="H48" s="2">
        <f t="shared" si="5"/>
        <v>0</v>
      </c>
      <c r="I48" s="2">
        <f t="shared" si="9"/>
        <v>380601.59294985759</v>
      </c>
      <c r="J48" s="2">
        <f t="shared" si="10"/>
        <v>-37917.862680071557</v>
      </c>
      <c r="K48" s="6">
        <f t="shared" si="11"/>
        <v>-9.0599999999999944E-2</v>
      </c>
      <c r="L48" s="7">
        <f t="shared" si="12"/>
        <v>0.9094000000000001</v>
      </c>
      <c r="O48">
        <f t="shared" si="13"/>
        <v>2000</v>
      </c>
      <c r="P48" s="6">
        <f t="shared" si="6"/>
        <v>1</v>
      </c>
      <c r="Q48" s="6">
        <f t="shared" si="6"/>
        <v>0</v>
      </c>
      <c r="R48" s="7"/>
      <c r="S48" s="7"/>
      <c r="T48" s="6">
        <f t="shared" si="7"/>
        <v>0</v>
      </c>
      <c r="U48" s="6"/>
      <c r="V48" s="6">
        <f t="shared" si="8"/>
        <v>0</v>
      </c>
      <c r="W48" s="6">
        <f t="shared" si="14"/>
        <v>1</v>
      </c>
      <c r="X48" s="7">
        <f t="shared" si="15"/>
        <v>1</v>
      </c>
      <c r="Y48" s="7">
        <f t="shared" si="16"/>
        <v>0</v>
      </c>
    </row>
    <row r="49" spans="1:25" x14ac:dyDescent="0.25">
      <c r="A49">
        <f t="shared" si="2"/>
        <v>2001</v>
      </c>
      <c r="B49" s="2">
        <f t="shared" si="3"/>
        <v>334853.28147728473</v>
      </c>
      <c r="C49" s="2">
        <f t="shared" si="3"/>
        <v>0</v>
      </c>
      <c r="D49" s="2"/>
      <c r="E49" s="2"/>
      <c r="F49" s="2"/>
      <c r="G49" s="2">
        <f>F48*(1+(G13/100))</f>
        <v>0</v>
      </c>
      <c r="H49" s="2">
        <f t="shared" si="5"/>
        <v>0</v>
      </c>
      <c r="I49" s="2">
        <f t="shared" ref="I49:I64" si="17">SUM(B49:H49)</f>
        <v>334853.28147728473</v>
      </c>
      <c r="J49" s="2">
        <f t="shared" si="10"/>
        <v>-45748.311472572852</v>
      </c>
      <c r="K49" s="6">
        <f t="shared" si="11"/>
        <v>-0.12019999999999992</v>
      </c>
      <c r="L49" s="7">
        <f t="shared" si="12"/>
        <v>0.87980000000000014</v>
      </c>
      <c r="O49">
        <f t="shared" si="13"/>
        <v>2001</v>
      </c>
      <c r="P49" s="6">
        <f t="shared" si="6"/>
        <v>1</v>
      </c>
      <c r="Q49" s="6">
        <f t="shared" si="6"/>
        <v>0</v>
      </c>
      <c r="R49" s="7"/>
      <c r="S49" s="7"/>
      <c r="T49" s="6"/>
      <c r="U49" s="6">
        <f t="shared" si="6"/>
        <v>0</v>
      </c>
      <c r="V49" s="6">
        <f t="shared" si="8"/>
        <v>0</v>
      </c>
      <c r="W49" s="6">
        <f t="shared" si="14"/>
        <v>1</v>
      </c>
      <c r="X49" s="7">
        <f t="shared" si="15"/>
        <v>1</v>
      </c>
      <c r="Y49" s="7">
        <f t="shared" si="16"/>
        <v>0</v>
      </c>
    </row>
    <row r="50" spans="1:25" x14ac:dyDescent="0.25">
      <c r="A50">
        <f t="shared" si="2"/>
        <v>2002</v>
      </c>
      <c r="B50" s="2">
        <f t="shared" si="3"/>
        <v>260683.27963006616</v>
      </c>
      <c r="C50" s="2">
        <f t="shared" si="3"/>
        <v>0</v>
      </c>
      <c r="D50" s="2"/>
      <c r="E50" s="2"/>
      <c r="F50" s="2"/>
      <c r="G50" s="2">
        <f t="shared" ref="G50:G64" si="18">G49*(1+(G14/100))</f>
        <v>0</v>
      </c>
      <c r="H50" s="2">
        <f t="shared" si="5"/>
        <v>0</v>
      </c>
      <c r="I50" s="2">
        <f t="shared" si="17"/>
        <v>260683.27963006616</v>
      </c>
      <c r="J50" s="2">
        <f t="shared" si="10"/>
        <v>-74170.001847218577</v>
      </c>
      <c r="K50" s="6">
        <f t="shared" si="11"/>
        <v>-0.22150000000000003</v>
      </c>
      <c r="L50" s="7">
        <f t="shared" si="12"/>
        <v>0.77849999999999997</v>
      </c>
      <c r="O50">
        <f t="shared" si="13"/>
        <v>2002</v>
      </c>
      <c r="P50" s="6">
        <f t="shared" si="6"/>
        <v>1</v>
      </c>
      <c r="Q50" s="6">
        <f t="shared" si="6"/>
        <v>0</v>
      </c>
      <c r="R50" s="7"/>
      <c r="S50" s="7"/>
      <c r="T50" s="7"/>
      <c r="U50" s="6">
        <f t="shared" si="6"/>
        <v>0</v>
      </c>
      <c r="V50" s="6">
        <f t="shared" si="8"/>
        <v>0</v>
      </c>
      <c r="W50" s="6">
        <f t="shared" si="14"/>
        <v>1</v>
      </c>
      <c r="X50" s="7">
        <f t="shared" si="15"/>
        <v>1</v>
      </c>
      <c r="Y50" s="7">
        <f t="shared" si="16"/>
        <v>0</v>
      </c>
    </row>
    <row r="51" spans="1:25" x14ac:dyDescent="0.25">
      <c r="A51">
        <f t="shared" si="2"/>
        <v>2003</v>
      </c>
      <c r="B51" s="2">
        <f t="shared" si="3"/>
        <v>334978.01432463498</v>
      </c>
      <c r="C51" s="2"/>
      <c r="D51" s="2">
        <f>($C50*0.67)*(1+(D15/100))</f>
        <v>0</v>
      </c>
      <c r="E51" s="2">
        <f>($C50*0.33)*(1+(E15/100))</f>
        <v>0</v>
      </c>
      <c r="F51" s="2"/>
      <c r="G51" s="2">
        <f t="shared" si="18"/>
        <v>0</v>
      </c>
      <c r="H51" s="2">
        <f t="shared" si="5"/>
        <v>0</v>
      </c>
      <c r="I51" s="2">
        <f t="shared" si="17"/>
        <v>334978.01432463498</v>
      </c>
      <c r="J51" s="2">
        <f t="shared" si="10"/>
        <v>74294.734694568819</v>
      </c>
      <c r="K51" s="6">
        <f t="shared" si="11"/>
        <v>0.28499999999999986</v>
      </c>
      <c r="L51" s="7">
        <f t="shared" si="12"/>
        <v>1.2849999999999999</v>
      </c>
      <c r="O51">
        <f t="shared" si="13"/>
        <v>2003</v>
      </c>
      <c r="P51" s="6">
        <f t="shared" si="6"/>
        <v>1</v>
      </c>
      <c r="Q51" s="7"/>
      <c r="R51" s="6">
        <f t="shared" si="6"/>
        <v>0</v>
      </c>
      <c r="S51" s="6">
        <f t="shared" si="6"/>
        <v>0</v>
      </c>
      <c r="T51" s="7"/>
      <c r="U51" s="6">
        <f t="shared" si="6"/>
        <v>0</v>
      </c>
      <c r="V51" s="6">
        <f t="shared" si="8"/>
        <v>0</v>
      </c>
      <c r="W51" s="6">
        <f t="shared" si="14"/>
        <v>1</v>
      </c>
      <c r="X51" s="7">
        <f t="shared" si="15"/>
        <v>1</v>
      </c>
      <c r="Y51" s="7">
        <f t="shared" si="16"/>
        <v>0</v>
      </c>
    </row>
    <row r="52" spans="1:25" x14ac:dyDescent="0.25">
      <c r="A52">
        <f t="shared" si="2"/>
        <v>2004</v>
      </c>
      <c r="B52" s="2">
        <f t="shared" si="3"/>
        <v>370954.65306310076</v>
      </c>
      <c r="C52" s="2"/>
      <c r="D52" s="2">
        <f t="shared" ref="D52:E64" si="19">D51*(1+(D16/100))</f>
        <v>0</v>
      </c>
      <c r="E52" s="2">
        <f t="shared" si="19"/>
        <v>0</v>
      </c>
      <c r="F52" s="2"/>
      <c r="G52" s="2">
        <f t="shared" si="18"/>
        <v>0</v>
      </c>
      <c r="H52" s="2">
        <f t="shared" si="5"/>
        <v>0</v>
      </c>
      <c r="I52" s="2">
        <f t="shared" si="17"/>
        <v>370954.65306310076</v>
      </c>
      <c r="J52" s="2">
        <f t="shared" si="10"/>
        <v>35976.638738465786</v>
      </c>
      <c r="K52" s="6">
        <f t="shared" si="11"/>
        <v>0.10739999999999997</v>
      </c>
      <c r="L52" s="7">
        <f t="shared" si="12"/>
        <v>1.1073999999999999</v>
      </c>
      <c r="O52">
        <f t="shared" si="13"/>
        <v>2004</v>
      </c>
      <c r="P52" s="6">
        <f t="shared" si="6"/>
        <v>1</v>
      </c>
      <c r="Q52" s="7"/>
      <c r="R52" s="6">
        <f t="shared" si="6"/>
        <v>0</v>
      </c>
      <c r="S52" s="6">
        <f t="shared" si="6"/>
        <v>0</v>
      </c>
      <c r="T52" s="7"/>
      <c r="U52" s="6">
        <f t="shared" si="6"/>
        <v>0</v>
      </c>
      <c r="V52" s="6">
        <f t="shared" si="8"/>
        <v>0</v>
      </c>
      <c r="W52" s="6">
        <f t="shared" si="14"/>
        <v>1</v>
      </c>
      <c r="X52" s="7">
        <f t="shared" si="15"/>
        <v>1</v>
      </c>
      <c r="Y52" s="7">
        <f t="shared" si="16"/>
        <v>0</v>
      </c>
    </row>
    <row r="53" spans="1:25" x14ac:dyDescent="0.25">
      <c r="A53">
        <f t="shared" si="2"/>
        <v>2005</v>
      </c>
      <c r="B53" s="2">
        <f t="shared" si="3"/>
        <v>388649.1900142107</v>
      </c>
      <c r="C53" s="2"/>
      <c r="D53" s="2">
        <f t="shared" si="19"/>
        <v>0</v>
      </c>
      <c r="E53" s="2">
        <f t="shared" si="19"/>
        <v>0</v>
      </c>
      <c r="F53" s="2"/>
      <c r="G53" s="2">
        <f t="shared" si="18"/>
        <v>0</v>
      </c>
      <c r="H53" s="2">
        <f t="shared" si="5"/>
        <v>0</v>
      </c>
      <c r="I53" s="2">
        <f t="shared" si="17"/>
        <v>388649.1900142107</v>
      </c>
      <c r="J53" s="2">
        <f t="shared" si="10"/>
        <v>17694.536951109942</v>
      </c>
      <c r="K53" s="6">
        <f t="shared" si="11"/>
        <v>4.7700000000000096E-2</v>
      </c>
      <c r="L53" s="7">
        <f t="shared" si="12"/>
        <v>1.0477000000000001</v>
      </c>
      <c r="O53">
        <f t="shared" si="13"/>
        <v>2005</v>
      </c>
      <c r="P53" s="6">
        <f t="shared" si="6"/>
        <v>1</v>
      </c>
      <c r="Q53" s="7"/>
      <c r="R53" s="6">
        <f t="shared" si="6"/>
        <v>0</v>
      </c>
      <c r="S53" s="6">
        <f t="shared" si="6"/>
        <v>0</v>
      </c>
      <c r="T53" s="7"/>
      <c r="U53" s="6">
        <f t="shared" si="6"/>
        <v>0</v>
      </c>
      <c r="V53" s="6">
        <f t="shared" si="8"/>
        <v>0</v>
      </c>
      <c r="W53" s="6">
        <f t="shared" si="14"/>
        <v>1</v>
      </c>
      <c r="X53" s="7">
        <f t="shared" si="15"/>
        <v>1</v>
      </c>
      <c r="Y53" s="7">
        <f t="shared" si="16"/>
        <v>0</v>
      </c>
    </row>
    <row r="54" spans="1:25" x14ac:dyDescent="0.25">
      <c r="A54">
        <f t="shared" si="2"/>
        <v>2006</v>
      </c>
      <c r="B54" s="2">
        <f t="shared" si="3"/>
        <v>449433.92333243327</v>
      </c>
      <c r="C54" s="2"/>
      <c r="D54" s="2">
        <f t="shared" si="19"/>
        <v>0</v>
      </c>
      <c r="E54" s="2">
        <f t="shared" si="19"/>
        <v>0</v>
      </c>
      <c r="F54" s="2"/>
      <c r="G54" s="2">
        <f t="shared" si="18"/>
        <v>0</v>
      </c>
      <c r="H54" s="2">
        <f t="shared" si="5"/>
        <v>0</v>
      </c>
      <c r="I54" s="2">
        <f t="shared" si="17"/>
        <v>449433.92333243327</v>
      </c>
      <c r="J54" s="2">
        <f t="shared" si="10"/>
        <v>60784.73331822257</v>
      </c>
      <c r="K54" s="6">
        <f t="shared" si="11"/>
        <v>0.15640000000000004</v>
      </c>
      <c r="L54" s="7">
        <f t="shared" si="12"/>
        <v>1.1564000000000001</v>
      </c>
      <c r="O54">
        <f t="shared" si="13"/>
        <v>2006</v>
      </c>
      <c r="P54" s="6">
        <f t="shared" si="6"/>
        <v>1</v>
      </c>
      <c r="Q54" s="7"/>
      <c r="R54" s="6">
        <f t="shared" si="6"/>
        <v>0</v>
      </c>
      <c r="S54" s="6">
        <f t="shared" si="6"/>
        <v>0</v>
      </c>
      <c r="T54" s="7"/>
      <c r="U54" s="6">
        <f t="shared" si="6"/>
        <v>0</v>
      </c>
      <c r="V54" s="6">
        <f t="shared" si="8"/>
        <v>0</v>
      </c>
      <c r="W54" s="6">
        <f t="shared" si="14"/>
        <v>1</v>
      </c>
      <c r="X54" s="7">
        <f t="shared" si="15"/>
        <v>1</v>
      </c>
      <c r="Y54" s="7">
        <f t="shared" si="16"/>
        <v>0</v>
      </c>
    </row>
    <row r="55" spans="1:25" x14ac:dyDescent="0.25">
      <c r="A55">
        <f t="shared" si="2"/>
        <v>2007</v>
      </c>
      <c r="B55" s="2">
        <f t="shared" si="3"/>
        <v>473658.41180005146</v>
      </c>
      <c r="C55" s="2"/>
      <c r="D55" s="2">
        <f t="shared" si="19"/>
        <v>0</v>
      </c>
      <c r="E55" s="2">
        <f t="shared" si="19"/>
        <v>0</v>
      </c>
      <c r="F55" s="2"/>
      <c r="G55" s="2">
        <f t="shared" si="18"/>
        <v>0</v>
      </c>
      <c r="H55" s="2">
        <f t="shared" si="5"/>
        <v>0</v>
      </c>
      <c r="I55" s="2">
        <f t="shared" si="17"/>
        <v>473658.41180005146</v>
      </c>
      <c r="J55" s="2">
        <f t="shared" si="10"/>
        <v>24224.488467618183</v>
      </c>
      <c r="K55" s="6">
        <f t="shared" si="11"/>
        <v>5.3900000000000066E-2</v>
      </c>
      <c r="L55" s="7">
        <f t="shared" si="12"/>
        <v>1.0539000000000001</v>
      </c>
      <c r="O55">
        <f t="shared" si="13"/>
        <v>2007</v>
      </c>
      <c r="P55" s="6">
        <f t="shared" si="6"/>
        <v>1</v>
      </c>
      <c r="Q55" s="7"/>
      <c r="R55" s="6">
        <f t="shared" si="6"/>
        <v>0</v>
      </c>
      <c r="S55" s="6">
        <f t="shared" si="6"/>
        <v>0</v>
      </c>
      <c r="T55" s="7"/>
      <c r="U55" s="6">
        <f t="shared" si="6"/>
        <v>0</v>
      </c>
      <c r="V55" s="6">
        <f t="shared" si="8"/>
        <v>0</v>
      </c>
      <c r="W55" s="6">
        <f t="shared" si="14"/>
        <v>1</v>
      </c>
      <c r="X55" s="7">
        <f t="shared" si="15"/>
        <v>1</v>
      </c>
      <c r="Y55" s="7">
        <f t="shared" si="16"/>
        <v>0</v>
      </c>
    </row>
    <row r="56" spans="1:25" x14ac:dyDescent="0.25">
      <c r="A56">
        <f t="shared" si="2"/>
        <v>2008</v>
      </c>
      <c r="B56" s="2">
        <f t="shared" ref="B56:B64" si="20">B55*(1+(B20/100))</f>
        <v>298310.06775167235</v>
      </c>
      <c r="C56" s="2"/>
      <c r="D56" s="2">
        <f t="shared" si="19"/>
        <v>0</v>
      </c>
      <c r="E56" s="2">
        <f t="shared" si="19"/>
        <v>0</v>
      </c>
      <c r="F56" s="2"/>
      <c r="G56" s="2">
        <f t="shared" si="18"/>
        <v>0</v>
      </c>
      <c r="H56" s="2">
        <f t="shared" si="5"/>
        <v>0</v>
      </c>
      <c r="I56" s="2">
        <f t="shared" si="17"/>
        <v>298310.06775167235</v>
      </c>
      <c r="J56" s="2">
        <f>I56-I55</f>
        <v>-175348.34404837911</v>
      </c>
      <c r="K56" s="6">
        <f>(J56/I55)</f>
        <v>-0.37020000000000014</v>
      </c>
      <c r="L56" s="7">
        <f t="shared" si="12"/>
        <v>0.62979999999999992</v>
      </c>
      <c r="O56">
        <f t="shared" si="13"/>
        <v>2008</v>
      </c>
      <c r="P56" s="6">
        <f t="shared" si="6"/>
        <v>1</v>
      </c>
      <c r="Q56" s="7"/>
      <c r="R56" s="6">
        <f t="shared" si="6"/>
        <v>0</v>
      </c>
      <c r="S56" s="6">
        <f t="shared" si="6"/>
        <v>0</v>
      </c>
      <c r="T56" s="7"/>
      <c r="U56" s="6">
        <f t="shared" si="6"/>
        <v>0</v>
      </c>
      <c r="V56" s="6">
        <f t="shared" si="8"/>
        <v>0</v>
      </c>
      <c r="W56" s="6">
        <f t="shared" si="14"/>
        <v>1</v>
      </c>
      <c r="X56" s="7">
        <f t="shared" si="15"/>
        <v>1</v>
      </c>
      <c r="Y56" s="7">
        <f t="shared" si="16"/>
        <v>0</v>
      </c>
    </row>
    <row r="57" spans="1:25" x14ac:dyDescent="0.25">
      <c r="A57">
        <f t="shared" si="2"/>
        <v>2009</v>
      </c>
      <c r="B57" s="2">
        <f t="shared" si="20"/>
        <v>377332.40469909034</v>
      </c>
      <c r="C57" s="2"/>
      <c r="D57" s="2">
        <f t="shared" si="19"/>
        <v>0</v>
      </c>
      <c r="E57" s="2">
        <f t="shared" si="19"/>
        <v>0</v>
      </c>
      <c r="F57" s="2"/>
      <c r="G57" s="2">
        <f t="shared" si="18"/>
        <v>0</v>
      </c>
      <c r="H57" s="2">
        <f t="shared" si="5"/>
        <v>0</v>
      </c>
      <c r="I57" s="2">
        <f t="shared" si="17"/>
        <v>377332.40469909034</v>
      </c>
      <c r="J57" s="2">
        <f t="shared" si="10"/>
        <v>79022.336947417993</v>
      </c>
      <c r="K57" s="6">
        <f t="shared" si="11"/>
        <v>0.26489999999999997</v>
      </c>
      <c r="L57" s="7">
        <f t="shared" si="12"/>
        <v>1.2648999999999999</v>
      </c>
      <c r="O57">
        <f t="shared" si="13"/>
        <v>2009</v>
      </c>
      <c r="P57" s="6">
        <f t="shared" si="6"/>
        <v>1</v>
      </c>
      <c r="Q57" s="7"/>
      <c r="R57" s="6">
        <f t="shared" si="6"/>
        <v>0</v>
      </c>
      <c r="S57" s="6">
        <f t="shared" si="6"/>
        <v>0</v>
      </c>
      <c r="T57" s="7"/>
      <c r="U57" s="6">
        <f t="shared" si="6"/>
        <v>0</v>
      </c>
      <c r="V57" s="6">
        <f t="shared" si="8"/>
        <v>0</v>
      </c>
      <c r="W57" s="6">
        <f t="shared" si="14"/>
        <v>1</v>
      </c>
      <c r="X57" s="7">
        <f t="shared" si="15"/>
        <v>1</v>
      </c>
      <c r="Y57" s="7">
        <f t="shared" si="16"/>
        <v>0</v>
      </c>
    </row>
    <row r="58" spans="1:25" x14ac:dyDescent="0.25">
      <c r="A58">
        <f t="shared" si="2"/>
        <v>2010</v>
      </c>
      <c r="B58" s="2">
        <f t="shared" si="20"/>
        <v>433592.66623972473</v>
      </c>
      <c r="C58" s="2"/>
      <c r="D58" s="2">
        <f t="shared" si="19"/>
        <v>0</v>
      </c>
      <c r="E58" s="2">
        <f t="shared" si="19"/>
        <v>0</v>
      </c>
      <c r="F58" s="2"/>
      <c r="G58" s="2">
        <f t="shared" si="18"/>
        <v>0</v>
      </c>
      <c r="H58" s="2">
        <f t="shared" si="5"/>
        <v>0</v>
      </c>
      <c r="I58" s="2">
        <f t="shared" si="17"/>
        <v>433592.66623972473</v>
      </c>
      <c r="J58" s="2">
        <f t="shared" si="10"/>
        <v>56260.261540634383</v>
      </c>
      <c r="K58" s="6">
        <f t="shared" si="11"/>
        <v>0.14910000000000004</v>
      </c>
      <c r="L58" s="7">
        <f t="shared" si="12"/>
        <v>1.1491</v>
      </c>
      <c r="O58">
        <f t="shared" si="13"/>
        <v>2010</v>
      </c>
      <c r="P58" s="6">
        <f t="shared" si="6"/>
        <v>1</v>
      </c>
      <c r="Q58" s="7"/>
      <c r="R58" s="6">
        <f t="shared" si="6"/>
        <v>0</v>
      </c>
      <c r="S58" s="6">
        <f t="shared" si="6"/>
        <v>0</v>
      </c>
      <c r="T58" s="7"/>
      <c r="U58" s="6">
        <f t="shared" si="6"/>
        <v>0</v>
      </c>
      <c r="V58" s="6">
        <f t="shared" si="8"/>
        <v>0</v>
      </c>
      <c r="W58" s="6">
        <f t="shared" si="14"/>
        <v>1</v>
      </c>
      <c r="X58" s="7">
        <f t="shared" si="15"/>
        <v>1</v>
      </c>
      <c r="Y58" s="7">
        <f t="shared" si="16"/>
        <v>0</v>
      </c>
    </row>
    <row r="59" spans="1:25" x14ac:dyDescent="0.25">
      <c r="A59">
        <f t="shared" si="2"/>
        <v>2011</v>
      </c>
      <c r="B59" s="2">
        <f t="shared" si="20"/>
        <v>442134.44176464732</v>
      </c>
      <c r="C59" s="2"/>
      <c r="D59" s="2">
        <f t="shared" si="19"/>
        <v>0</v>
      </c>
      <c r="E59" s="2">
        <f t="shared" si="19"/>
        <v>0</v>
      </c>
      <c r="F59" s="2"/>
      <c r="G59" s="2">
        <f t="shared" si="18"/>
        <v>0</v>
      </c>
      <c r="H59" s="2">
        <f t="shared" si="5"/>
        <v>0</v>
      </c>
      <c r="I59" s="2">
        <f t="shared" si="17"/>
        <v>442134.44176464732</v>
      </c>
      <c r="J59" s="2">
        <f t="shared" si="10"/>
        <v>8541.7755249225884</v>
      </c>
      <c r="K59" s="6">
        <f t="shared" si="11"/>
        <v>1.9700000000000027E-2</v>
      </c>
      <c r="L59" s="7">
        <f t="shared" si="12"/>
        <v>1.0197000000000001</v>
      </c>
      <c r="O59">
        <f t="shared" si="13"/>
        <v>2011</v>
      </c>
      <c r="P59" s="6">
        <f t="shared" si="6"/>
        <v>1</v>
      </c>
      <c r="Q59" s="7"/>
      <c r="R59" s="6">
        <f t="shared" si="6"/>
        <v>0</v>
      </c>
      <c r="S59" s="6">
        <f t="shared" si="6"/>
        <v>0</v>
      </c>
      <c r="T59" s="7"/>
      <c r="U59" s="6">
        <f t="shared" si="6"/>
        <v>0</v>
      </c>
      <c r="V59" s="6">
        <f t="shared" si="8"/>
        <v>0</v>
      </c>
      <c r="W59" s="6">
        <f t="shared" si="14"/>
        <v>1</v>
      </c>
      <c r="X59" s="7">
        <f t="shared" si="15"/>
        <v>1</v>
      </c>
      <c r="Y59" s="7">
        <f t="shared" si="16"/>
        <v>0</v>
      </c>
    </row>
    <row r="60" spans="1:25" x14ac:dyDescent="0.25">
      <c r="A60">
        <f t="shared" si="2"/>
        <v>2012</v>
      </c>
      <c r="B60" s="2">
        <f t="shared" si="20"/>
        <v>512080.11045181449</v>
      </c>
      <c r="C60" s="2"/>
      <c r="D60" s="2">
        <f t="shared" si="19"/>
        <v>0</v>
      </c>
      <c r="E60" s="2">
        <f t="shared" si="19"/>
        <v>0</v>
      </c>
      <c r="F60" s="2"/>
      <c r="G60" s="2">
        <f t="shared" si="18"/>
        <v>0</v>
      </c>
      <c r="H60" s="2">
        <f t="shared" si="5"/>
        <v>0</v>
      </c>
      <c r="I60" s="2">
        <f t="shared" si="17"/>
        <v>512080.11045181449</v>
      </c>
      <c r="J60" s="2">
        <f t="shared" si="10"/>
        <v>69945.66868716717</v>
      </c>
      <c r="K60" s="6">
        <f t="shared" si="11"/>
        <v>0.15819999999999992</v>
      </c>
      <c r="L60" s="7">
        <f t="shared" si="12"/>
        <v>1.1581999999999999</v>
      </c>
      <c r="O60">
        <f t="shared" si="13"/>
        <v>2012</v>
      </c>
      <c r="P60" s="6">
        <f t="shared" si="6"/>
        <v>1</v>
      </c>
      <c r="Q60" s="7"/>
      <c r="R60" s="6">
        <f t="shared" si="6"/>
        <v>0</v>
      </c>
      <c r="S60" s="6">
        <f t="shared" si="6"/>
        <v>0</v>
      </c>
      <c r="T60" s="7"/>
      <c r="U60" s="6">
        <f t="shared" si="6"/>
        <v>0</v>
      </c>
      <c r="V60" s="6">
        <f t="shared" si="8"/>
        <v>0</v>
      </c>
      <c r="W60" s="6">
        <f t="shared" si="14"/>
        <v>1</v>
      </c>
      <c r="X60" s="7">
        <f t="shared" si="15"/>
        <v>1</v>
      </c>
      <c r="Y60" s="7">
        <f t="shared" si="16"/>
        <v>0</v>
      </c>
    </row>
    <row r="61" spans="1:25" x14ac:dyDescent="0.25">
      <c r="A61">
        <f t="shared" si="2"/>
        <v>2013</v>
      </c>
      <c r="B61" s="2">
        <f t="shared" si="20"/>
        <v>676867.48999520845</v>
      </c>
      <c r="C61" s="2"/>
      <c r="D61" s="2">
        <f t="shared" si="19"/>
        <v>0</v>
      </c>
      <c r="E61" s="2">
        <f t="shared" si="19"/>
        <v>0</v>
      </c>
      <c r="F61" s="2"/>
      <c r="G61" s="2">
        <f t="shared" si="18"/>
        <v>0</v>
      </c>
      <c r="H61" s="2">
        <f t="shared" si="5"/>
        <v>0</v>
      </c>
      <c r="I61" s="2">
        <f t="shared" si="17"/>
        <v>676867.48999520845</v>
      </c>
      <c r="J61" s="2">
        <f t="shared" si="10"/>
        <v>164787.37954339397</v>
      </c>
      <c r="K61" s="6">
        <f t="shared" si="11"/>
        <v>0.32180000000000014</v>
      </c>
      <c r="L61" s="7">
        <f t="shared" si="12"/>
        <v>1.3218000000000001</v>
      </c>
      <c r="O61">
        <f t="shared" si="13"/>
        <v>2013</v>
      </c>
      <c r="P61" s="6">
        <f t="shared" si="6"/>
        <v>1</v>
      </c>
      <c r="Q61" s="7"/>
      <c r="R61" s="6">
        <f t="shared" si="6"/>
        <v>0</v>
      </c>
      <c r="S61" s="6">
        <f t="shared" si="6"/>
        <v>0</v>
      </c>
      <c r="T61" s="7"/>
      <c r="U61" s="6">
        <f t="shared" si="6"/>
        <v>0</v>
      </c>
      <c r="V61" s="6">
        <f t="shared" si="8"/>
        <v>0</v>
      </c>
      <c r="W61" s="6">
        <f t="shared" si="14"/>
        <v>1</v>
      </c>
      <c r="X61" s="7">
        <f t="shared" si="15"/>
        <v>1</v>
      </c>
      <c r="Y61" s="7">
        <f t="shared" si="16"/>
        <v>0</v>
      </c>
    </row>
    <row r="62" spans="1:25" x14ac:dyDescent="0.25">
      <c r="A62">
        <f t="shared" si="2"/>
        <v>2014</v>
      </c>
      <c r="B62" s="2">
        <f t="shared" si="20"/>
        <v>768312.28789356106</v>
      </c>
      <c r="C62" s="2"/>
      <c r="D62" s="2">
        <f t="shared" si="19"/>
        <v>0</v>
      </c>
      <c r="E62" s="2">
        <f t="shared" si="19"/>
        <v>0</v>
      </c>
      <c r="F62" s="2"/>
      <c r="G62" s="2">
        <f t="shared" si="18"/>
        <v>0</v>
      </c>
      <c r="H62" s="2">
        <f t="shared" si="5"/>
        <v>0</v>
      </c>
      <c r="I62" s="2">
        <f t="shared" si="17"/>
        <v>768312.28789356106</v>
      </c>
      <c r="J62" s="2">
        <f t="shared" si="10"/>
        <v>91444.797898352612</v>
      </c>
      <c r="K62" s="6">
        <f t="shared" si="11"/>
        <v>0.13509999999999991</v>
      </c>
      <c r="L62" s="7">
        <f t="shared" si="12"/>
        <v>1.1351</v>
      </c>
      <c r="O62">
        <f t="shared" si="13"/>
        <v>2014</v>
      </c>
      <c r="P62" s="6">
        <f t="shared" si="6"/>
        <v>1</v>
      </c>
      <c r="Q62" s="7"/>
      <c r="R62" s="6">
        <f t="shared" si="6"/>
        <v>0</v>
      </c>
      <c r="S62" s="6">
        <f t="shared" si="6"/>
        <v>0</v>
      </c>
      <c r="T62" s="7"/>
      <c r="U62" s="6">
        <f t="shared" si="6"/>
        <v>0</v>
      </c>
      <c r="V62" s="6">
        <f t="shared" si="8"/>
        <v>0</v>
      </c>
      <c r="W62" s="6">
        <f t="shared" si="14"/>
        <v>1</v>
      </c>
      <c r="X62" s="7">
        <f t="shared" si="15"/>
        <v>1</v>
      </c>
      <c r="Y62" s="7">
        <f t="shared" si="16"/>
        <v>0</v>
      </c>
    </row>
    <row r="63" spans="1:25" x14ac:dyDescent="0.25">
      <c r="A63">
        <f t="shared" si="2"/>
        <v>2015</v>
      </c>
      <c r="B63" s="2">
        <f t="shared" si="20"/>
        <v>777916.19149223051</v>
      </c>
      <c r="C63" s="2"/>
      <c r="D63" s="2">
        <f t="shared" si="19"/>
        <v>0</v>
      </c>
      <c r="E63" s="2">
        <f t="shared" si="19"/>
        <v>0</v>
      </c>
      <c r="F63" s="2"/>
      <c r="G63" s="2">
        <f t="shared" si="18"/>
        <v>0</v>
      </c>
      <c r="H63" s="2">
        <f t="shared" si="5"/>
        <v>0</v>
      </c>
      <c r="I63" s="2">
        <f t="shared" si="17"/>
        <v>777916.19149223051</v>
      </c>
      <c r="J63" s="2">
        <f t="shared" si="10"/>
        <v>9603.9035986694507</v>
      </c>
      <c r="K63" s="6">
        <f t="shared" si="11"/>
        <v>1.2499999999999919E-2</v>
      </c>
      <c r="L63" s="7">
        <f t="shared" si="12"/>
        <v>1.0125</v>
      </c>
      <c r="O63">
        <f t="shared" si="13"/>
        <v>2015</v>
      </c>
      <c r="P63" s="6">
        <f t="shared" si="6"/>
        <v>1</v>
      </c>
      <c r="Q63" s="7"/>
      <c r="R63" s="6">
        <f t="shared" si="6"/>
        <v>0</v>
      </c>
      <c r="S63" s="6">
        <f t="shared" si="6"/>
        <v>0</v>
      </c>
      <c r="T63" s="7"/>
      <c r="U63" s="6">
        <f t="shared" si="6"/>
        <v>0</v>
      </c>
      <c r="V63" s="6">
        <f t="shared" si="8"/>
        <v>0</v>
      </c>
      <c r="W63" s="6">
        <f t="shared" si="14"/>
        <v>1</v>
      </c>
      <c r="X63" s="7">
        <f t="shared" si="15"/>
        <v>1</v>
      </c>
      <c r="Y63" s="7">
        <f t="shared" si="16"/>
        <v>0</v>
      </c>
    </row>
    <row r="64" spans="1:25" x14ac:dyDescent="0.25">
      <c r="A64">
        <f t="shared" si="2"/>
        <v>2016</v>
      </c>
      <c r="B64" s="2">
        <f t="shared" si="20"/>
        <v>869865.88532661228</v>
      </c>
      <c r="C64" s="2"/>
      <c r="D64" s="2">
        <f t="shared" si="19"/>
        <v>0</v>
      </c>
      <c r="E64" s="2">
        <f t="shared" si="19"/>
        <v>0</v>
      </c>
      <c r="F64" s="2"/>
      <c r="G64" s="2">
        <f t="shared" si="18"/>
        <v>0</v>
      </c>
      <c r="H64" s="2">
        <f t="shared" si="5"/>
        <v>0</v>
      </c>
      <c r="I64" s="2">
        <f t="shared" si="17"/>
        <v>869865.88532661228</v>
      </c>
      <c r="J64" s="2">
        <f t="shared" si="10"/>
        <v>91949.69383438176</v>
      </c>
      <c r="K64" s="6">
        <f t="shared" si="11"/>
        <v>0.11820000000000015</v>
      </c>
      <c r="L64" s="7">
        <f t="shared" si="12"/>
        <v>1.1182000000000001</v>
      </c>
      <c r="O64">
        <f t="shared" si="13"/>
        <v>2016</v>
      </c>
      <c r="P64" s="6">
        <f t="shared" si="6"/>
        <v>1</v>
      </c>
      <c r="Q64" s="7"/>
      <c r="R64" s="6">
        <f t="shared" si="6"/>
        <v>0</v>
      </c>
      <c r="S64" s="6">
        <f t="shared" si="6"/>
        <v>0</v>
      </c>
      <c r="T64" s="7"/>
      <c r="U64" s="6">
        <f t="shared" si="6"/>
        <v>0</v>
      </c>
      <c r="V64" s="6">
        <f t="shared" si="8"/>
        <v>0</v>
      </c>
      <c r="W64" s="6">
        <f t="shared" si="14"/>
        <v>1</v>
      </c>
      <c r="X64" s="7">
        <f t="shared" si="15"/>
        <v>1</v>
      </c>
      <c r="Y64" s="7">
        <f t="shared" si="16"/>
        <v>0</v>
      </c>
    </row>
    <row r="65" spans="1:19" x14ac:dyDescent="0.25">
      <c r="A65" s="9" t="s">
        <v>78</v>
      </c>
      <c r="B65" s="10">
        <f>B64</f>
        <v>869865.88532661228</v>
      </c>
      <c r="C65" s="10"/>
      <c r="D65" s="10">
        <f>D64</f>
        <v>0</v>
      </c>
      <c r="E65" s="10">
        <f>E64</f>
        <v>0</v>
      </c>
      <c r="F65" s="10"/>
      <c r="G65" s="10">
        <f>G64</f>
        <v>0</v>
      </c>
      <c r="H65" s="10">
        <f>H64</f>
        <v>0</v>
      </c>
      <c r="I65" s="52">
        <f>SUM(B65:H65)</f>
        <v>869865.88532661228</v>
      </c>
      <c r="J65" s="10"/>
      <c r="K65" s="10"/>
      <c r="L65" s="73"/>
      <c r="S65" s="7"/>
    </row>
    <row r="66" spans="1:19" x14ac:dyDescent="0.25">
      <c r="A66" s="11" t="s">
        <v>79</v>
      </c>
      <c r="I66" s="51">
        <f>(I65-I39)/I39</f>
        <v>7.6986588532661226</v>
      </c>
      <c r="K66" s="6"/>
      <c r="R66" s="7"/>
    </row>
    <row r="67" spans="1:19" x14ac:dyDescent="0.25">
      <c r="A67" s="1" t="s">
        <v>80</v>
      </c>
      <c r="I67" s="29">
        <f>STDEV(L40:L64)</f>
        <v>0.1767577860614154</v>
      </c>
    </row>
    <row r="68" spans="1:19" x14ac:dyDescent="0.25">
      <c r="A68" s="1" t="s">
        <v>81</v>
      </c>
      <c r="I68" s="13">
        <f>((1+I66)^(1/I73))-1</f>
        <v>9.0380539760183787E-2</v>
      </c>
    </row>
    <row r="69" spans="1:19" x14ac:dyDescent="0.25">
      <c r="A69" s="1" t="s">
        <v>82</v>
      </c>
      <c r="I69" s="31">
        <f>J60</f>
        <v>69945.66868716717</v>
      </c>
    </row>
    <row r="70" spans="1:19" x14ac:dyDescent="0.25">
      <c r="A70" s="1" t="s">
        <v>83</v>
      </c>
      <c r="I70" s="32">
        <f>K60</f>
        <v>0.15819999999999992</v>
      </c>
    </row>
    <row r="71" spans="1:19" x14ac:dyDescent="0.25">
      <c r="A71" s="3" t="s">
        <v>84</v>
      </c>
      <c r="I71" s="33">
        <f>I64-I65</f>
        <v>0</v>
      </c>
    </row>
    <row r="72" spans="1:19" x14ac:dyDescent="0.25">
      <c r="A72" s="3" t="s">
        <v>148</v>
      </c>
      <c r="I72" s="33">
        <f>((SUM(J40:J64))-(I65-I39))</f>
        <v>0</v>
      </c>
    </row>
    <row r="73" spans="1:19" x14ac:dyDescent="0.25">
      <c r="A73" s="3" t="s">
        <v>159</v>
      </c>
      <c r="I73" s="3">
        <f>COUNTA(I40:I64)</f>
        <v>25</v>
      </c>
    </row>
    <row r="74" spans="1:19" x14ac:dyDescent="0.25">
      <c r="A74" s="1" t="s">
        <v>105</v>
      </c>
      <c r="B74" s="62"/>
      <c r="C74" s="62"/>
      <c r="D74" s="62"/>
      <c r="E74" s="62"/>
      <c r="G74" s="62"/>
      <c r="H74" s="62"/>
      <c r="I74" s="85">
        <f>(SUM(B65:G65)/I65)</f>
        <v>1</v>
      </c>
    </row>
    <row r="75" spans="1:19" x14ac:dyDescent="0.25">
      <c r="A75" s="1" t="s">
        <v>106</v>
      </c>
      <c r="B75" s="62"/>
      <c r="C75" s="62"/>
      <c r="D75" s="62"/>
      <c r="E75" s="62"/>
      <c r="G75" s="62"/>
      <c r="H75" s="62"/>
      <c r="I75" s="85">
        <f>(H65/I65)</f>
        <v>0</v>
      </c>
    </row>
    <row r="76" spans="1:19" x14ac:dyDescent="0.25">
      <c r="A76" s="3" t="s">
        <v>107</v>
      </c>
      <c r="I76" s="3">
        <f>100%-(I74+I75)</f>
        <v>0</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17</vt:i4>
      </vt:variant>
      <vt:variant>
        <vt:lpstr>Charts</vt:lpstr>
      </vt:variant>
      <vt:variant>
        <vt:i4>1</vt:i4>
      </vt:variant>
      <vt:variant>
        <vt:lpstr>Named Ranges</vt:lpstr>
      </vt:variant>
      <vt:variant>
        <vt:i4>1</vt:i4>
      </vt:variant>
    </vt:vector>
  </HeadingPairs>
  <TitlesOfParts>
    <vt:vector size="19"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Chart Data</vt:lpstr>
      <vt:lpstr>Panic Chart</vt:lpstr>
      <vt:lpstr>Chart2</vt:lpstr>
      <vt:lpstr>Summary!Print_Area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2017-01-23T22:13:14Z</cp:lastPrinted>
  <dcterms:created xsi:type="dcterms:W3CDTF">2014-01-10T23:26:08Z</dcterms:created>
  <dcterms:modified xsi:type="dcterms:W3CDTF">2018-03-12T21:19:04Z</dcterms:modified>
</cp:coreProperties>
</file>